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6" windowHeight="7752" activeTab="1"/>
  </bookViews>
  <sheets>
    <sheet name="Tart.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46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 mell. Int.összesen" sheetId="15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1" r:id="rId26"/>
    <sheet name="12.b Tételes mód PH" sheetId="52" r:id="rId27"/>
    <sheet name="12.c Tételes mód. Óvoda " sheetId="53" r:id="rId28"/>
    <sheet name="12.d Tételes mód. BBK" sheetId="54" r:id="rId29"/>
    <sheet name="12.e Konszolidált módosítás" sheetId="56" r:id="rId30"/>
    <sheet name="Munka1" sheetId="57" r:id="rId31"/>
  </sheets>
  <externalReferences>
    <externalReference r:id="rId32"/>
    <externalReference r:id="rId33"/>
    <externalReference r:id="rId34"/>
    <externalReference r:id="rId35"/>
  </externalReferences>
  <definedNames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>#REF!</definedName>
    <definedName name="nev">[1]kod!$CD$8:$CD$3150</definedName>
    <definedName name="_xlnm.Print_Titles" localSheetId="25">'12.a Tételes mód ÖNK'!$2:$4</definedName>
    <definedName name="_xlnm.Print_Titles" localSheetId="26">'12.b Tételes mód PH'!$2:$4</definedName>
    <definedName name="_xlnm.Print_Titles" localSheetId="28">'12.d Tételes mód. BBK'!$2:$5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forrásból'!$A:$C,'5.b. mell. VF saját forrásból'!$1:$4</definedName>
    <definedName name="_xlnm.Print_Titles" localSheetId="11">'5.c. mell. VF Eu forrásból'!$1:$4</definedName>
    <definedName name="_xlnm.Print_Titles" localSheetId="12">'5.d. mell. Védőnő, EÜ'!$1:$4</definedName>
    <definedName name="_xlnm.Print_Titles" localSheetId="15">'5.g. mell. Egyéb tev.'!$A:$C</definedName>
    <definedName name="_xlnm.Print_Titles" localSheetId="16">'6. mell. Int.összesen'!#REF!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7">'12.c Tételes mód. Óvoda '!$A$1:$AD$27</definedName>
    <definedName name="_xlnm.Print_Area" localSheetId="28">'12.d Tételes mód. BBK'!$A$1:$AC$40</definedName>
    <definedName name="_xlnm.Print_Area" localSheetId="2">'2.mell. Mérleg'!$A$1:$H$28</definedName>
    <definedName name="onev" localSheetId="7">[2]kod!$BT$34:$BT$3184</definedName>
    <definedName name="onev">[3]kod!$BT$34:$BT$3184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L33" i="30"/>
  <c r="K33"/>
  <c r="J33"/>
  <c r="I31"/>
  <c r="L31"/>
  <c r="K31"/>
  <c r="J31"/>
  <c r="L30"/>
  <c r="K30"/>
  <c r="J30"/>
  <c r="L28"/>
  <c r="K28"/>
  <c r="J28"/>
  <c r="L27"/>
  <c r="K27"/>
  <c r="J27"/>
  <c r="L26"/>
  <c r="K26"/>
  <c r="J26"/>
  <c r="L11"/>
  <c r="K11"/>
  <c r="J11"/>
  <c r="L5"/>
  <c r="K5"/>
  <c r="J5"/>
  <c r="D41" i="19"/>
  <c r="E48"/>
  <c r="E47"/>
  <c r="E46"/>
  <c r="E45"/>
  <c r="E44"/>
  <c r="E43"/>
  <c r="E42"/>
  <c r="E41"/>
  <c r="E52"/>
  <c r="E51"/>
  <c r="E50"/>
  <c r="E49"/>
  <c r="E54"/>
  <c r="E53"/>
  <c r="E55"/>
  <c r="E16" i="20"/>
  <c r="E15"/>
  <c r="D71" i="19"/>
  <c r="C14" i="44"/>
  <c r="D14"/>
  <c r="AF101" i="7"/>
  <c r="AF12" i="56"/>
  <c r="C22" i="18"/>
  <c r="D22"/>
  <c r="B22"/>
  <c r="D21"/>
  <c r="C21"/>
  <c r="B21"/>
  <c r="D26" i="9"/>
  <c r="D12"/>
  <c r="AF66" i="7"/>
  <c r="Q30"/>
  <c r="R12"/>
  <c r="AF69"/>
  <c r="E26" i="1"/>
  <c r="E27" i="40"/>
  <c r="N27" s="1"/>
  <c r="E47"/>
  <c r="D47"/>
  <c r="C47"/>
  <c r="L27"/>
  <c r="M27"/>
  <c r="AG10" i="7"/>
  <c r="AG8"/>
  <c r="AF8"/>
  <c r="AE8"/>
  <c r="AG7"/>
  <c r="E29" i="1"/>
  <c r="H30" i="7"/>
  <c r="H13"/>
  <c r="D39" i="43"/>
  <c r="C41"/>
  <c r="T52" i="41"/>
  <c r="T47"/>
  <c r="Q52"/>
  <c r="Q47"/>
  <c r="H47"/>
  <c r="H22" i="7"/>
  <c r="E24" i="1"/>
  <c r="AG21" i="7"/>
  <c r="AG22"/>
  <c r="AF30"/>
  <c r="Z52" i="41"/>
  <c r="AF70" i="7"/>
  <c r="R13"/>
  <c r="H25"/>
  <c r="H31"/>
  <c r="D66" i="41"/>
  <c r="E58"/>
  <c r="D58"/>
  <c r="F57"/>
  <c r="E57"/>
  <c r="D57"/>
  <c r="E56"/>
  <c r="D56"/>
  <c r="E55"/>
  <c r="D55"/>
  <c r="D47"/>
  <c r="E47"/>
  <c r="D48"/>
  <c r="E48"/>
  <c r="F48"/>
  <c r="D49"/>
  <c r="E49"/>
  <c r="D50"/>
  <c r="E50"/>
  <c r="D51"/>
  <c r="E51"/>
  <c r="F51"/>
  <c r="D52"/>
  <c r="E52"/>
  <c r="E46"/>
  <c r="D46"/>
  <c r="AD64"/>
  <c r="AC64"/>
  <c r="AB64"/>
  <c r="AC59"/>
  <c r="AD58"/>
  <c r="AD57"/>
  <c r="AD56"/>
  <c r="AD55"/>
  <c r="AC53"/>
  <c r="AD52"/>
  <c r="AB53"/>
  <c r="AD51"/>
  <c r="AD50"/>
  <c r="AD49"/>
  <c r="AD48"/>
  <c r="AD47"/>
  <c r="AD46"/>
  <c r="AD34"/>
  <c r="AC34"/>
  <c r="AC35" s="1"/>
  <c r="AB34"/>
  <c r="AD28"/>
  <c r="AC28"/>
  <c r="AB28"/>
  <c r="AB35" s="1"/>
  <c r="AD25"/>
  <c r="AC25"/>
  <c r="AB25"/>
  <c r="AD17"/>
  <c r="AD35" s="1"/>
  <c r="AC17"/>
  <c r="AB17"/>
  <c r="AD14"/>
  <c r="AC14"/>
  <c r="AB14"/>
  <c r="H52"/>
  <c r="X30" i="7"/>
  <c r="X13"/>
  <c r="E23" i="1"/>
  <c r="E6"/>
  <c r="W6" i="7"/>
  <c r="D37" i="44"/>
  <c r="D36"/>
  <c r="D35"/>
  <c r="D64" i="9"/>
  <c r="D9" i="44"/>
  <c r="D10"/>
  <c r="D56" i="9"/>
  <c r="D8" i="44"/>
  <c r="D27" i="43"/>
  <c r="D38"/>
  <c r="E12" i="1"/>
  <c r="B41" i="43"/>
  <c r="E9" i="1"/>
  <c r="AG30" i="7"/>
  <c r="AG25"/>
  <c r="AF13"/>
  <c r="AG13" s="1"/>
  <c r="D17" i="43"/>
  <c r="D16"/>
  <c r="AC66" i="41" l="1"/>
  <c r="AD59"/>
  <c r="AD53"/>
  <c r="AB59"/>
  <c r="AB66" s="1"/>
  <c r="D14" i="43"/>
  <c r="D15"/>
  <c r="D18"/>
  <c r="D19"/>
  <c r="B8"/>
  <c r="B21" s="1"/>
  <c r="AD66" i="41" l="1"/>
  <c r="D9" i="43"/>
  <c r="D8"/>
  <c r="D7"/>
  <c r="D6"/>
  <c r="D11"/>
  <c r="D10"/>
  <c r="D13"/>
  <c r="D34" i="41" l="1"/>
  <c r="E34"/>
  <c r="F34"/>
  <c r="D35"/>
  <c r="E35"/>
  <c r="F35"/>
  <c r="F33"/>
  <c r="E33"/>
  <c r="D33"/>
  <c r="F32"/>
  <c r="E32"/>
  <c r="D32"/>
  <c r="F31"/>
  <c r="E31"/>
  <c r="D31"/>
  <c r="F30"/>
  <c r="E30"/>
  <c r="D30"/>
  <c r="F29"/>
  <c r="E29"/>
  <c r="D29"/>
  <c r="R30"/>
  <c r="AD22" i="7"/>
  <c r="AD23"/>
  <c r="AD24"/>
  <c r="E101"/>
  <c r="E100"/>
  <c r="F99"/>
  <c r="E99"/>
  <c r="D99"/>
  <c r="F98"/>
  <c r="E98"/>
  <c r="D98"/>
  <c r="F97"/>
  <c r="E97"/>
  <c r="D97"/>
  <c r="F96"/>
  <c r="E96"/>
  <c r="D96"/>
  <c r="E58"/>
  <c r="E59"/>
  <c r="F59"/>
  <c r="E60"/>
  <c r="F60"/>
  <c r="E61"/>
  <c r="E62"/>
  <c r="F62"/>
  <c r="E64"/>
  <c r="E65"/>
  <c r="E66"/>
  <c r="E67"/>
  <c r="E68"/>
  <c r="E69"/>
  <c r="E70"/>
  <c r="D62"/>
  <c r="D61"/>
  <c r="E12"/>
  <c r="F12"/>
  <c r="E13"/>
  <c r="E14"/>
  <c r="F14"/>
  <c r="E16"/>
  <c r="F16"/>
  <c r="E17"/>
  <c r="F17"/>
  <c r="E18"/>
  <c r="F18"/>
  <c r="E19"/>
  <c r="F19"/>
  <c r="E20"/>
  <c r="E21"/>
  <c r="E22"/>
  <c r="E23"/>
  <c r="E24"/>
  <c r="E25"/>
  <c r="E27"/>
  <c r="F27"/>
  <c r="E28"/>
  <c r="F28"/>
  <c r="E30"/>
  <c r="E31"/>
  <c r="E32"/>
  <c r="E33"/>
  <c r="E34"/>
  <c r="D14"/>
  <c r="D16"/>
  <c r="D17"/>
  <c r="D18"/>
  <c r="D19"/>
  <c r="D12"/>
  <c r="E10"/>
  <c r="D10"/>
  <c r="E6"/>
  <c r="E7"/>
  <c r="F7"/>
  <c r="D7"/>
  <c r="AD102"/>
  <c r="AC102"/>
  <c r="AB102"/>
  <c r="AD71"/>
  <c r="AC71"/>
  <c r="AB71"/>
  <c r="AC35"/>
  <c r="AB35"/>
  <c r="AD31"/>
  <c r="AD30"/>
  <c r="AD35" s="1"/>
  <c r="AD29"/>
  <c r="AC29"/>
  <c r="AB29"/>
  <c r="AC26"/>
  <c r="AB25"/>
  <c r="AD25" s="1"/>
  <c r="AD26" s="1"/>
  <c r="AG50" i="51"/>
  <c r="U50"/>
  <c r="AG51"/>
  <c r="O26" i="52"/>
  <c r="O25"/>
  <c r="E71" i="14"/>
  <c r="E70"/>
  <c r="E74"/>
  <c r="F70"/>
  <c r="E33"/>
  <c r="E5"/>
  <c r="H35" i="15"/>
  <c r="I35" s="1"/>
  <c r="H47"/>
  <c r="I31"/>
  <c r="I32"/>
  <c r="I33"/>
  <c r="I34"/>
  <c r="AC24" i="52"/>
  <c r="R24"/>
  <c r="AC25"/>
  <c r="R25"/>
  <c r="O51" i="12"/>
  <c r="O30"/>
  <c r="I56"/>
  <c r="I57"/>
  <c r="I58"/>
  <c r="I16"/>
  <c r="I17"/>
  <c r="D35" i="15"/>
  <c r="N73"/>
  <c r="O73"/>
  <c r="M73"/>
  <c r="N71"/>
  <c r="O71"/>
  <c r="M71"/>
  <c r="N69"/>
  <c r="N66"/>
  <c r="N65"/>
  <c r="N59"/>
  <c r="O59"/>
  <c r="M59"/>
  <c r="K73"/>
  <c r="L73"/>
  <c r="J73"/>
  <c r="K71"/>
  <c r="L71"/>
  <c r="J71"/>
  <c r="K69"/>
  <c r="K66"/>
  <c r="K65"/>
  <c r="K62"/>
  <c r="K61"/>
  <c r="L61"/>
  <c r="J61"/>
  <c r="K60"/>
  <c r="K59"/>
  <c r="K58"/>
  <c r="K56"/>
  <c r="K54"/>
  <c r="K53"/>
  <c r="H73"/>
  <c r="I73"/>
  <c r="G73"/>
  <c r="H71"/>
  <c r="I71"/>
  <c r="G71"/>
  <c r="H66"/>
  <c r="H65"/>
  <c r="H59"/>
  <c r="H54"/>
  <c r="I57" i="16"/>
  <c r="I21"/>
  <c r="N15" i="15"/>
  <c r="O15"/>
  <c r="O5"/>
  <c r="O4" s="1"/>
  <c r="N4"/>
  <c r="AC36" i="7" l="1"/>
  <c r="AD36"/>
  <c r="AC94"/>
  <c r="AB26"/>
  <c r="AB36" s="1"/>
  <c r="AB94" s="1"/>
  <c r="AD94" l="1"/>
  <c r="C14" i="20"/>
  <c r="C13"/>
  <c r="C71" i="19"/>
  <c r="C70"/>
  <c r="C69"/>
  <c r="C68"/>
  <c r="C67"/>
  <c r="C66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12"/>
  <c r="C13"/>
  <c r="E66" i="12"/>
  <c r="P54"/>
  <c r="P49"/>
  <c r="P44"/>
  <c r="R44" s="1"/>
  <c r="P35"/>
  <c r="P17"/>
  <c r="P5"/>
  <c r="M17"/>
  <c r="M5"/>
  <c r="L76"/>
  <c r="J76"/>
  <c r="J75"/>
  <c r="J74"/>
  <c r="J73"/>
  <c r="L73" s="1"/>
  <c r="J54"/>
  <c r="L54" s="1"/>
  <c r="L51"/>
  <c r="J51"/>
  <c r="J49"/>
  <c r="L49" s="1"/>
  <c r="J35"/>
  <c r="L35" s="1"/>
  <c r="J34"/>
  <c r="L34" s="1"/>
  <c r="J27"/>
  <c r="J22"/>
  <c r="L22" s="1"/>
  <c r="J17"/>
  <c r="L17" s="1"/>
  <c r="H66"/>
  <c r="G76"/>
  <c r="G75"/>
  <c r="G74"/>
  <c r="G73"/>
  <c r="G65"/>
  <c r="G64"/>
  <c r="G63"/>
  <c r="D63" s="1"/>
  <c r="G62"/>
  <c r="I62" s="1"/>
  <c r="G55"/>
  <c r="G54"/>
  <c r="G49"/>
  <c r="G47"/>
  <c r="I47" s="1"/>
  <c r="G45"/>
  <c r="G42"/>
  <c r="G50" s="1"/>
  <c r="G35"/>
  <c r="G22"/>
  <c r="M47" i="16"/>
  <c r="O47" s="1"/>
  <c r="J64"/>
  <c r="J63"/>
  <c r="J62"/>
  <c r="J61"/>
  <c r="J65" s="1"/>
  <c r="J53"/>
  <c r="J38"/>
  <c r="J37"/>
  <c r="J34"/>
  <c r="L34"/>
  <c r="M21"/>
  <c r="H65"/>
  <c r="G75"/>
  <c r="I75" s="1"/>
  <c r="G74"/>
  <c r="G73"/>
  <c r="G72"/>
  <c r="I72" s="1"/>
  <c r="G62"/>
  <c r="G61"/>
  <c r="G65" s="1"/>
  <c r="G53"/>
  <c r="G48"/>
  <c r="G47"/>
  <c r="G35"/>
  <c r="G34"/>
  <c r="G33"/>
  <c r="G31"/>
  <c r="G30"/>
  <c r="G29"/>
  <c r="G28"/>
  <c r="G27"/>
  <c r="G22"/>
  <c r="G17"/>
  <c r="G5"/>
  <c r="D74" i="14"/>
  <c r="D73"/>
  <c r="D72"/>
  <c r="D71"/>
  <c r="E65"/>
  <c r="D64"/>
  <c r="D62"/>
  <c r="F62" s="1"/>
  <c r="D61"/>
  <c r="G65" i="15" s="1"/>
  <c r="D44" i="14"/>
  <c r="D57"/>
  <c r="D56"/>
  <c r="D55"/>
  <c r="D54"/>
  <c r="D53"/>
  <c r="D51"/>
  <c r="D50"/>
  <c r="D48"/>
  <c r="D47"/>
  <c r="D46"/>
  <c r="D45"/>
  <c r="D43"/>
  <c r="D42"/>
  <c r="D41"/>
  <c r="D40"/>
  <c r="D38"/>
  <c r="D37"/>
  <c r="D35"/>
  <c r="D34"/>
  <c r="D33"/>
  <c r="D31"/>
  <c r="D30"/>
  <c r="D29"/>
  <c r="D28"/>
  <c r="D27"/>
  <c r="D22"/>
  <c r="D21"/>
  <c r="D20"/>
  <c r="D17"/>
  <c r="D18"/>
  <c r="D11"/>
  <c r="D12"/>
  <c r="D13"/>
  <c r="D14"/>
  <c r="D15"/>
  <c r="D16"/>
  <c r="D6"/>
  <c r="D7"/>
  <c r="D8"/>
  <c r="D9"/>
  <c r="D10"/>
  <c r="D5"/>
  <c r="M47" i="15"/>
  <c r="M44"/>
  <c r="O44" s="1"/>
  <c r="M33"/>
  <c r="D33" s="1"/>
  <c r="M34"/>
  <c r="D34" s="1"/>
  <c r="M31"/>
  <c r="D31" s="1"/>
  <c r="M32"/>
  <c r="D32" s="1"/>
  <c r="M30"/>
  <c r="M29"/>
  <c r="J47"/>
  <c r="J44"/>
  <c r="J29"/>
  <c r="L29" s="1"/>
  <c r="G47"/>
  <c r="G44"/>
  <c r="I44" s="1"/>
  <c r="G30"/>
  <c r="D30" s="1"/>
  <c r="G29"/>
  <c r="AE101" i="7"/>
  <c r="D101" s="1"/>
  <c r="AE100"/>
  <c r="D100" s="1"/>
  <c r="AE70"/>
  <c r="D70" s="1"/>
  <c r="AE69"/>
  <c r="D69" s="1"/>
  <c r="AE68"/>
  <c r="D68" s="1"/>
  <c r="AE67"/>
  <c r="D67" s="1"/>
  <c r="AE66"/>
  <c r="D66" s="1"/>
  <c r="AE65"/>
  <c r="D65" s="1"/>
  <c r="AE64"/>
  <c r="D64" s="1"/>
  <c r="AE58"/>
  <c r="AE20"/>
  <c r="Y25"/>
  <c r="V34"/>
  <c r="V6"/>
  <c r="D6" s="1"/>
  <c r="S30"/>
  <c r="S25"/>
  <c r="P30"/>
  <c r="P22"/>
  <c r="M30"/>
  <c r="M20"/>
  <c r="J30"/>
  <c r="J20"/>
  <c r="G60"/>
  <c r="D60" s="1"/>
  <c r="G59"/>
  <c r="D59" s="1"/>
  <c r="G58"/>
  <c r="D58" s="1"/>
  <c r="G34"/>
  <c r="D34" s="1"/>
  <c r="G33"/>
  <c r="D33" s="1"/>
  <c r="G32"/>
  <c r="D32" s="1"/>
  <c r="G31"/>
  <c r="D31" s="1"/>
  <c r="G30"/>
  <c r="D30" s="1"/>
  <c r="G28"/>
  <c r="D28" s="1"/>
  <c r="G27"/>
  <c r="D27" s="1"/>
  <c r="G23"/>
  <c r="D23" s="1"/>
  <c r="G24"/>
  <c r="D24" s="1"/>
  <c r="G25"/>
  <c r="D25" s="1"/>
  <c r="G22"/>
  <c r="D22" s="1"/>
  <c r="G21"/>
  <c r="D21" s="1"/>
  <c r="G13"/>
  <c r="D13" s="1"/>
  <c r="I46" i="40"/>
  <c r="I32"/>
  <c r="I31"/>
  <c r="F29"/>
  <c r="F28"/>
  <c r="F4"/>
  <c r="C25"/>
  <c r="C24"/>
  <c r="C23"/>
  <c r="C22"/>
  <c r="C21"/>
  <c r="C20"/>
  <c r="C19"/>
  <c r="C18"/>
  <c r="C17"/>
  <c r="C16"/>
  <c r="C13"/>
  <c r="C14"/>
  <c r="C9"/>
  <c r="C10"/>
  <c r="C11"/>
  <c r="C12"/>
  <c r="C8"/>
  <c r="C6" i="37"/>
  <c r="J6" i="6"/>
  <c r="J5"/>
  <c r="AE50" i="41"/>
  <c r="AE51"/>
  <c r="AE52"/>
  <c r="AE47"/>
  <c r="AE48"/>
  <c r="AE49"/>
  <c r="AE46"/>
  <c r="Y58"/>
  <c r="Y57"/>
  <c r="Y56"/>
  <c r="Y55"/>
  <c r="Y50"/>
  <c r="Y51"/>
  <c r="Y52"/>
  <c r="Y47"/>
  <c r="Y48"/>
  <c r="Y49"/>
  <c r="Y46"/>
  <c r="V58"/>
  <c r="V57"/>
  <c r="V56"/>
  <c r="V55"/>
  <c r="V50"/>
  <c r="V51"/>
  <c r="V52"/>
  <c r="V47"/>
  <c r="V48"/>
  <c r="V49"/>
  <c r="V46"/>
  <c r="S58"/>
  <c r="S57"/>
  <c r="S56"/>
  <c r="S55"/>
  <c r="S50"/>
  <c r="S51"/>
  <c r="S52"/>
  <c r="S47"/>
  <c r="S48"/>
  <c r="S49"/>
  <c r="S46"/>
  <c r="P49"/>
  <c r="P50"/>
  <c r="P51"/>
  <c r="P52"/>
  <c r="P47"/>
  <c r="P48"/>
  <c r="P46"/>
  <c r="M56"/>
  <c r="M57"/>
  <c r="M58"/>
  <c r="M55"/>
  <c r="J58"/>
  <c r="J57"/>
  <c r="J56"/>
  <c r="J55"/>
  <c r="J52"/>
  <c r="J51"/>
  <c r="J50"/>
  <c r="J49"/>
  <c r="J48"/>
  <c r="J47"/>
  <c r="J46"/>
  <c r="G58"/>
  <c r="G57"/>
  <c r="G56"/>
  <c r="G55"/>
  <c r="G50"/>
  <c r="G51"/>
  <c r="G52"/>
  <c r="G47"/>
  <c r="G48"/>
  <c r="G49"/>
  <c r="G46"/>
  <c r="D33" i="1"/>
  <c r="D32"/>
  <c r="D31"/>
  <c r="D30"/>
  <c r="D29"/>
  <c r="D27"/>
  <c r="D26"/>
  <c r="D24"/>
  <c r="D23"/>
  <c r="D22"/>
  <c r="D21"/>
  <c r="D20"/>
  <c r="D19"/>
  <c r="D18"/>
  <c r="D16"/>
  <c r="D15"/>
  <c r="D13"/>
  <c r="D12"/>
  <c r="D11"/>
  <c r="E43" i="46"/>
  <c r="B43"/>
  <c r="B26" i="44"/>
  <c r="B25"/>
  <c r="B24"/>
  <c r="B23"/>
  <c r="B22"/>
  <c r="B21"/>
  <c r="B20"/>
  <c r="B19"/>
  <c r="B18"/>
  <c r="B17"/>
  <c r="B16"/>
  <c r="B15"/>
  <c r="B13"/>
  <c r="B12"/>
  <c r="B11"/>
  <c r="B7"/>
  <c r="B6"/>
  <c r="B5"/>
  <c r="B4"/>
  <c r="B3"/>
  <c r="C77" i="9"/>
  <c r="C76"/>
  <c r="C73"/>
  <c r="C70"/>
  <c r="C71"/>
  <c r="C68"/>
  <c r="C67"/>
  <c r="C64"/>
  <c r="C63"/>
  <c r="C62"/>
  <c r="C61"/>
  <c r="C60"/>
  <c r="C59"/>
  <c r="C58"/>
  <c r="C57"/>
  <c r="C56"/>
  <c r="C55"/>
  <c r="C53"/>
  <c r="C51"/>
  <c r="C50"/>
  <c r="C49"/>
  <c r="C48"/>
  <c r="C46"/>
  <c r="C45"/>
  <c r="C44"/>
  <c r="C36"/>
  <c r="C35"/>
  <c r="C34"/>
  <c r="C33"/>
  <c r="C32"/>
  <c r="C31"/>
  <c r="C30"/>
  <c r="C29"/>
  <c r="C28"/>
  <c r="C27"/>
  <c r="C26"/>
  <c r="C25"/>
  <c r="C24"/>
  <c r="C22"/>
  <c r="C21"/>
  <c r="C20"/>
  <c r="C19"/>
  <c r="C18"/>
  <c r="C17"/>
  <c r="C16"/>
  <c r="C15"/>
  <c r="C14"/>
  <c r="C13"/>
  <c r="C6"/>
  <c r="C7"/>
  <c r="C8"/>
  <c r="C9"/>
  <c r="C10"/>
  <c r="C5"/>
  <c r="C15" i="40" l="1"/>
  <c r="D62" i="12"/>
  <c r="M65" i="15" s="1"/>
  <c r="F63" i="12"/>
  <c r="F61" i="14"/>
  <c r="G66" i="12"/>
  <c r="I63"/>
  <c r="D20" i="7"/>
  <c r="Y9" i="56"/>
  <c r="AC21" i="54"/>
  <c r="T21"/>
  <c r="AC20"/>
  <c r="T20"/>
  <c r="AC19"/>
  <c r="T19"/>
  <c r="AC18"/>
  <c r="T18"/>
  <c r="AC28"/>
  <c r="T28"/>
  <c r="AC27"/>
  <c r="T27"/>
  <c r="AC26"/>
  <c r="T26"/>
  <c r="AC25"/>
  <c r="T25"/>
  <c r="AC24"/>
  <c r="T24"/>
  <c r="AC23"/>
  <c r="T23"/>
  <c r="AC22"/>
  <c r="T22"/>
  <c r="AC39"/>
  <c r="T6"/>
  <c r="AD26" i="53"/>
  <c r="AD25"/>
  <c r="AD24"/>
  <c r="AD23"/>
  <c r="AD22"/>
  <c r="AD21"/>
  <c r="AD20"/>
  <c r="AD19"/>
  <c r="AD18"/>
  <c r="AD17"/>
  <c r="AD15"/>
  <c r="AD14"/>
  <c r="AD13"/>
  <c r="AD12"/>
  <c r="AD11"/>
  <c r="AD10"/>
  <c r="AD9"/>
  <c r="AD8"/>
  <c r="AD7"/>
  <c r="AD6"/>
  <c r="AD16"/>
  <c r="U7"/>
  <c r="U8"/>
  <c r="U6"/>
  <c r="U22"/>
  <c r="U13"/>
  <c r="I65" i="15" l="1"/>
  <c r="H45" i="12"/>
  <c r="H50" s="1"/>
  <c r="K43" i="15"/>
  <c r="D11" i="37"/>
  <c r="D12"/>
  <c r="D13"/>
  <c r="D14"/>
  <c r="D15"/>
  <c r="D16"/>
  <c r="D31" i="30"/>
  <c r="D33"/>
  <c r="E31"/>
  <c r="E37"/>
  <c r="H31"/>
  <c r="D12"/>
  <c r="H26" i="20" l="1"/>
  <c r="G26"/>
  <c r="G33" s="1"/>
  <c r="F26"/>
  <c r="E26"/>
  <c r="D26"/>
  <c r="H23"/>
  <c r="G23"/>
  <c r="F23"/>
  <c r="E23"/>
  <c r="D23"/>
  <c r="H22"/>
  <c r="H17"/>
  <c r="G17"/>
  <c r="F17"/>
  <c r="D17"/>
  <c r="C17"/>
  <c r="C33" s="1"/>
  <c r="E14"/>
  <c r="E13"/>
  <c r="E17" s="1"/>
  <c r="D12"/>
  <c r="C12"/>
  <c r="H72" i="19"/>
  <c r="G72"/>
  <c r="F72"/>
  <c r="C72"/>
  <c r="E71"/>
  <c r="D72"/>
  <c r="E68"/>
  <c r="E66"/>
  <c r="E56"/>
  <c r="E40"/>
  <c r="E39"/>
  <c r="E38"/>
  <c r="E37"/>
  <c r="E36"/>
  <c r="E35"/>
  <c r="E34"/>
  <c r="D11"/>
  <c r="D59" s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H11"/>
  <c r="H59" s="1"/>
  <c r="H73" s="1"/>
  <c r="G11"/>
  <c r="G59" s="1"/>
  <c r="F11"/>
  <c r="F59" s="1"/>
  <c r="C11"/>
  <c r="C59" s="1"/>
  <c r="E33" i="20" l="1"/>
  <c r="D33"/>
  <c r="H33"/>
  <c r="E12"/>
  <c r="F33"/>
  <c r="E33" i="19"/>
  <c r="E11" s="1"/>
  <c r="E59" s="1"/>
  <c r="E70"/>
  <c r="E72" s="1"/>
  <c r="F73"/>
  <c r="D73"/>
  <c r="C73"/>
  <c r="G73"/>
  <c r="E73" l="1"/>
  <c r="D23" i="44"/>
  <c r="D24"/>
  <c r="D18"/>
  <c r="D17"/>
  <c r="D16"/>
  <c r="B31"/>
  <c r="G31" i="30"/>
  <c r="F31"/>
  <c r="I33"/>
  <c r="H33"/>
  <c r="G33"/>
  <c r="F33"/>
  <c r="E33"/>
  <c r="D30"/>
  <c r="D29"/>
  <c r="E29"/>
  <c r="I28"/>
  <c r="H28"/>
  <c r="G28"/>
  <c r="F28"/>
  <c r="E28"/>
  <c r="D28"/>
  <c r="I27"/>
  <c r="H27"/>
  <c r="G27"/>
  <c r="F27"/>
  <c r="E27"/>
  <c r="D27"/>
  <c r="I26"/>
  <c r="H26"/>
  <c r="G26"/>
  <c r="F26"/>
  <c r="E26"/>
  <c r="D26"/>
  <c r="I19"/>
  <c r="G11"/>
  <c r="E11"/>
  <c r="I5"/>
  <c r="H5"/>
  <c r="G5"/>
  <c r="F5"/>
  <c r="E5"/>
  <c r="D5"/>
  <c r="I4"/>
  <c r="H4"/>
  <c r="G4"/>
  <c r="F4"/>
  <c r="E4"/>
  <c r="D4"/>
  <c r="E15" i="21"/>
  <c r="E14"/>
  <c r="E13"/>
  <c r="E12"/>
  <c r="E11"/>
  <c r="E9"/>
  <c r="E8"/>
  <c r="E6"/>
  <c r="H14" i="18" l="1"/>
  <c r="G14"/>
  <c r="F14"/>
  <c r="C5"/>
  <c r="AG25" i="51" l="1"/>
  <c r="U25"/>
  <c r="AG24"/>
  <c r="U24"/>
  <c r="G11" i="18"/>
  <c r="F11"/>
  <c r="AF102" i="7"/>
  <c r="E102" s="1"/>
  <c r="AE102"/>
  <c r="D102" s="1"/>
  <c r="F15" i="18" l="1"/>
  <c r="F13" s="1"/>
  <c r="C42" i="17"/>
  <c r="G15" i="18"/>
  <c r="G13" s="1"/>
  <c r="D42" i="17"/>
  <c r="D24"/>
  <c r="C24"/>
  <c r="M29" i="40"/>
  <c r="L29"/>
  <c r="H29"/>
  <c r="N29" s="1"/>
  <c r="G43" i="46"/>
  <c r="D43"/>
  <c r="H38"/>
  <c r="I38"/>
  <c r="J38"/>
  <c r="B13"/>
  <c r="G44" l="1"/>
  <c r="F44"/>
  <c r="E44"/>
  <c r="D44"/>
  <c r="C44"/>
  <c r="B44"/>
  <c r="G36"/>
  <c r="G35"/>
  <c r="G34"/>
  <c r="G33"/>
  <c r="G32"/>
  <c r="G31"/>
  <c r="G30"/>
  <c r="G29"/>
  <c r="G27"/>
  <c r="G25"/>
  <c r="G23"/>
  <c r="G22"/>
  <c r="G20"/>
  <c r="G19"/>
  <c r="G18"/>
  <c r="G17"/>
  <c r="G15"/>
  <c r="G14"/>
  <c r="G12"/>
  <c r="G11"/>
  <c r="G10"/>
  <c r="G9"/>
  <c r="G8"/>
  <c r="G7"/>
  <c r="G6"/>
  <c r="G5"/>
  <c r="G4"/>
  <c r="G3"/>
  <c r="D41"/>
  <c r="D40"/>
  <c r="D39"/>
  <c r="D38"/>
  <c r="D37"/>
  <c r="D26"/>
  <c r="D25"/>
  <c r="D23"/>
  <c r="D22"/>
  <c r="D20"/>
  <c r="D19"/>
  <c r="D18"/>
  <c r="D17"/>
  <c r="D15"/>
  <c r="D14"/>
  <c r="D12"/>
  <c r="D11"/>
  <c r="D10"/>
  <c r="D9"/>
  <c r="D8"/>
  <c r="D7"/>
  <c r="D6"/>
  <c r="D5"/>
  <c r="D4"/>
  <c r="D3"/>
  <c r="I43"/>
  <c r="I44" s="1"/>
  <c r="I42"/>
  <c r="I41"/>
  <c r="I40"/>
  <c r="I39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2"/>
  <c r="I11"/>
  <c r="I10"/>
  <c r="I9"/>
  <c r="I8"/>
  <c r="I7"/>
  <c r="I6"/>
  <c r="I5"/>
  <c r="I4"/>
  <c r="I3"/>
  <c r="I13" s="1"/>
  <c r="H64"/>
  <c r="H43"/>
  <c r="H44" s="1"/>
  <c r="H42"/>
  <c r="H41"/>
  <c r="H40"/>
  <c r="H39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2"/>
  <c r="H11"/>
  <c r="H10"/>
  <c r="H9"/>
  <c r="H8"/>
  <c r="H7"/>
  <c r="H6"/>
  <c r="H5"/>
  <c r="H4"/>
  <c r="H3"/>
  <c r="H13" s="1"/>
  <c r="E37"/>
  <c r="E27"/>
  <c r="E28" s="1"/>
  <c r="E24"/>
  <c r="E21"/>
  <c r="E13"/>
  <c r="B27"/>
  <c r="B28" s="1"/>
  <c r="B24"/>
  <c r="B21"/>
  <c r="B16"/>
  <c r="M31" i="40" l="1"/>
  <c r="L31"/>
  <c r="K31"/>
  <c r="H31"/>
  <c r="X64" i="41"/>
  <c r="W64"/>
  <c r="V64"/>
  <c r="W59"/>
  <c r="V59"/>
  <c r="X58"/>
  <c r="X57"/>
  <c r="X56"/>
  <c r="X55"/>
  <c r="W53"/>
  <c r="V53"/>
  <c r="X52"/>
  <c r="X51"/>
  <c r="X50"/>
  <c r="X49"/>
  <c r="X48"/>
  <c r="X47"/>
  <c r="X46"/>
  <c r="X34"/>
  <c r="X35" s="1"/>
  <c r="W34"/>
  <c r="V34"/>
  <c r="V35" s="1"/>
  <c r="X28"/>
  <c r="W28"/>
  <c r="W35" s="1"/>
  <c r="V28"/>
  <c r="X25"/>
  <c r="W25"/>
  <c r="V25"/>
  <c r="X17"/>
  <c r="W17"/>
  <c r="V17"/>
  <c r="X14"/>
  <c r="W14"/>
  <c r="V14"/>
  <c r="U64"/>
  <c r="T64"/>
  <c r="S64"/>
  <c r="T59"/>
  <c r="S59"/>
  <c r="U58"/>
  <c r="U57"/>
  <c r="U56"/>
  <c r="U55"/>
  <c r="U59" s="1"/>
  <c r="S53"/>
  <c r="U52"/>
  <c r="U51"/>
  <c r="U50"/>
  <c r="U49"/>
  <c r="U48"/>
  <c r="U47"/>
  <c r="U34"/>
  <c r="T34"/>
  <c r="T35" s="1"/>
  <c r="S34"/>
  <c r="U28"/>
  <c r="U35" s="1"/>
  <c r="T28"/>
  <c r="S28"/>
  <c r="S35" s="1"/>
  <c r="U25"/>
  <c r="T25"/>
  <c r="S25"/>
  <c r="U17"/>
  <c r="T17"/>
  <c r="S17"/>
  <c r="U14"/>
  <c r="T14"/>
  <c r="S14"/>
  <c r="F18" i="1"/>
  <c r="F19"/>
  <c r="F20"/>
  <c r="F21"/>
  <c r="F22"/>
  <c r="U23" i="7"/>
  <c r="U24"/>
  <c r="F24" s="1"/>
  <c r="U25"/>
  <c r="D12" i="43"/>
  <c r="X34" i="7"/>
  <c r="X59" i="41" l="1"/>
  <c r="N31" i="40"/>
  <c r="X53" i="41"/>
  <c r="X66" s="1"/>
  <c r="W66"/>
  <c r="V66"/>
  <c r="U46"/>
  <c r="U53" s="1"/>
  <c r="U66" s="1"/>
  <c r="S66"/>
  <c r="T53"/>
  <c r="T66" s="1"/>
  <c r="K32" i="40"/>
  <c r="M30"/>
  <c r="L30"/>
  <c r="H30"/>
  <c r="N30" s="1"/>
  <c r="H28"/>
  <c r="L64" i="41"/>
  <c r="K64"/>
  <c r="J64"/>
  <c r="K59"/>
  <c r="J59"/>
  <c r="L58"/>
  <c r="L57"/>
  <c r="L56"/>
  <c r="L55"/>
  <c r="K53"/>
  <c r="J53"/>
  <c r="L52"/>
  <c r="L51"/>
  <c r="L50"/>
  <c r="F50" s="1"/>
  <c r="L49"/>
  <c r="L48"/>
  <c r="L47"/>
  <c r="L46"/>
  <c r="L34"/>
  <c r="K34"/>
  <c r="K35" s="1"/>
  <c r="J34"/>
  <c r="L28"/>
  <c r="K28"/>
  <c r="J28"/>
  <c r="J35" s="1"/>
  <c r="L25"/>
  <c r="K25"/>
  <c r="J25"/>
  <c r="L17"/>
  <c r="L35" s="1"/>
  <c r="K17"/>
  <c r="J17"/>
  <c r="L14"/>
  <c r="K14"/>
  <c r="J14"/>
  <c r="R64"/>
  <c r="Q64"/>
  <c r="P64"/>
  <c r="Q59"/>
  <c r="P59"/>
  <c r="R58"/>
  <c r="F58" s="1"/>
  <c r="R57"/>
  <c r="R56"/>
  <c r="F56" s="1"/>
  <c r="R55"/>
  <c r="P53"/>
  <c r="R52"/>
  <c r="R51"/>
  <c r="R50"/>
  <c r="R49"/>
  <c r="R48"/>
  <c r="R47"/>
  <c r="R46"/>
  <c r="R34"/>
  <c r="Q34"/>
  <c r="Q35" s="1"/>
  <c r="P34"/>
  <c r="R28"/>
  <c r="Q28"/>
  <c r="P28"/>
  <c r="P35" s="1"/>
  <c r="R25"/>
  <c r="Q25"/>
  <c r="P25"/>
  <c r="R17"/>
  <c r="Q17"/>
  <c r="P17"/>
  <c r="R14"/>
  <c r="Q14"/>
  <c r="P14"/>
  <c r="AG62" i="7"/>
  <c r="AG61"/>
  <c r="F61" s="1"/>
  <c r="AG60"/>
  <c r="AG59"/>
  <c r="AG58"/>
  <c r="F58" s="1"/>
  <c r="F77" i="15"/>
  <c r="E77"/>
  <c r="D77"/>
  <c r="E73"/>
  <c r="E71"/>
  <c r="D71"/>
  <c r="K67"/>
  <c r="E65"/>
  <c r="E59"/>
  <c r="K63"/>
  <c r="O47"/>
  <c r="L47"/>
  <c r="I47"/>
  <c r="E47"/>
  <c r="D47"/>
  <c r="K46"/>
  <c r="K48" s="1"/>
  <c r="F45"/>
  <c r="E45"/>
  <c r="D45"/>
  <c r="E44"/>
  <c r="D44"/>
  <c r="O43"/>
  <c r="O46" s="1"/>
  <c r="N43"/>
  <c r="N46" s="1"/>
  <c r="N48" s="1"/>
  <c r="M43"/>
  <c r="M46" s="1"/>
  <c r="M48" s="1"/>
  <c r="L43"/>
  <c r="L46" s="1"/>
  <c r="J43"/>
  <c r="J46" s="1"/>
  <c r="J48" s="1"/>
  <c r="I43"/>
  <c r="I46" s="1"/>
  <c r="H43"/>
  <c r="H46" s="1"/>
  <c r="H48" s="1"/>
  <c r="G43"/>
  <c r="G46" s="1"/>
  <c r="G48" s="1"/>
  <c r="M41"/>
  <c r="J41"/>
  <c r="G41"/>
  <c r="F40"/>
  <c r="F41" s="1"/>
  <c r="E40"/>
  <c r="E41" s="1"/>
  <c r="D40"/>
  <c r="D41" s="1"/>
  <c r="M39"/>
  <c r="J39"/>
  <c r="G39"/>
  <c r="C39"/>
  <c r="F38"/>
  <c r="F39" s="1"/>
  <c r="E38"/>
  <c r="E39" s="1"/>
  <c r="D38"/>
  <c r="D39" s="1"/>
  <c r="F37"/>
  <c r="E37"/>
  <c r="D37"/>
  <c r="N36"/>
  <c r="N42" s="1"/>
  <c r="K36"/>
  <c r="K42" s="1"/>
  <c r="J36"/>
  <c r="H36"/>
  <c r="H42" s="1"/>
  <c r="G36"/>
  <c r="F35"/>
  <c r="E35"/>
  <c r="F34"/>
  <c r="E34"/>
  <c r="O33"/>
  <c r="F33" s="1"/>
  <c r="E33"/>
  <c r="O32"/>
  <c r="F32" s="1"/>
  <c r="E32"/>
  <c r="O31"/>
  <c r="F31" s="1"/>
  <c r="E31"/>
  <c r="O30"/>
  <c r="I30"/>
  <c r="E30"/>
  <c r="M36"/>
  <c r="L36"/>
  <c r="L42" s="1"/>
  <c r="I29"/>
  <c r="I36" s="1"/>
  <c r="I42" s="1"/>
  <c r="E29"/>
  <c r="D29"/>
  <c r="D36" s="1"/>
  <c r="F28"/>
  <c r="E28"/>
  <c r="D28"/>
  <c r="F27"/>
  <c r="E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M16"/>
  <c r="M27" s="1"/>
  <c r="J16"/>
  <c r="J27" s="1"/>
  <c r="F16"/>
  <c r="E16"/>
  <c r="D16"/>
  <c r="F15"/>
  <c r="E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M4"/>
  <c r="M15" s="1"/>
  <c r="J4"/>
  <c r="J15" s="1"/>
  <c r="D15" s="1"/>
  <c r="F4"/>
  <c r="E4"/>
  <c r="D4"/>
  <c r="F81" i="14"/>
  <c r="E81"/>
  <c r="D81"/>
  <c r="E75"/>
  <c r="H69" i="15" s="1"/>
  <c r="E69" s="1"/>
  <c r="D75" i="14"/>
  <c r="G69" i="15" s="1"/>
  <c r="F74" i="14"/>
  <c r="F71"/>
  <c r="F64"/>
  <c r="F63" s="1"/>
  <c r="D63"/>
  <c r="E61"/>
  <c r="E58"/>
  <c r="H62" i="15" s="1"/>
  <c r="D58" i="14"/>
  <c r="G62" i="15" s="1"/>
  <c r="F57" i="14"/>
  <c r="F53"/>
  <c r="E52"/>
  <c r="H61" i="15" s="1"/>
  <c r="D52" i="14"/>
  <c r="G61" i="15" s="1"/>
  <c r="F50" i="14"/>
  <c r="F52" s="1"/>
  <c r="I61" i="15" s="1"/>
  <c r="E49" i="14"/>
  <c r="H60" i="15" s="1"/>
  <c r="F48" i="14"/>
  <c r="F47"/>
  <c r="F46"/>
  <c r="F45"/>
  <c r="D49"/>
  <c r="G60" i="15" s="1"/>
  <c r="F43" i="14"/>
  <c r="F42"/>
  <c r="E39"/>
  <c r="D39"/>
  <c r="G59" i="15" s="1"/>
  <c r="F38" i="14"/>
  <c r="F37"/>
  <c r="E36"/>
  <c r="H58" i="15" s="1"/>
  <c r="D36" i="14"/>
  <c r="G58" i="15" s="1"/>
  <c r="G63" s="1"/>
  <c r="F35" i="14"/>
  <c r="F34"/>
  <c r="F33"/>
  <c r="F31"/>
  <c r="F30"/>
  <c r="F29"/>
  <c r="F28"/>
  <c r="F27"/>
  <c r="E26"/>
  <c r="H56" i="15" s="1"/>
  <c r="D26" i="14"/>
  <c r="G56" i="15" s="1"/>
  <c r="E23" i="14"/>
  <c r="D23"/>
  <c r="G54" i="15" s="1"/>
  <c r="F22" i="14"/>
  <c r="F21"/>
  <c r="E19"/>
  <c r="D19"/>
  <c r="G53" i="15" s="1"/>
  <c r="G55" s="1"/>
  <c r="F18" i="14"/>
  <c r="F17"/>
  <c r="F16"/>
  <c r="F15"/>
  <c r="F14"/>
  <c r="F13"/>
  <c r="F12"/>
  <c r="F11"/>
  <c r="F10"/>
  <c r="F9"/>
  <c r="F8"/>
  <c r="F7"/>
  <c r="F6"/>
  <c r="F5"/>
  <c r="R82" i="16"/>
  <c r="Q82"/>
  <c r="P82"/>
  <c r="O82"/>
  <c r="N82"/>
  <c r="M82"/>
  <c r="L82"/>
  <c r="K82"/>
  <c r="J82"/>
  <c r="I82"/>
  <c r="H82"/>
  <c r="G82"/>
  <c r="F81"/>
  <c r="E81"/>
  <c r="D81"/>
  <c r="F80"/>
  <c r="E80"/>
  <c r="D80"/>
  <c r="F79"/>
  <c r="E79"/>
  <c r="D79"/>
  <c r="F78"/>
  <c r="F82" s="1"/>
  <c r="E78"/>
  <c r="E82" s="1"/>
  <c r="D78"/>
  <c r="D82" s="1"/>
  <c r="R76"/>
  <c r="Q76"/>
  <c r="P76"/>
  <c r="O76"/>
  <c r="N76"/>
  <c r="M76"/>
  <c r="L76"/>
  <c r="K76"/>
  <c r="J76"/>
  <c r="H76"/>
  <c r="G76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R65"/>
  <c r="Q65"/>
  <c r="P65"/>
  <c r="O65"/>
  <c r="N65"/>
  <c r="M65"/>
  <c r="L64"/>
  <c r="F64" s="1"/>
  <c r="E64"/>
  <c r="D64"/>
  <c r="K63"/>
  <c r="E63" s="1"/>
  <c r="D63"/>
  <c r="L62"/>
  <c r="L61" s="1"/>
  <c r="I62"/>
  <c r="E62"/>
  <c r="D62"/>
  <c r="K61"/>
  <c r="E61" s="1"/>
  <c r="D61"/>
  <c r="J65" i="15" s="1"/>
  <c r="D65" s="1"/>
  <c r="Q58" i="16"/>
  <c r="Q59" s="1"/>
  <c r="P58"/>
  <c r="O58"/>
  <c r="N58"/>
  <c r="M58"/>
  <c r="K58"/>
  <c r="J58"/>
  <c r="H58"/>
  <c r="G58"/>
  <c r="F57"/>
  <c r="E57"/>
  <c r="D57"/>
  <c r="F56"/>
  <c r="E56"/>
  <c r="D56"/>
  <c r="F55"/>
  <c r="E55"/>
  <c r="D55"/>
  <c r="F54"/>
  <c r="E54"/>
  <c r="D54"/>
  <c r="R53"/>
  <c r="R58" s="1"/>
  <c r="L53"/>
  <c r="L58" s="1"/>
  <c r="I53"/>
  <c r="I58" s="1"/>
  <c r="E53"/>
  <c r="D53"/>
  <c r="D58" s="1"/>
  <c r="J62" i="15" s="1"/>
  <c r="R52" i="16"/>
  <c r="Q52"/>
  <c r="P52"/>
  <c r="P59" s="1"/>
  <c r="O52"/>
  <c r="N52"/>
  <c r="M52"/>
  <c r="L52"/>
  <c r="K52"/>
  <c r="J52"/>
  <c r="H52"/>
  <c r="G52"/>
  <c r="I50"/>
  <c r="I52" s="1"/>
  <c r="F50"/>
  <c r="F52" s="1"/>
  <c r="E50"/>
  <c r="E52" s="1"/>
  <c r="D50"/>
  <c r="D52" s="1"/>
  <c r="Q49"/>
  <c r="P49"/>
  <c r="N49"/>
  <c r="M49"/>
  <c r="K49"/>
  <c r="J49"/>
  <c r="H49"/>
  <c r="G49"/>
  <c r="L48"/>
  <c r="I48"/>
  <c r="E48"/>
  <c r="D48"/>
  <c r="O49"/>
  <c r="I47"/>
  <c r="I49" s="1"/>
  <c r="E47"/>
  <c r="D47"/>
  <c r="F44"/>
  <c r="E44"/>
  <c r="D44"/>
  <c r="L43"/>
  <c r="F43"/>
  <c r="E43"/>
  <c r="D43"/>
  <c r="F42"/>
  <c r="E42"/>
  <c r="D42"/>
  <c r="R41"/>
  <c r="R49" s="1"/>
  <c r="E41"/>
  <c r="D41"/>
  <c r="F40"/>
  <c r="E40"/>
  <c r="D40"/>
  <c r="D49" s="1"/>
  <c r="J60" i="15" s="1"/>
  <c r="R39" i="16"/>
  <c r="Q39"/>
  <c r="P39"/>
  <c r="O39"/>
  <c r="N39"/>
  <c r="M39"/>
  <c r="K39"/>
  <c r="J39"/>
  <c r="I39"/>
  <c r="H39"/>
  <c r="G39"/>
  <c r="L38"/>
  <c r="L39" s="1"/>
  <c r="E38"/>
  <c r="D38"/>
  <c r="L37"/>
  <c r="F37" s="1"/>
  <c r="E37"/>
  <c r="E39" s="1"/>
  <c r="D37"/>
  <c r="R36"/>
  <c r="Q36"/>
  <c r="P36"/>
  <c r="O36"/>
  <c r="N36"/>
  <c r="M36"/>
  <c r="K36"/>
  <c r="J36"/>
  <c r="H36"/>
  <c r="G36"/>
  <c r="F35"/>
  <c r="E35"/>
  <c r="D35"/>
  <c r="L36"/>
  <c r="I34"/>
  <c r="F34" s="1"/>
  <c r="E34"/>
  <c r="D34"/>
  <c r="I33"/>
  <c r="E33"/>
  <c r="E36" s="1"/>
  <c r="D33"/>
  <c r="I31"/>
  <c r="F31" s="1"/>
  <c r="E31"/>
  <c r="D31"/>
  <c r="I30"/>
  <c r="F30" s="1"/>
  <c r="E30"/>
  <c r="D30"/>
  <c r="I29"/>
  <c r="F29" s="1"/>
  <c r="E29"/>
  <c r="D29"/>
  <c r="I28"/>
  <c r="F28" s="1"/>
  <c r="E28"/>
  <c r="D28"/>
  <c r="O27"/>
  <c r="I27"/>
  <c r="F27" s="1"/>
  <c r="E27"/>
  <c r="D27"/>
  <c r="R26"/>
  <c r="Q26"/>
  <c r="P26"/>
  <c r="O26"/>
  <c r="N26"/>
  <c r="M26"/>
  <c r="L26"/>
  <c r="K26"/>
  <c r="J26"/>
  <c r="H26"/>
  <c r="G26"/>
  <c r="D26"/>
  <c r="J56" i="15" s="1"/>
  <c r="Q24" i="16"/>
  <c r="K24"/>
  <c r="R23"/>
  <c r="R24" s="1"/>
  <c r="Q23"/>
  <c r="P23"/>
  <c r="P24" s="1"/>
  <c r="N23"/>
  <c r="N24" s="1"/>
  <c r="M23"/>
  <c r="M24" s="1"/>
  <c r="L23"/>
  <c r="L24" s="1"/>
  <c r="K23"/>
  <c r="J23"/>
  <c r="J24" s="1"/>
  <c r="H23"/>
  <c r="G23"/>
  <c r="I22"/>
  <c r="I23" s="1"/>
  <c r="E22"/>
  <c r="D22"/>
  <c r="O21"/>
  <c r="O23" s="1"/>
  <c r="O24" s="1"/>
  <c r="E21"/>
  <c r="D21"/>
  <c r="F20"/>
  <c r="E20"/>
  <c r="D20"/>
  <c r="R19"/>
  <c r="Q19"/>
  <c r="P19"/>
  <c r="O19"/>
  <c r="N19"/>
  <c r="M19"/>
  <c r="L19"/>
  <c r="K19"/>
  <c r="J19"/>
  <c r="H19"/>
  <c r="G19"/>
  <c r="G24" s="1"/>
  <c r="F18"/>
  <c r="E18"/>
  <c r="D18"/>
  <c r="I17"/>
  <c r="F17" s="1"/>
  <c r="E17"/>
  <c r="D17"/>
  <c r="F16"/>
  <c r="E16"/>
  <c r="D16"/>
  <c r="F15"/>
  <c r="E15"/>
  <c r="D15"/>
  <c r="F14"/>
  <c r="E14"/>
  <c r="D14"/>
  <c r="I13"/>
  <c r="F13"/>
  <c r="E13"/>
  <c r="D13"/>
  <c r="I12"/>
  <c r="F12"/>
  <c r="E12"/>
  <c r="D12"/>
  <c r="I11"/>
  <c r="F11"/>
  <c r="E11"/>
  <c r="D11"/>
  <c r="I10"/>
  <c r="F10" s="1"/>
  <c r="E10"/>
  <c r="D10"/>
  <c r="I9"/>
  <c r="F9"/>
  <c r="E9"/>
  <c r="D9"/>
  <c r="I8"/>
  <c r="F8" s="1"/>
  <c r="E8"/>
  <c r="D8"/>
  <c r="I7"/>
  <c r="F7"/>
  <c r="E7"/>
  <c r="D7"/>
  <c r="I6"/>
  <c r="F6"/>
  <c r="E6"/>
  <c r="D6"/>
  <c r="I5"/>
  <c r="I19" s="1"/>
  <c r="E5"/>
  <c r="E19" s="1"/>
  <c r="D5"/>
  <c r="D19" s="1"/>
  <c r="J53" i="15" s="1"/>
  <c r="R83" i="12"/>
  <c r="Q83"/>
  <c r="P83"/>
  <c r="O83"/>
  <c r="N83"/>
  <c r="M83"/>
  <c r="L83"/>
  <c r="K83"/>
  <c r="J83"/>
  <c r="I83"/>
  <c r="H83"/>
  <c r="G83"/>
  <c r="F82"/>
  <c r="E82"/>
  <c r="D82"/>
  <c r="F81"/>
  <c r="E81"/>
  <c r="D81"/>
  <c r="F80"/>
  <c r="E80"/>
  <c r="D80"/>
  <c r="F79"/>
  <c r="F83" s="1"/>
  <c r="E79"/>
  <c r="E83" s="1"/>
  <c r="D79"/>
  <c r="D83" s="1"/>
  <c r="R77"/>
  <c r="Q77"/>
  <c r="P77"/>
  <c r="O77"/>
  <c r="N77"/>
  <c r="M77"/>
  <c r="K77"/>
  <c r="J77"/>
  <c r="H77"/>
  <c r="I76"/>
  <c r="E76"/>
  <c r="D76"/>
  <c r="L75"/>
  <c r="F75"/>
  <c r="E75"/>
  <c r="D75"/>
  <c r="L74"/>
  <c r="F74"/>
  <c r="E74"/>
  <c r="D74"/>
  <c r="G77"/>
  <c r="E73"/>
  <c r="F72"/>
  <c r="E72"/>
  <c r="D72"/>
  <c r="F71"/>
  <c r="E71"/>
  <c r="D71"/>
  <c r="F70"/>
  <c r="E70"/>
  <c r="D70"/>
  <c r="F69"/>
  <c r="E69"/>
  <c r="D69"/>
  <c r="Q66"/>
  <c r="P66"/>
  <c r="O66"/>
  <c r="N66"/>
  <c r="M66"/>
  <c r="L66"/>
  <c r="K66"/>
  <c r="J66"/>
  <c r="R65"/>
  <c r="I65"/>
  <c r="F65" s="1"/>
  <c r="E65"/>
  <c r="D65"/>
  <c r="R64"/>
  <c r="R66" s="1"/>
  <c r="H64"/>
  <c r="D64"/>
  <c r="E63"/>
  <c r="F62" s="1"/>
  <c r="O65" i="15" s="1"/>
  <c r="H62" i="12"/>
  <c r="Q59"/>
  <c r="P59"/>
  <c r="N59"/>
  <c r="M59"/>
  <c r="K59"/>
  <c r="J59"/>
  <c r="H59"/>
  <c r="G59"/>
  <c r="R58"/>
  <c r="F58"/>
  <c r="E58"/>
  <c r="D58"/>
  <c r="F57"/>
  <c r="E57"/>
  <c r="D57"/>
  <c r="F56"/>
  <c r="E56"/>
  <c r="D56"/>
  <c r="R55"/>
  <c r="L55"/>
  <c r="I55"/>
  <c r="F55" s="1"/>
  <c r="E55"/>
  <c r="D55"/>
  <c r="R54"/>
  <c r="R59" s="1"/>
  <c r="O54"/>
  <c r="O59" s="1"/>
  <c r="L59"/>
  <c r="I54"/>
  <c r="E54"/>
  <c r="D54"/>
  <c r="D59" s="1"/>
  <c r="M62" i="15" s="1"/>
  <c r="Q53" i="12"/>
  <c r="P53"/>
  <c r="O53"/>
  <c r="N53"/>
  <c r="M53"/>
  <c r="K53"/>
  <c r="J53"/>
  <c r="H53"/>
  <c r="G53"/>
  <c r="I52"/>
  <c r="F52" s="1"/>
  <c r="E52"/>
  <c r="D52"/>
  <c r="R51"/>
  <c r="R53" s="1"/>
  <c r="L53"/>
  <c r="I51"/>
  <c r="F51" s="1"/>
  <c r="E51"/>
  <c r="E53" s="1"/>
  <c r="N61" i="15" s="1"/>
  <c r="E61" s="1"/>
  <c r="D51" i="12"/>
  <c r="D53" s="1"/>
  <c r="M61" i="15" s="1"/>
  <c r="Q50" i="12"/>
  <c r="P50"/>
  <c r="N50"/>
  <c r="K50"/>
  <c r="J50"/>
  <c r="R49"/>
  <c r="R50" s="1"/>
  <c r="M49"/>
  <c r="M50" s="1"/>
  <c r="L50"/>
  <c r="I49"/>
  <c r="E49"/>
  <c r="D49"/>
  <c r="I48"/>
  <c r="F48" s="1"/>
  <c r="E48"/>
  <c r="D48"/>
  <c r="F47"/>
  <c r="E47"/>
  <c r="D47"/>
  <c r="F46"/>
  <c r="E46"/>
  <c r="D46"/>
  <c r="E45"/>
  <c r="D45"/>
  <c r="I44"/>
  <c r="E44"/>
  <c r="D44"/>
  <c r="I43"/>
  <c r="F43" s="1"/>
  <c r="E43"/>
  <c r="D43"/>
  <c r="I42"/>
  <c r="E42"/>
  <c r="D42"/>
  <c r="D50" s="1"/>
  <c r="M60" i="15" s="1"/>
  <c r="I41" i="12"/>
  <c r="F41"/>
  <c r="E41"/>
  <c r="D41"/>
  <c r="Q40"/>
  <c r="P40"/>
  <c r="O40"/>
  <c r="N40"/>
  <c r="M40"/>
  <c r="L40"/>
  <c r="K40"/>
  <c r="J40"/>
  <c r="H40"/>
  <c r="G40"/>
  <c r="R39"/>
  <c r="L39"/>
  <c r="I39"/>
  <c r="F39" s="1"/>
  <c r="E39"/>
  <c r="D39"/>
  <c r="R38"/>
  <c r="R40" s="1"/>
  <c r="I38"/>
  <c r="F38" s="1"/>
  <c r="F40" s="1"/>
  <c r="E38"/>
  <c r="E40" s="1"/>
  <c r="D38"/>
  <c r="D40" s="1"/>
  <c r="Q37"/>
  <c r="P37"/>
  <c r="O37"/>
  <c r="N37"/>
  <c r="M37"/>
  <c r="K37"/>
  <c r="J37"/>
  <c r="H37"/>
  <c r="H60" s="1"/>
  <c r="G37"/>
  <c r="L36"/>
  <c r="F36"/>
  <c r="E36"/>
  <c r="D36"/>
  <c r="R35"/>
  <c r="I35"/>
  <c r="E35"/>
  <c r="D35"/>
  <c r="R34"/>
  <c r="R37" s="1"/>
  <c r="L37"/>
  <c r="I34"/>
  <c r="E34"/>
  <c r="D34"/>
  <c r="R31"/>
  <c r="L31"/>
  <c r="I31"/>
  <c r="F31" s="1"/>
  <c r="E31"/>
  <c r="D31"/>
  <c r="F30"/>
  <c r="E30"/>
  <c r="D30"/>
  <c r="R29"/>
  <c r="L29"/>
  <c r="I29"/>
  <c r="F29" s="1"/>
  <c r="E29"/>
  <c r="D29"/>
  <c r="F28"/>
  <c r="E28"/>
  <c r="D28"/>
  <c r="R27"/>
  <c r="O27"/>
  <c r="L27"/>
  <c r="L26" s="1"/>
  <c r="I27"/>
  <c r="E27"/>
  <c r="D27"/>
  <c r="R26"/>
  <c r="Q26"/>
  <c r="P26"/>
  <c r="O26"/>
  <c r="N26"/>
  <c r="M26"/>
  <c r="K26"/>
  <c r="J26"/>
  <c r="I26"/>
  <c r="H26"/>
  <c r="G26"/>
  <c r="R23"/>
  <c r="Q23"/>
  <c r="P23"/>
  <c r="O23"/>
  <c r="N23"/>
  <c r="M23"/>
  <c r="K23"/>
  <c r="J23"/>
  <c r="H23"/>
  <c r="G23"/>
  <c r="G24" s="1"/>
  <c r="L23"/>
  <c r="I22"/>
  <c r="E22"/>
  <c r="E23" s="1"/>
  <c r="N54" i="15" s="1"/>
  <c r="E54" s="1"/>
  <c r="D22" i="12"/>
  <c r="I21"/>
  <c r="E21"/>
  <c r="D21"/>
  <c r="F20"/>
  <c r="E20"/>
  <c r="D20"/>
  <c r="Q19"/>
  <c r="P19"/>
  <c r="N19"/>
  <c r="M19"/>
  <c r="K19"/>
  <c r="J19"/>
  <c r="H19"/>
  <c r="G19"/>
  <c r="F18"/>
  <c r="E18"/>
  <c r="D18"/>
  <c r="R17"/>
  <c r="O17"/>
  <c r="E17"/>
  <c r="D17"/>
  <c r="R16"/>
  <c r="O16"/>
  <c r="F16" s="1"/>
  <c r="E16"/>
  <c r="D16"/>
  <c r="R15"/>
  <c r="O15"/>
  <c r="I15"/>
  <c r="F15" s="1"/>
  <c r="E15"/>
  <c r="D15"/>
  <c r="R14"/>
  <c r="F14" s="1"/>
  <c r="O14"/>
  <c r="E14"/>
  <c r="D14"/>
  <c r="R13"/>
  <c r="O13"/>
  <c r="F13" s="1"/>
  <c r="I13"/>
  <c r="E13"/>
  <c r="D13"/>
  <c r="R12"/>
  <c r="F12"/>
  <c r="E12"/>
  <c r="D12"/>
  <c r="R11"/>
  <c r="L11"/>
  <c r="I11"/>
  <c r="F11" s="1"/>
  <c r="E11"/>
  <c r="D11"/>
  <c r="F10"/>
  <c r="E10"/>
  <c r="D10"/>
  <c r="F9"/>
  <c r="E9"/>
  <c r="D9"/>
  <c r="F8"/>
  <c r="E8"/>
  <c r="D8"/>
  <c r="F7"/>
  <c r="E7"/>
  <c r="D7"/>
  <c r="F6"/>
  <c r="E6"/>
  <c r="D6"/>
  <c r="R5"/>
  <c r="R19" s="1"/>
  <c r="O5"/>
  <c r="O19" s="1"/>
  <c r="L5"/>
  <c r="L19" s="1"/>
  <c r="I5"/>
  <c r="I19" s="1"/>
  <c r="E5"/>
  <c r="D5"/>
  <c r="R59" i="41" l="1"/>
  <c r="F55"/>
  <c r="F23" i="14"/>
  <c r="I54" i="15" s="1"/>
  <c r="F39" i="14"/>
  <c r="I59" i="15" s="1"/>
  <c r="D60"/>
  <c r="I59" i="12"/>
  <c r="D23" i="16"/>
  <c r="J54" i="15" s="1"/>
  <c r="D61"/>
  <c r="D62"/>
  <c r="F21" i="16"/>
  <c r="D76"/>
  <c r="J69" i="15" s="1"/>
  <c r="M66"/>
  <c r="M67" s="1"/>
  <c r="D66" i="12"/>
  <c r="I66" i="15"/>
  <c r="F65" i="14"/>
  <c r="I36" i="16"/>
  <c r="G66" i="15"/>
  <c r="G67" s="1"/>
  <c r="D65" i="14"/>
  <c r="D65" i="16"/>
  <c r="J66" i="15"/>
  <c r="J67" s="1"/>
  <c r="G60" i="12"/>
  <c r="D39" i="16"/>
  <c r="J59" i="15" s="1"/>
  <c r="F36" i="14"/>
  <c r="I58" i="15" s="1"/>
  <c r="F58" i="14"/>
  <c r="I62" i="15" s="1"/>
  <c r="R35" i="41"/>
  <c r="E24" i="14"/>
  <c r="H53" i="15"/>
  <c r="H55" s="1"/>
  <c r="H63"/>
  <c r="N60" i="12"/>
  <c r="E26"/>
  <c r="N56" i="15" s="1"/>
  <c r="E56" s="1"/>
  <c r="E50" i="12"/>
  <c r="N60" i="15" s="1"/>
  <c r="E60" s="1"/>
  <c r="F26" i="12"/>
  <c r="O56" i="15" s="1"/>
  <c r="E19" i="12"/>
  <c r="N53" i="15" s="1"/>
  <c r="H24" i="12"/>
  <c r="H87" s="1"/>
  <c r="L49" i="16"/>
  <c r="E58"/>
  <c r="E26"/>
  <c r="E36" i="15"/>
  <c r="P60" i="12"/>
  <c r="F35"/>
  <c r="P24"/>
  <c r="M24"/>
  <c r="J60"/>
  <c r="D26"/>
  <c r="M56" i="15" s="1"/>
  <c r="F27" i="12"/>
  <c r="J24"/>
  <c r="D19"/>
  <c r="M53" i="15" s="1"/>
  <c r="D53" s="1"/>
  <c r="D60" i="12"/>
  <c r="D37"/>
  <c r="M58" i="15" s="1"/>
  <c r="D23" i="12"/>
  <c r="M54" i="15" s="1"/>
  <c r="D54" s="1"/>
  <c r="M59" i="16"/>
  <c r="M86" s="1"/>
  <c r="F62"/>
  <c r="J59"/>
  <c r="F48"/>
  <c r="G59"/>
  <c r="G86" s="1"/>
  <c r="D36"/>
  <c r="F5"/>
  <c r="F19" s="1"/>
  <c r="L53" i="15" s="1"/>
  <c r="D24" i="16"/>
  <c r="F44" i="14"/>
  <c r="F26"/>
  <c r="I56" i="15" s="1"/>
  <c r="F19" i="14"/>
  <c r="I53" i="15" s="1"/>
  <c r="D24" i="14"/>
  <c r="D43" i="15"/>
  <c r="D46" s="1"/>
  <c r="B11" i="18"/>
  <c r="C23" i="17"/>
  <c r="G42" i="15"/>
  <c r="J66" i="41"/>
  <c r="J55" i="15"/>
  <c r="N55"/>
  <c r="D56"/>
  <c r="M63"/>
  <c r="D59"/>
  <c r="I67"/>
  <c r="F71"/>
  <c r="H67"/>
  <c r="K55"/>
  <c r="E66"/>
  <c r="N67"/>
  <c r="F44" i="12"/>
  <c r="Q60"/>
  <c r="Q87" s="1"/>
  <c r="F17"/>
  <c r="F5"/>
  <c r="Q24"/>
  <c r="N24"/>
  <c r="N87" s="1"/>
  <c r="L77"/>
  <c r="F76"/>
  <c r="K60"/>
  <c r="F34"/>
  <c r="F37" s="1"/>
  <c r="O58" i="15" s="1"/>
  <c r="F22" i="12"/>
  <c r="K24"/>
  <c r="K87" s="1"/>
  <c r="E77"/>
  <c r="E62"/>
  <c r="E59"/>
  <c r="N62" i="15" s="1"/>
  <c r="E62" s="1"/>
  <c r="I45" i="12"/>
  <c r="F45" s="1"/>
  <c r="F42"/>
  <c r="I37"/>
  <c r="E37"/>
  <c r="N58" i="15" s="1"/>
  <c r="N63" s="1"/>
  <c r="E63" s="1"/>
  <c r="I23" i="12"/>
  <c r="E49" i="16"/>
  <c r="N59"/>
  <c r="N86" s="1"/>
  <c r="O59"/>
  <c r="K65"/>
  <c r="L65" s="1"/>
  <c r="K59"/>
  <c r="F44" i="15"/>
  <c r="F30"/>
  <c r="F47"/>
  <c r="K49"/>
  <c r="C11" i="18"/>
  <c r="D23" i="17"/>
  <c r="E43" i="15"/>
  <c r="E46" s="1"/>
  <c r="E48" s="1"/>
  <c r="I48"/>
  <c r="I49" s="1"/>
  <c r="E42"/>
  <c r="H49"/>
  <c r="E76" i="16"/>
  <c r="I76"/>
  <c r="I61"/>
  <c r="I65" s="1"/>
  <c r="E65"/>
  <c r="F33"/>
  <c r="F36" s="1"/>
  <c r="L58" i="15" s="1"/>
  <c r="H59" i="16"/>
  <c r="E59"/>
  <c r="F26"/>
  <c r="L56" i="15" s="1"/>
  <c r="E23" i="16"/>
  <c r="F22"/>
  <c r="F23" s="1"/>
  <c r="L54" i="15" s="1"/>
  <c r="L55" s="1"/>
  <c r="H24" i="16"/>
  <c r="H86" s="1"/>
  <c r="F75" i="14"/>
  <c r="I69" i="15" s="1"/>
  <c r="F49" i="14"/>
  <c r="I60" i="15" s="1"/>
  <c r="I63" s="1"/>
  <c r="E59" i="14"/>
  <c r="E85" s="1"/>
  <c r="L53" i="41"/>
  <c r="L59"/>
  <c r="K66"/>
  <c r="P66"/>
  <c r="R53"/>
  <c r="R66" s="1"/>
  <c r="Q53"/>
  <c r="Q66" s="1"/>
  <c r="J42" i="15"/>
  <c r="J49" s="1"/>
  <c r="G49"/>
  <c r="D48"/>
  <c r="L48"/>
  <c r="L49" s="1"/>
  <c r="D67"/>
  <c r="D27"/>
  <c r="D42" s="1"/>
  <c r="N49"/>
  <c r="M42"/>
  <c r="M49" s="1"/>
  <c r="O48"/>
  <c r="G75"/>
  <c r="K75"/>
  <c r="K79" s="1"/>
  <c r="O29"/>
  <c r="O36" s="1"/>
  <c r="O42" s="1"/>
  <c r="F43"/>
  <c r="F46" s="1"/>
  <c r="I55"/>
  <c r="F73"/>
  <c r="D66"/>
  <c r="D73"/>
  <c r="F24" i="14"/>
  <c r="F59"/>
  <c r="D59"/>
  <c r="D85" s="1"/>
  <c r="I24" i="16"/>
  <c r="I59"/>
  <c r="J86"/>
  <c r="R86"/>
  <c r="E24"/>
  <c r="Q86"/>
  <c r="R59"/>
  <c r="P86"/>
  <c r="L59"/>
  <c r="O86"/>
  <c r="I26"/>
  <c r="F38"/>
  <c r="F39" s="1"/>
  <c r="L59" i="15" s="1"/>
  <c r="F59" s="1"/>
  <c r="F47" i="16"/>
  <c r="F53"/>
  <c r="F58" s="1"/>
  <c r="L62" i="15" s="1"/>
  <c r="F61" i="16"/>
  <c r="L65" i="15" s="1"/>
  <c r="F65" s="1"/>
  <c r="F41" i="16"/>
  <c r="L63"/>
  <c r="F63" s="1"/>
  <c r="L66" i="15" s="1"/>
  <c r="L67" s="1"/>
  <c r="F75" i="16"/>
  <c r="F76" s="1"/>
  <c r="L69" i="15" s="1"/>
  <c r="G87" i="12"/>
  <c r="I24"/>
  <c r="O24"/>
  <c r="F53"/>
  <c r="O61" i="15" s="1"/>
  <c r="F61" s="1"/>
  <c r="R60" i="12"/>
  <c r="M60"/>
  <c r="R24"/>
  <c r="M87"/>
  <c r="E24"/>
  <c r="L60"/>
  <c r="P87"/>
  <c r="L24"/>
  <c r="J87"/>
  <c r="O49"/>
  <c r="O50" s="1"/>
  <c r="O60" s="1"/>
  <c r="I53"/>
  <c r="F54"/>
  <c r="F59" s="1"/>
  <c r="O62" i="15" s="1"/>
  <c r="F62" s="1"/>
  <c r="D73" i="12"/>
  <c r="D77" s="1"/>
  <c r="M69" i="15" s="1"/>
  <c r="D69" s="1"/>
  <c r="I73" i="12"/>
  <c r="F21"/>
  <c r="F23" s="1"/>
  <c r="O54" i="15" s="1"/>
  <c r="F54" s="1"/>
  <c r="I40" i="12"/>
  <c r="E64"/>
  <c r="I64"/>
  <c r="I66" s="1"/>
  <c r="M55" i="15" l="1"/>
  <c r="D59" i="16"/>
  <c r="D86" s="1"/>
  <c r="J58" i="15"/>
  <c r="D55"/>
  <c r="F56"/>
  <c r="E53"/>
  <c r="F19" i="12"/>
  <c r="O53" i="15" s="1"/>
  <c r="F53" s="1"/>
  <c r="E60" i="12"/>
  <c r="E87" s="1"/>
  <c r="F58" i="15"/>
  <c r="N75"/>
  <c r="N79" s="1"/>
  <c r="E58"/>
  <c r="E67"/>
  <c r="M75"/>
  <c r="M79" s="1"/>
  <c r="E55"/>
  <c r="I86" i="16"/>
  <c r="F24" i="12"/>
  <c r="D24"/>
  <c r="D87" s="1"/>
  <c r="F48" i="15"/>
  <c r="H75"/>
  <c r="I75"/>
  <c r="I79" s="1"/>
  <c r="R87" i="12"/>
  <c r="O87"/>
  <c r="L87"/>
  <c r="I50"/>
  <c r="I60" s="1"/>
  <c r="F49" i="16"/>
  <c r="L60" i="15" s="1"/>
  <c r="L63" s="1"/>
  <c r="L75" s="1"/>
  <c r="L79" s="1"/>
  <c r="L86" i="16"/>
  <c r="K86"/>
  <c r="E86"/>
  <c r="E49" i="15"/>
  <c r="F65" i="16"/>
  <c r="F24"/>
  <c r="F85" i="14"/>
  <c r="L66" i="41"/>
  <c r="D49" i="15"/>
  <c r="F29"/>
  <c r="F36" s="1"/>
  <c r="O49"/>
  <c r="G79"/>
  <c r="F59" i="16"/>
  <c r="F86" s="1"/>
  <c r="F49" i="12"/>
  <c r="F50" s="1"/>
  <c r="F64"/>
  <c r="I77"/>
  <c r="F73"/>
  <c r="F77" s="1"/>
  <c r="O69" i="15" s="1"/>
  <c r="F69" s="1"/>
  <c r="F66" i="12" l="1"/>
  <c r="O66" i="15"/>
  <c r="J63"/>
  <c r="D58"/>
  <c r="O55"/>
  <c r="E75"/>
  <c r="F60" i="12"/>
  <c r="O60" i="15"/>
  <c r="F55"/>
  <c r="H79"/>
  <c r="E79" s="1"/>
  <c r="I87" i="12"/>
  <c r="F42" i="15"/>
  <c r="F49" s="1"/>
  <c r="F87" i="12"/>
  <c r="O67" i="15" l="1"/>
  <c r="F67" s="1"/>
  <c r="F66"/>
  <c r="J75"/>
  <c r="D63"/>
  <c r="F60"/>
  <c r="O63"/>
  <c r="AF11" i="56"/>
  <c r="T11"/>
  <c r="X10"/>
  <c r="S10"/>
  <c r="O10"/>
  <c r="N10"/>
  <c r="M10"/>
  <c r="K10"/>
  <c r="F10"/>
  <c r="Q10"/>
  <c r="AB40" i="54"/>
  <c r="AE9" i="56" s="1"/>
  <c r="AA40" i="54"/>
  <c r="Z40"/>
  <c r="Y40"/>
  <c r="X40"/>
  <c r="W40"/>
  <c r="W9" i="56" s="1"/>
  <c r="V40" i="54"/>
  <c r="V9" i="56" s="1"/>
  <c r="AF9" s="1"/>
  <c r="U40" i="54"/>
  <c r="S40"/>
  <c r="R40"/>
  <c r="Q40"/>
  <c r="P40"/>
  <c r="O40"/>
  <c r="J9" i="56" s="1"/>
  <c r="N40" i="54"/>
  <c r="I9" i="56" s="1"/>
  <c r="M40" i="54"/>
  <c r="H9" i="56" s="1"/>
  <c r="L40" i="54"/>
  <c r="G9" i="56" s="1"/>
  <c r="K40" i="54"/>
  <c r="E9" i="56" s="1"/>
  <c r="J40" i="54"/>
  <c r="I40"/>
  <c r="H40"/>
  <c r="G40"/>
  <c r="F40"/>
  <c r="E40"/>
  <c r="D40"/>
  <c r="D9" i="56" s="1"/>
  <c r="C40" i="54"/>
  <c r="C9" i="56" s="1"/>
  <c r="T9" s="1"/>
  <c r="T39" i="54"/>
  <c r="AC38"/>
  <c r="T38"/>
  <c r="AC37"/>
  <c r="T37"/>
  <c r="AC36"/>
  <c r="T36"/>
  <c r="AC35"/>
  <c r="T35"/>
  <c r="AC34"/>
  <c r="T34"/>
  <c r="AC33"/>
  <c r="T33"/>
  <c r="AC32"/>
  <c r="T32"/>
  <c r="AC31"/>
  <c r="T31"/>
  <c r="AC30"/>
  <c r="T30"/>
  <c r="AC29"/>
  <c r="T29"/>
  <c r="AC17"/>
  <c r="T17"/>
  <c r="AC16"/>
  <c r="T16"/>
  <c r="AC15"/>
  <c r="T15"/>
  <c r="AC14"/>
  <c r="T14"/>
  <c r="AC13"/>
  <c r="T13"/>
  <c r="AC12"/>
  <c r="T12"/>
  <c r="AC11"/>
  <c r="T11"/>
  <c r="AC10"/>
  <c r="T10"/>
  <c r="AC9"/>
  <c r="T9"/>
  <c r="AC8"/>
  <c r="T8"/>
  <c r="AC7"/>
  <c r="T7"/>
  <c r="T40" s="1"/>
  <c r="AC6"/>
  <c r="AC40" s="1"/>
  <c r="AE27" i="53"/>
  <c r="AC27"/>
  <c r="AE8" i="56" s="1"/>
  <c r="AB27" i="53"/>
  <c r="AD8" i="56" s="1"/>
  <c r="AA27" i="53"/>
  <c r="AC8" i="56" s="1"/>
  <c r="Z27" i="53"/>
  <c r="Z8" i="56" s="1"/>
  <c r="Y27" i="53"/>
  <c r="Y8" i="56" s="1"/>
  <c r="X27" i="53"/>
  <c r="W8" i="56" s="1"/>
  <c r="W27" i="53"/>
  <c r="V8" i="56" s="1"/>
  <c r="V27" i="53"/>
  <c r="U8" i="56" s="1"/>
  <c r="T27" i="53"/>
  <c r="S27"/>
  <c r="R27"/>
  <c r="Q27"/>
  <c r="P27"/>
  <c r="J8" i="56" s="1"/>
  <c r="O27" i="53"/>
  <c r="I8" i="56" s="1"/>
  <c r="N27" i="53"/>
  <c r="H8" i="56" s="1"/>
  <c r="M27" i="53"/>
  <c r="G8" i="56" s="1"/>
  <c r="L27" i="53"/>
  <c r="E8" i="56" s="1"/>
  <c r="K27" i="53"/>
  <c r="J27"/>
  <c r="I27"/>
  <c r="H27"/>
  <c r="G27"/>
  <c r="F27"/>
  <c r="E27"/>
  <c r="D8" i="56" s="1"/>
  <c r="D27" i="53"/>
  <c r="C8" i="56" s="1"/>
  <c r="U26" i="53"/>
  <c r="U25"/>
  <c r="U24"/>
  <c r="U23"/>
  <c r="U21"/>
  <c r="U20"/>
  <c r="U19"/>
  <c r="U18"/>
  <c r="U17"/>
  <c r="U16"/>
  <c r="U15"/>
  <c r="U14"/>
  <c r="U12"/>
  <c r="U11"/>
  <c r="U10"/>
  <c r="U9"/>
  <c r="AA28" i="52"/>
  <c r="AE7" i="56" s="1"/>
  <c r="AE10" s="1"/>
  <c r="Z28" i="52"/>
  <c r="AD7" i="56" s="1"/>
  <c r="Y28" i="52"/>
  <c r="AC7" i="56" s="1"/>
  <c r="X28" i="52"/>
  <c r="AA7" i="56" s="1"/>
  <c r="AA10" s="1"/>
  <c r="W28" i="52"/>
  <c r="Z7" i="56" s="1"/>
  <c r="Z10" s="1"/>
  <c r="V28" i="52"/>
  <c r="Y7" i="56" s="1"/>
  <c r="U28" i="52"/>
  <c r="W7" i="56" s="1"/>
  <c r="T28" i="52"/>
  <c r="V7" i="56" s="1"/>
  <c r="S28" i="52"/>
  <c r="U7" i="56" s="1"/>
  <c r="Q28" i="52"/>
  <c r="P28"/>
  <c r="J7" i="56" s="1"/>
  <c r="O28" i="52"/>
  <c r="I7" i="56" s="1"/>
  <c r="N28" i="52"/>
  <c r="H7" i="56" s="1"/>
  <c r="M28" i="52"/>
  <c r="G7" i="56" s="1"/>
  <c r="L28" i="52"/>
  <c r="E7" i="56" s="1"/>
  <c r="K28" i="52"/>
  <c r="J28"/>
  <c r="I28"/>
  <c r="H28"/>
  <c r="G28"/>
  <c r="F28"/>
  <c r="E28"/>
  <c r="D7" i="56" s="1"/>
  <c r="D28" i="52"/>
  <c r="C7" i="56" s="1"/>
  <c r="AC27" i="52"/>
  <c r="R27"/>
  <c r="AC26"/>
  <c r="R26"/>
  <c r="AC23"/>
  <c r="R23"/>
  <c r="AC22"/>
  <c r="R22"/>
  <c r="AC21"/>
  <c r="R21"/>
  <c r="AC20"/>
  <c r="R20"/>
  <c r="AC19"/>
  <c r="R19"/>
  <c r="AC18"/>
  <c r="R18"/>
  <c r="AC17"/>
  <c r="R17"/>
  <c r="AC16"/>
  <c r="R16"/>
  <c r="AC15"/>
  <c r="R15"/>
  <c r="AC14"/>
  <c r="R14"/>
  <c r="AC13"/>
  <c r="R13"/>
  <c r="AC12"/>
  <c r="R12"/>
  <c r="AC11"/>
  <c r="R11"/>
  <c r="AC10"/>
  <c r="R10"/>
  <c r="AC9"/>
  <c r="AB9"/>
  <c r="R9"/>
  <c r="AC8"/>
  <c r="AB8"/>
  <c r="R8"/>
  <c r="AC7"/>
  <c r="AB7"/>
  <c r="R7"/>
  <c r="AC6"/>
  <c r="AB6"/>
  <c r="R6"/>
  <c r="AC5"/>
  <c r="AB5"/>
  <c r="R5"/>
  <c r="AF113" i="51"/>
  <c r="AE5" i="56" s="1"/>
  <c r="AE113" i="51"/>
  <c r="AD113"/>
  <c r="AD5" i="56" s="1"/>
  <c r="AC113" i="51"/>
  <c r="AC5" i="56" s="1"/>
  <c r="AB113" i="51"/>
  <c r="AB5" i="56" s="1"/>
  <c r="AB12" s="1"/>
  <c r="AA113" i="51"/>
  <c r="AA5" i="56" s="1"/>
  <c r="Z113" i="51"/>
  <c r="Z5" i="56" s="1"/>
  <c r="Y113" i="51"/>
  <c r="Y5" i="56" s="1"/>
  <c r="X113" i="51"/>
  <c r="X5" i="56" s="1"/>
  <c r="X12" s="1"/>
  <c r="W113" i="51"/>
  <c r="V5" i="56" s="1"/>
  <c r="V113" i="51"/>
  <c r="U5" i="56" s="1"/>
  <c r="T113" i="51"/>
  <c r="S5" i="56" s="1"/>
  <c r="S12" s="1"/>
  <c r="S113" i="51"/>
  <c r="R5" i="56" s="1"/>
  <c r="R12" s="1"/>
  <c r="R113" i="51"/>
  <c r="Q5" i="56" s="1"/>
  <c r="Q113" i="51"/>
  <c r="P5" i="56" s="1"/>
  <c r="P12" s="1"/>
  <c r="P113" i="51"/>
  <c r="O5" i="56" s="1"/>
  <c r="O113" i="51"/>
  <c r="N5" i="56" s="1"/>
  <c r="N12" s="1"/>
  <c r="N113" i="51"/>
  <c r="M5" i="56" s="1"/>
  <c r="M113" i="51"/>
  <c r="L5" i="56" s="1"/>
  <c r="L12" s="1"/>
  <c r="L113" i="51"/>
  <c r="K5" i="56" s="1"/>
  <c r="K12" s="1"/>
  <c r="K113" i="51"/>
  <c r="J5" i="56" s="1"/>
  <c r="J113" i="51"/>
  <c r="I5" i="56" s="1"/>
  <c r="I113" i="51"/>
  <c r="H5" i="56" s="1"/>
  <c r="H113" i="51"/>
  <c r="G5" i="56" s="1"/>
  <c r="G113" i="51"/>
  <c r="F5" i="56" s="1"/>
  <c r="F113" i="51"/>
  <c r="E5" i="56" s="1"/>
  <c r="E113" i="51"/>
  <c r="D5" i="56" s="1"/>
  <c r="D113" i="51"/>
  <c r="C5" i="56" s="1"/>
  <c r="AG112" i="51"/>
  <c r="U112"/>
  <c r="AG111"/>
  <c r="U111"/>
  <c r="AG110"/>
  <c r="U110"/>
  <c r="AG109"/>
  <c r="U109"/>
  <c r="AG108"/>
  <c r="U108"/>
  <c r="AG107"/>
  <c r="U107"/>
  <c r="AG106"/>
  <c r="U106"/>
  <c r="AG105"/>
  <c r="U105"/>
  <c r="AG104"/>
  <c r="U104"/>
  <c r="AG103"/>
  <c r="U103"/>
  <c r="AG102"/>
  <c r="U102"/>
  <c r="AG101"/>
  <c r="U101"/>
  <c r="AG100"/>
  <c r="U100"/>
  <c r="AG99"/>
  <c r="U99"/>
  <c r="AG98"/>
  <c r="U98"/>
  <c r="AG97"/>
  <c r="U97"/>
  <c r="AG96"/>
  <c r="U96"/>
  <c r="AG95"/>
  <c r="U95"/>
  <c r="AG94"/>
  <c r="U94"/>
  <c r="AG93"/>
  <c r="U93"/>
  <c r="AG92"/>
  <c r="U92"/>
  <c r="AG91"/>
  <c r="U91"/>
  <c r="AG90"/>
  <c r="U90"/>
  <c r="AG89"/>
  <c r="U89"/>
  <c r="AG88"/>
  <c r="U88"/>
  <c r="AG87"/>
  <c r="U87"/>
  <c r="AG86"/>
  <c r="U86"/>
  <c r="AG85"/>
  <c r="U85"/>
  <c r="AG84"/>
  <c r="U84"/>
  <c r="AG83"/>
  <c r="U83"/>
  <c r="AG82"/>
  <c r="U82"/>
  <c r="AG81"/>
  <c r="U81"/>
  <c r="AG80"/>
  <c r="U80"/>
  <c r="AG79"/>
  <c r="U79"/>
  <c r="AG78"/>
  <c r="U78"/>
  <c r="AG77"/>
  <c r="U77"/>
  <c r="AG76"/>
  <c r="U76"/>
  <c r="AG75"/>
  <c r="U75"/>
  <c r="AG74"/>
  <c r="U74"/>
  <c r="AG73"/>
  <c r="U73"/>
  <c r="AG72"/>
  <c r="U72"/>
  <c r="AG71"/>
  <c r="U71"/>
  <c r="AG70"/>
  <c r="U70"/>
  <c r="AG69"/>
  <c r="U69"/>
  <c r="AG68"/>
  <c r="U68"/>
  <c r="AG67"/>
  <c r="U67"/>
  <c r="AG66"/>
  <c r="U66"/>
  <c r="AG65"/>
  <c r="U65"/>
  <c r="AG64"/>
  <c r="U64"/>
  <c r="AG63"/>
  <c r="U63"/>
  <c r="AG62"/>
  <c r="U62"/>
  <c r="AG61"/>
  <c r="U61"/>
  <c r="AG60"/>
  <c r="U60"/>
  <c r="AG59"/>
  <c r="U59"/>
  <c r="AG58"/>
  <c r="U58"/>
  <c r="AG57"/>
  <c r="U57"/>
  <c r="AG56"/>
  <c r="U56"/>
  <c r="AG55"/>
  <c r="U55"/>
  <c r="AG54"/>
  <c r="U54"/>
  <c r="AG53"/>
  <c r="U53"/>
  <c r="AG52"/>
  <c r="U52"/>
  <c r="U51"/>
  <c r="AG49"/>
  <c r="U49"/>
  <c r="AG48"/>
  <c r="U48"/>
  <c r="AG47"/>
  <c r="U47"/>
  <c r="AG46"/>
  <c r="U46"/>
  <c r="AG45"/>
  <c r="U45"/>
  <c r="AG44"/>
  <c r="U44"/>
  <c r="AG43"/>
  <c r="U43"/>
  <c r="AG42"/>
  <c r="U42"/>
  <c r="AG41"/>
  <c r="U41"/>
  <c r="AG40"/>
  <c r="U40"/>
  <c r="AG39"/>
  <c r="U39"/>
  <c r="AG38"/>
  <c r="U38"/>
  <c r="AG37"/>
  <c r="U37"/>
  <c r="AG36"/>
  <c r="U36"/>
  <c r="AG35"/>
  <c r="U35"/>
  <c r="AG34"/>
  <c r="U34"/>
  <c r="AG33"/>
  <c r="U33"/>
  <c r="AG32"/>
  <c r="U32"/>
  <c r="AG31"/>
  <c r="U31"/>
  <c r="AG30"/>
  <c r="U30"/>
  <c r="AG29"/>
  <c r="U29"/>
  <c r="AG28"/>
  <c r="U28"/>
  <c r="AG27"/>
  <c r="U27"/>
  <c r="AG26"/>
  <c r="U26"/>
  <c r="AG23"/>
  <c r="U23"/>
  <c r="AG22"/>
  <c r="U22"/>
  <c r="AG21"/>
  <c r="U21"/>
  <c r="AG20"/>
  <c r="U20"/>
  <c r="AG19"/>
  <c r="U19"/>
  <c r="AG18"/>
  <c r="U18"/>
  <c r="AG17"/>
  <c r="U17"/>
  <c r="AG16"/>
  <c r="U16"/>
  <c r="AG15"/>
  <c r="U15"/>
  <c r="AG14"/>
  <c r="U14"/>
  <c r="AG13"/>
  <c r="U13"/>
  <c r="AG12"/>
  <c r="U12"/>
  <c r="AG11"/>
  <c r="U11"/>
  <c r="AG10"/>
  <c r="U10"/>
  <c r="AG9"/>
  <c r="U9"/>
  <c r="AG8"/>
  <c r="U8"/>
  <c r="AG7"/>
  <c r="U7"/>
  <c r="AG6"/>
  <c r="U6"/>
  <c r="AG5"/>
  <c r="U5"/>
  <c r="J79" i="15" l="1"/>
  <c r="D79" s="1"/>
  <c r="D75"/>
  <c r="H10" i="56"/>
  <c r="J10"/>
  <c r="J12" s="1"/>
  <c r="E10"/>
  <c r="E12" s="1"/>
  <c r="F63" i="15"/>
  <c r="O75"/>
  <c r="D10" i="56"/>
  <c r="D12" s="1"/>
  <c r="G10"/>
  <c r="G12" s="1"/>
  <c r="AD10"/>
  <c r="U10"/>
  <c r="W10"/>
  <c r="I10"/>
  <c r="I12" s="1"/>
  <c r="T12" s="1"/>
  <c r="T8"/>
  <c r="AC10"/>
  <c r="AC12" s="1"/>
  <c r="V10"/>
  <c r="V12" s="1"/>
  <c r="Y10"/>
  <c r="Y12" s="1"/>
  <c r="AF8"/>
  <c r="C10"/>
  <c r="C12" s="1"/>
  <c r="U27" i="53"/>
  <c r="U12" i="56"/>
  <c r="Z12"/>
  <c r="AE12"/>
  <c r="AD12"/>
  <c r="F12"/>
  <c r="O12"/>
  <c r="H12"/>
  <c r="Q12"/>
  <c r="U113" i="51"/>
  <c r="AG113"/>
  <c r="AB28" i="52"/>
  <c r="AC28"/>
  <c r="R28"/>
  <c r="AD27" i="53"/>
  <c r="AA12" i="56"/>
  <c r="AF5"/>
  <c r="AF7"/>
  <c r="T5"/>
  <c r="T7"/>
  <c r="AD40" i="54"/>
  <c r="O79" i="15" l="1"/>
  <c r="F79" s="1"/>
  <c r="F75"/>
  <c r="T10" i="56"/>
  <c r="AF10"/>
  <c r="F13" i="1" l="1"/>
  <c r="F12"/>
  <c r="F11"/>
  <c r="E14"/>
  <c r="AG100" i="7"/>
  <c r="F100" s="1"/>
  <c r="E42" i="17" l="1"/>
  <c r="C37" i="30" s="1"/>
  <c r="H15" i="18"/>
  <c r="H13" s="1"/>
  <c r="F14" i="1"/>
  <c r="AG20" i="7"/>
  <c r="I32" l="1"/>
  <c r="F32" s="1"/>
  <c r="I33"/>
  <c r="F33" s="1"/>
  <c r="I34"/>
  <c r="F34" s="1"/>
  <c r="I20"/>
  <c r="I21"/>
  <c r="F21" s="1"/>
  <c r="F15" i="1" l="1"/>
  <c r="AG58" i="41"/>
  <c r="AG57"/>
  <c r="AG56"/>
  <c r="AG55"/>
  <c r="AG52"/>
  <c r="AG51"/>
  <c r="AG50"/>
  <c r="AG49"/>
  <c r="F49" s="1"/>
  <c r="AG48"/>
  <c r="AG47"/>
  <c r="AG46"/>
  <c r="AA49"/>
  <c r="AA58"/>
  <c r="AA57"/>
  <c r="AA56"/>
  <c r="AA55"/>
  <c r="AA52"/>
  <c r="AA51"/>
  <c r="AA50"/>
  <c r="AA48"/>
  <c r="AA47"/>
  <c r="AA46"/>
  <c r="F46" s="1"/>
  <c r="AA59" l="1"/>
  <c r="AA53"/>
  <c r="O58"/>
  <c r="O57"/>
  <c r="O56"/>
  <c r="O55"/>
  <c r="O52"/>
  <c r="F52" s="1"/>
  <c r="O51"/>
  <c r="O50"/>
  <c r="O49"/>
  <c r="O48"/>
  <c r="O47"/>
  <c r="O46"/>
  <c r="I58" l="1"/>
  <c r="I57"/>
  <c r="I56"/>
  <c r="I55"/>
  <c r="I47"/>
  <c r="F47" s="1"/>
  <c r="I48"/>
  <c r="I49"/>
  <c r="I50"/>
  <c r="I51"/>
  <c r="I52"/>
  <c r="I46"/>
  <c r="G53"/>
  <c r="H53"/>
  <c r="G59"/>
  <c r="H59"/>
  <c r="M59"/>
  <c r="N59"/>
  <c r="O59"/>
  <c r="Y59"/>
  <c r="Z59"/>
  <c r="AE59"/>
  <c r="AF59"/>
  <c r="AG59"/>
  <c r="I53" l="1"/>
  <c r="F53"/>
  <c r="D59"/>
  <c r="J23" i="8" s="1"/>
  <c r="I59" i="41"/>
  <c r="F59"/>
  <c r="L23" i="8" s="1"/>
  <c r="E59" i="41"/>
  <c r="K23" i="8" s="1"/>
  <c r="E53" i="41"/>
  <c r="I22" i="7" l="1"/>
  <c r="AG101" l="1"/>
  <c r="F101" s="1"/>
  <c r="AG96"/>
  <c r="AG65"/>
  <c r="F65" s="1"/>
  <c r="AG66"/>
  <c r="F66" s="1"/>
  <c r="AG67"/>
  <c r="F67" s="1"/>
  <c r="AG68"/>
  <c r="F68" s="1"/>
  <c r="AF63"/>
  <c r="E63" s="1"/>
  <c r="AG31"/>
  <c r="AA31"/>
  <c r="AA30"/>
  <c r="AA25"/>
  <c r="X10"/>
  <c r="F10" s="1"/>
  <c r="W8"/>
  <c r="E8" s="1"/>
  <c r="X6"/>
  <c r="F6" s="1"/>
  <c r="U30"/>
  <c r="R30"/>
  <c r="U22"/>
  <c r="R22"/>
  <c r="O30"/>
  <c r="O20"/>
  <c r="L30"/>
  <c r="L20"/>
  <c r="I30"/>
  <c r="I23"/>
  <c r="F23" s="1"/>
  <c r="I13"/>
  <c r="F13" s="1"/>
  <c r="K46" i="40"/>
  <c r="J47"/>
  <c r="W25" i="8" s="1"/>
  <c r="K47" i="40"/>
  <c r="X25" i="8" s="1"/>
  <c r="K26" i="40"/>
  <c r="F30" i="7" l="1"/>
  <c r="F20"/>
  <c r="F22"/>
  <c r="AG102"/>
  <c r="F102" s="1"/>
  <c r="X8"/>
  <c r="F8" s="1"/>
  <c r="H35" i="40"/>
  <c r="H36"/>
  <c r="H37"/>
  <c r="H38"/>
  <c r="H39"/>
  <c r="H40"/>
  <c r="H41"/>
  <c r="H42"/>
  <c r="H43"/>
  <c r="H44"/>
  <c r="H45"/>
  <c r="G33"/>
  <c r="G47" s="1"/>
  <c r="H32"/>
  <c r="H5"/>
  <c r="H6"/>
  <c r="H4"/>
  <c r="E17"/>
  <c r="E18"/>
  <c r="E19"/>
  <c r="E20"/>
  <c r="E21"/>
  <c r="E22"/>
  <c r="E23"/>
  <c r="E24"/>
  <c r="E25"/>
  <c r="E16"/>
  <c r="E9"/>
  <c r="E10"/>
  <c r="E11"/>
  <c r="E12"/>
  <c r="E13"/>
  <c r="E14"/>
  <c r="E8"/>
  <c r="D15"/>
  <c r="D7"/>
  <c r="E4"/>
  <c r="E21" i="37"/>
  <c r="C16"/>
  <c r="C15"/>
  <c r="C14"/>
  <c r="C13"/>
  <c r="C12"/>
  <c r="C11"/>
  <c r="E6"/>
  <c r="E5"/>
  <c r="E4"/>
  <c r="R24" i="6"/>
  <c r="O29"/>
  <c r="O16"/>
  <c r="O15"/>
  <c r="O12"/>
  <c r="O9"/>
  <c r="O6"/>
  <c r="L9"/>
  <c r="L6"/>
  <c r="L5"/>
  <c r="K7"/>
  <c r="M7"/>
  <c r="N7"/>
  <c r="O7"/>
  <c r="P7"/>
  <c r="Q7"/>
  <c r="R7"/>
  <c r="S7"/>
  <c r="T7"/>
  <c r="U7"/>
  <c r="I43"/>
  <c r="F43" s="1"/>
  <c r="I42"/>
  <c r="I41"/>
  <c r="F41" s="1"/>
  <c r="I40"/>
  <c r="I39"/>
  <c r="F39" s="1"/>
  <c r="I38"/>
  <c r="I37"/>
  <c r="F37" s="1"/>
  <c r="I33"/>
  <c r="I32"/>
  <c r="I31"/>
  <c r="I30"/>
  <c r="I29"/>
  <c r="I27"/>
  <c r="I26"/>
  <c r="I24"/>
  <c r="I23"/>
  <c r="I22"/>
  <c r="I21"/>
  <c r="I20"/>
  <c r="I19"/>
  <c r="I18"/>
  <c r="I16"/>
  <c r="I15"/>
  <c r="E11"/>
  <c r="E12"/>
  <c r="E13"/>
  <c r="E15"/>
  <c r="F15"/>
  <c r="E16"/>
  <c r="F16"/>
  <c r="E18"/>
  <c r="F18"/>
  <c r="E19"/>
  <c r="F19"/>
  <c r="E20"/>
  <c r="F20"/>
  <c r="E21"/>
  <c r="F21"/>
  <c r="E22"/>
  <c r="F22"/>
  <c r="E23"/>
  <c r="F23"/>
  <c r="E24"/>
  <c r="E26"/>
  <c r="F26"/>
  <c r="E27"/>
  <c r="F27"/>
  <c r="E29"/>
  <c r="F29"/>
  <c r="E30"/>
  <c r="F30"/>
  <c r="E31"/>
  <c r="F31"/>
  <c r="E32"/>
  <c r="F32"/>
  <c r="E33"/>
  <c r="F33"/>
  <c r="E37"/>
  <c r="E38"/>
  <c r="F38"/>
  <c r="E39"/>
  <c r="E40"/>
  <c r="F40"/>
  <c r="E41"/>
  <c r="E42"/>
  <c r="F42"/>
  <c r="E43"/>
  <c r="E44"/>
  <c r="E45" s="1"/>
  <c r="I12"/>
  <c r="F12" s="1"/>
  <c r="I13"/>
  <c r="F13" s="1"/>
  <c r="I11"/>
  <c r="F11" s="1"/>
  <c r="I9"/>
  <c r="I6"/>
  <c r="I5"/>
  <c r="F33" i="1"/>
  <c r="F29"/>
  <c r="F26"/>
  <c r="F28" s="1"/>
  <c r="F24"/>
  <c r="F23"/>
  <c r="F16"/>
  <c r="F17" s="1"/>
  <c r="F9"/>
  <c r="F6"/>
  <c r="F7" s="1"/>
  <c r="D14" i="45"/>
  <c r="D13"/>
  <c r="D10"/>
  <c r="D6"/>
  <c r="D7"/>
  <c r="D4"/>
  <c r="D5"/>
  <c r="D3"/>
  <c r="D34" i="44"/>
  <c r="D4"/>
  <c r="D5"/>
  <c r="D6"/>
  <c r="D7"/>
  <c r="D11"/>
  <c r="D12"/>
  <c r="D13"/>
  <c r="D15"/>
  <c r="D19"/>
  <c r="D20"/>
  <c r="D21"/>
  <c r="D22"/>
  <c r="D25"/>
  <c r="D26"/>
  <c r="D3"/>
  <c r="D37" i="43"/>
  <c r="D5"/>
  <c r="E68" i="9"/>
  <c r="E67"/>
  <c r="E69" s="1"/>
  <c r="E66"/>
  <c r="E56"/>
  <c r="E57"/>
  <c r="E59"/>
  <c r="E60"/>
  <c r="E62"/>
  <c r="E63"/>
  <c r="E64"/>
  <c r="E55"/>
  <c r="E53"/>
  <c r="E45"/>
  <c r="E46"/>
  <c r="E47"/>
  <c r="E48"/>
  <c r="E49"/>
  <c r="E50"/>
  <c r="E51"/>
  <c r="E44"/>
  <c r="E43" s="1"/>
  <c r="E10" i="17" s="1"/>
  <c r="C7" i="30" s="1"/>
  <c r="E25" i="9"/>
  <c r="E26"/>
  <c r="E37" s="1"/>
  <c r="E16" i="17" s="1"/>
  <c r="C14" i="30" s="1"/>
  <c r="E27" i="9"/>
  <c r="E28"/>
  <c r="E29"/>
  <c r="E30"/>
  <c r="E31"/>
  <c r="E32"/>
  <c r="E33"/>
  <c r="E34"/>
  <c r="E35"/>
  <c r="E36"/>
  <c r="E24"/>
  <c r="E14"/>
  <c r="E15"/>
  <c r="E17"/>
  <c r="E18"/>
  <c r="E19"/>
  <c r="E20"/>
  <c r="E21"/>
  <c r="E22"/>
  <c r="E13"/>
  <c r="E9"/>
  <c r="E10"/>
  <c r="E5"/>
  <c r="E34" i="1"/>
  <c r="E28"/>
  <c r="E25"/>
  <c r="E17"/>
  <c r="E7"/>
  <c r="L21" i="8"/>
  <c r="K21"/>
  <c r="L13"/>
  <c r="K13"/>
  <c r="L12"/>
  <c r="K12"/>
  <c r="F25"/>
  <c r="H23" i="18" s="1"/>
  <c r="E25" i="8"/>
  <c r="D16" i="45"/>
  <c r="C16"/>
  <c r="C18" s="1"/>
  <c r="D11"/>
  <c r="C11"/>
  <c r="D8"/>
  <c r="D18" s="1"/>
  <c r="C8"/>
  <c r="C39" i="44"/>
  <c r="C31"/>
  <c r="D75" i="9"/>
  <c r="D78" s="1"/>
  <c r="D79" s="1"/>
  <c r="D71"/>
  <c r="E71"/>
  <c r="D69"/>
  <c r="C7" i="18" s="1"/>
  <c r="D65" i="9"/>
  <c r="D52"/>
  <c r="D54" s="1"/>
  <c r="D43"/>
  <c r="D40"/>
  <c r="E40"/>
  <c r="D37"/>
  <c r="D11"/>
  <c r="D5" i="17" s="1"/>
  <c r="D74" i="9"/>
  <c r="E74"/>
  <c r="D26" i="18" s="1"/>
  <c r="G25"/>
  <c r="H25"/>
  <c r="C20"/>
  <c r="D20"/>
  <c r="C25"/>
  <c r="C26"/>
  <c r="G7"/>
  <c r="H7"/>
  <c r="C10"/>
  <c r="D9" i="17"/>
  <c r="E9"/>
  <c r="D10"/>
  <c r="D11"/>
  <c r="D12"/>
  <c r="E12"/>
  <c r="C9" i="30" s="1"/>
  <c r="D16" i="17"/>
  <c r="D17"/>
  <c r="E17"/>
  <c r="C15" i="30" s="1"/>
  <c r="D18" i="17"/>
  <c r="E18"/>
  <c r="C16" i="30" s="1"/>
  <c r="D21" i="17"/>
  <c r="E21"/>
  <c r="C18" i="30" s="1"/>
  <c r="B39" i="44"/>
  <c r="D14" i="17" l="1"/>
  <c r="E15" i="40"/>
  <c r="C6" i="18"/>
  <c r="D13" i="17"/>
  <c r="D31" i="44"/>
  <c r="E52" i="9"/>
  <c r="E11" i="17" s="1"/>
  <c r="C8" i="30" s="1"/>
  <c r="W18" i="8"/>
  <c r="W27" s="1"/>
  <c r="F34" i="1"/>
  <c r="D40" i="17"/>
  <c r="G23" i="18"/>
  <c r="D7"/>
  <c r="E14" i="17"/>
  <c r="C12" i="30" s="1"/>
  <c r="F25" i="1"/>
  <c r="E40" i="17"/>
  <c r="C35" i="30" s="1"/>
  <c r="L7" i="6"/>
  <c r="D23" i="9"/>
  <c r="M47" i="40"/>
  <c r="E54" i="9"/>
  <c r="D5" i="18" s="1"/>
  <c r="N16" i="40"/>
  <c r="E7"/>
  <c r="E35" i="1"/>
  <c r="C17" i="37"/>
  <c r="D15" i="17"/>
  <c r="D6"/>
  <c r="D7" s="1"/>
  <c r="D8"/>
  <c r="D22"/>
  <c r="D20" s="1"/>
  <c r="D52" s="1"/>
  <c r="E15"/>
  <c r="E8"/>
  <c r="C24" i="18"/>
  <c r="C27" s="1"/>
  <c r="F35" i="1" l="1"/>
  <c r="D72" i="9"/>
  <c r="C4" i="18"/>
  <c r="C3" s="1"/>
  <c r="C16" s="1"/>
  <c r="C28" s="1"/>
  <c r="D4" i="17"/>
  <c r="D19" s="1"/>
  <c r="D25" l="1"/>
  <c r="L16" i="40"/>
  <c r="J16" i="29"/>
  <c r="J15"/>
  <c r="J14" s="1"/>
  <c r="E14"/>
  <c r="F14"/>
  <c r="G14"/>
  <c r="H14"/>
  <c r="I14"/>
  <c r="D14"/>
  <c r="AG69" i="7"/>
  <c r="G20" i="30"/>
  <c r="E20"/>
  <c r="P19"/>
  <c r="D7" i="37"/>
  <c r="E7"/>
  <c r="C7"/>
  <c r="F69" i="7" l="1"/>
  <c r="H11" i="18" s="1"/>
  <c r="I47" i="40"/>
  <c r="V25" i="8" s="1"/>
  <c r="L5" i="40"/>
  <c r="M5"/>
  <c r="N5"/>
  <c r="L6"/>
  <c r="M6"/>
  <c r="N6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M15"/>
  <c r="N15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8"/>
  <c r="M28"/>
  <c r="N28"/>
  <c r="L32"/>
  <c r="M32"/>
  <c r="N32"/>
  <c r="M33"/>
  <c r="M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M4"/>
  <c r="N4"/>
  <c r="L4"/>
  <c r="E6" i="9" l="1"/>
  <c r="N4" i="30"/>
  <c r="L4"/>
  <c r="O37"/>
  <c r="E11" i="37"/>
  <c r="E12"/>
  <c r="E13"/>
  <c r="E14"/>
  <c r="E15"/>
  <c r="E16"/>
  <c r="C22"/>
  <c r="E22"/>
  <c r="D22"/>
  <c r="D17" l="1"/>
  <c r="E17"/>
  <c r="AG64" i="7"/>
  <c r="F64" s="1"/>
  <c r="E77" i="9" l="1"/>
  <c r="E24" i="17" s="1"/>
  <c r="C20" i="30" s="1"/>
  <c r="AG70" i="7" l="1"/>
  <c r="F70" s="1"/>
  <c r="D25" i="18"/>
  <c r="D24" s="1"/>
  <c r="D27" s="1"/>
  <c r="E16" i="9"/>
  <c r="E12" s="1"/>
  <c r="E6" i="17" s="1"/>
  <c r="C5" i="30" s="1"/>
  <c r="AE63" i="7"/>
  <c r="D63" s="1"/>
  <c r="E76" i="9"/>
  <c r="D11" i="18" l="1"/>
  <c r="D10" s="1"/>
  <c r="E23" i="17"/>
  <c r="C19" i="30" s="1"/>
  <c r="E75" i="9"/>
  <c r="E78" s="1"/>
  <c r="E79" s="1"/>
  <c r="AG63" i="7"/>
  <c r="F63" s="1"/>
  <c r="C7" i="40"/>
  <c r="L15"/>
  <c r="G44" i="6"/>
  <c r="D42"/>
  <c r="D43"/>
  <c r="E22" i="17" l="1"/>
  <c r="E20" s="1"/>
  <c r="E52" s="1"/>
  <c r="D44" i="6"/>
  <c r="I44"/>
  <c r="F44" s="1"/>
  <c r="F45" s="1"/>
  <c r="L7" i="40"/>
  <c r="E8" i="9"/>
  <c r="E7"/>
  <c r="G37" i="46"/>
  <c r="J36"/>
  <c r="J31"/>
  <c r="J30"/>
  <c r="D16"/>
  <c r="E11" i="9" l="1"/>
  <c r="E58"/>
  <c r="E5" i="17" l="1"/>
  <c r="E23" i="9"/>
  <c r="D4" i="18" s="1"/>
  <c r="F34" i="40"/>
  <c r="I25" i="7"/>
  <c r="F25" s="1"/>
  <c r="I31"/>
  <c r="F31" s="1"/>
  <c r="E7" i="17" l="1"/>
  <c r="C4" i="30"/>
  <c r="L34" i="40"/>
  <c r="H34"/>
  <c r="Y71" i="7"/>
  <c r="Z71"/>
  <c r="AA71"/>
  <c r="AE71"/>
  <c r="Y102"/>
  <c r="Z102"/>
  <c r="AA102"/>
  <c r="H33" i="40" l="1"/>
  <c r="N34"/>
  <c r="E61" i="9"/>
  <c r="E65" s="1"/>
  <c r="D6" i="18" l="1"/>
  <c r="E13" i="17"/>
  <c r="C11" i="30" s="1"/>
  <c r="E72" i="9"/>
  <c r="H47" i="40"/>
  <c r="N33"/>
  <c r="D27" i="46"/>
  <c r="J27" s="1"/>
  <c r="D24"/>
  <c r="J24" s="1"/>
  <c r="G24"/>
  <c r="G28" s="1"/>
  <c r="D21"/>
  <c r="G21"/>
  <c r="D13"/>
  <c r="G13"/>
  <c r="J4"/>
  <c r="J5"/>
  <c r="J6"/>
  <c r="J7"/>
  <c r="J8"/>
  <c r="J9"/>
  <c r="J10"/>
  <c r="J11"/>
  <c r="J12"/>
  <c r="J14"/>
  <c r="J15"/>
  <c r="J17"/>
  <c r="J18"/>
  <c r="J19"/>
  <c r="J20"/>
  <c r="J22"/>
  <c r="J23"/>
  <c r="J25"/>
  <c r="J26"/>
  <c r="J29"/>
  <c r="J32"/>
  <c r="J33"/>
  <c r="J34"/>
  <c r="J35"/>
  <c r="J37"/>
  <c r="J39"/>
  <c r="J40"/>
  <c r="J41"/>
  <c r="J42"/>
  <c r="J43"/>
  <c r="J44" s="1"/>
  <c r="J3"/>
  <c r="N47" i="40" l="1"/>
  <c r="X18" i="8"/>
  <c r="J21" i="46"/>
  <c r="J16"/>
  <c r="D28"/>
  <c r="J13"/>
  <c r="D10" i="21" l="1"/>
  <c r="D16" s="1"/>
  <c r="C10"/>
  <c r="C16" s="1"/>
  <c r="J28" i="46" l="1"/>
  <c r="D3" i="18" l="1"/>
  <c r="D16" s="1"/>
  <c r="D28" s="1"/>
  <c r="E4" i="17"/>
  <c r="E19" l="1"/>
  <c r="E25"/>
  <c r="D14" i="1" l="1"/>
  <c r="Y35" i="7"/>
  <c r="Z35"/>
  <c r="AA35"/>
  <c r="Y29"/>
  <c r="Z29"/>
  <c r="AA29"/>
  <c r="Y26"/>
  <c r="Z26"/>
  <c r="AA26"/>
  <c r="Z36" l="1"/>
  <c r="Z94" s="1"/>
  <c r="Y36"/>
  <c r="Y94" s="1"/>
  <c r="AA36"/>
  <c r="AA94" s="1"/>
  <c r="V8"/>
  <c r="D8" s="1"/>
  <c r="C12" i="9" l="1"/>
  <c r="H26" i="7"/>
  <c r="I26"/>
  <c r="J26"/>
  <c r="K26"/>
  <c r="L26"/>
  <c r="H35"/>
  <c r="I35"/>
  <c r="J35"/>
  <c r="K35"/>
  <c r="L35"/>
  <c r="M35"/>
  <c r="E10" i="21"/>
  <c r="K36" i="7" l="1"/>
  <c r="K94" s="1"/>
  <c r="L36"/>
  <c r="L94" s="1"/>
  <c r="J36"/>
  <c r="J94" s="1"/>
  <c r="P18" i="30"/>
  <c r="D25" i="8"/>
  <c r="B25" i="18"/>
  <c r="C74" i="9"/>
  <c r="C21" i="17" l="1"/>
  <c r="C40"/>
  <c r="F23" i="18"/>
  <c r="F33" i="40"/>
  <c r="B26" i="18"/>
  <c r="F47" i="40" l="1"/>
  <c r="L33"/>
  <c r="B24" i="18"/>
  <c r="L47" i="40" l="1"/>
  <c r="V18" i="8"/>
  <c r="J64" i="46"/>
  <c r="C75" i="9" l="1"/>
  <c r="H7" i="6" l="1"/>
  <c r="I7"/>
  <c r="J7"/>
  <c r="G7"/>
  <c r="D7" i="1"/>
  <c r="B16" i="45" l="1"/>
  <c r="B11"/>
  <c r="B8"/>
  <c r="B18" l="1"/>
  <c r="D34" i="1" l="1"/>
  <c r="D28"/>
  <c r="D25"/>
  <c r="D17"/>
  <c r="D35" l="1"/>
  <c r="C50" i="43"/>
  <c r="D50"/>
  <c r="B50"/>
  <c r="D41"/>
  <c r="C31"/>
  <c r="D31"/>
  <c r="B31"/>
  <c r="C21"/>
  <c r="D21"/>
  <c r="D39" i="44"/>
  <c r="C69" i="9" l="1"/>
  <c r="B7" i="18" l="1"/>
  <c r="H9" i="8"/>
  <c r="I9"/>
  <c r="H10"/>
  <c r="I10"/>
  <c r="H11"/>
  <c r="I11"/>
  <c r="H12"/>
  <c r="I12"/>
  <c r="H13"/>
  <c r="I13"/>
  <c r="G9"/>
  <c r="H7"/>
  <c r="I7"/>
  <c r="G7"/>
  <c r="Y4"/>
  <c r="Z4"/>
  <c r="AA4"/>
  <c r="Z5"/>
  <c r="AA5"/>
  <c r="Z7"/>
  <c r="AA7"/>
  <c r="Z19"/>
  <c r="E19" s="1"/>
  <c r="G10" i="18" s="1"/>
  <c r="AA19" i="8"/>
  <c r="F19" s="1"/>
  <c r="H10" i="18" s="1"/>
  <c r="Z3" i="8"/>
  <c r="AA3"/>
  <c r="J24" i="6"/>
  <c r="L24" s="1"/>
  <c r="F24" s="1"/>
  <c r="D36" i="17" l="1"/>
  <c r="E36"/>
  <c r="C31" i="30" s="1"/>
  <c r="Y3" i="8"/>
  <c r="Y7"/>
  <c r="Y5"/>
  <c r="Y19"/>
  <c r="D19" s="1"/>
  <c r="F10" i="18" s="1"/>
  <c r="H14" i="8"/>
  <c r="I14"/>
  <c r="AG64" i="41"/>
  <c r="AF64"/>
  <c r="AE64"/>
  <c r="AA64"/>
  <c r="Z64"/>
  <c r="Y64"/>
  <c r="O64"/>
  <c r="N64"/>
  <c r="M64"/>
  <c r="I64"/>
  <c r="H64"/>
  <c r="G64"/>
  <c r="F64"/>
  <c r="E64"/>
  <c r="D63"/>
  <c r="D62"/>
  <c r="D61"/>
  <c r="AG53"/>
  <c r="AF53"/>
  <c r="AE53"/>
  <c r="Z53"/>
  <c r="Y53"/>
  <c r="O53"/>
  <c r="N53"/>
  <c r="M53"/>
  <c r="AG34"/>
  <c r="AF34"/>
  <c r="AE34"/>
  <c r="AA34"/>
  <c r="Z34"/>
  <c r="Y34"/>
  <c r="O34"/>
  <c r="N34"/>
  <c r="M34"/>
  <c r="I34"/>
  <c r="H34"/>
  <c r="G34"/>
  <c r="AG28"/>
  <c r="AF28"/>
  <c r="AE28"/>
  <c r="AA28"/>
  <c r="Z28"/>
  <c r="Y28"/>
  <c r="O28"/>
  <c r="N28"/>
  <c r="M28"/>
  <c r="I28"/>
  <c r="H28"/>
  <c r="G28"/>
  <c r="D28" s="1"/>
  <c r="J12" i="8" s="1"/>
  <c r="D27" i="41"/>
  <c r="D26"/>
  <c r="AG25"/>
  <c r="AF25"/>
  <c r="AE25"/>
  <c r="AA25"/>
  <c r="Z25"/>
  <c r="Y25"/>
  <c r="O25"/>
  <c r="N25"/>
  <c r="M25"/>
  <c r="I25"/>
  <c r="H25"/>
  <c r="G25"/>
  <c r="D24"/>
  <c r="D23"/>
  <c r="F22"/>
  <c r="F25" s="1"/>
  <c r="L11" i="8" s="1"/>
  <c r="E22" i="41"/>
  <c r="E25" s="1"/>
  <c r="K11" i="8" s="1"/>
  <c r="D22" i="41"/>
  <c r="D21"/>
  <c r="D20"/>
  <c r="D19"/>
  <c r="D18"/>
  <c r="AG17"/>
  <c r="AF17"/>
  <c r="AE17"/>
  <c r="AA17"/>
  <c r="Z17"/>
  <c r="Y17"/>
  <c r="O17"/>
  <c r="N17"/>
  <c r="M17"/>
  <c r="I17"/>
  <c r="H17"/>
  <c r="G17"/>
  <c r="F17"/>
  <c r="L10" i="8" s="1"/>
  <c r="E17" i="41"/>
  <c r="K10" i="8" s="1"/>
  <c r="D16" i="41"/>
  <c r="D15"/>
  <c r="AG14"/>
  <c r="AF14"/>
  <c r="AE14"/>
  <c r="AA14"/>
  <c r="Z14"/>
  <c r="Y14"/>
  <c r="O14"/>
  <c r="N14"/>
  <c r="M14"/>
  <c r="I14"/>
  <c r="H14"/>
  <c r="G14"/>
  <c r="F14"/>
  <c r="L9" i="8" s="1"/>
  <c r="E14" i="41"/>
  <c r="K9" i="8" s="1"/>
  <c r="D13" i="41"/>
  <c r="D12"/>
  <c r="D11"/>
  <c r="D9"/>
  <c r="D8"/>
  <c r="F7"/>
  <c r="E7"/>
  <c r="D7"/>
  <c r="D6"/>
  <c r="D5"/>
  <c r="E22" i="5"/>
  <c r="F22"/>
  <c r="E9" i="6"/>
  <c r="Q7" i="8" s="1"/>
  <c r="F9" i="6"/>
  <c r="R7" i="8" s="1"/>
  <c r="D9" i="6"/>
  <c r="E6"/>
  <c r="Q4" i="8" s="1"/>
  <c r="F6" i="6"/>
  <c r="D6"/>
  <c r="E5"/>
  <c r="Q3" i="8" s="1"/>
  <c r="F5" i="6"/>
  <c r="R3" i="8" s="1"/>
  <c r="D5" i="6"/>
  <c r="S16" i="8"/>
  <c r="T16"/>
  <c r="E16" s="1"/>
  <c r="G8" i="18" s="1"/>
  <c r="U16" i="8"/>
  <c r="F16" s="1"/>
  <c r="H8" i="18" s="1"/>
  <c r="N23" i="8"/>
  <c r="E23" s="1"/>
  <c r="G22" i="18" s="1"/>
  <c r="O23" i="8"/>
  <c r="F23" s="1"/>
  <c r="H22" i="18" s="1"/>
  <c r="M23" i="8"/>
  <c r="D23" s="1"/>
  <c r="F22" i="18" s="1"/>
  <c r="N12" i="8"/>
  <c r="O12"/>
  <c r="N13"/>
  <c r="O13"/>
  <c r="N7"/>
  <c r="O7"/>
  <c r="N3"/>
  <c r="O3"/>
  <c r="N4"/>
  <c r="O4"/>
  <c r="H3"/>
  <c r="I3"/>
  <c r="H4"/>
  <c r="I4"/>
  <c r="G3"/>
  <c r="E4" l="1"/>
  <c r="E7"/>
  <c r="D39" i="17"/>
  <c r="F3" i="8"/>
  <c r="E3"/>
  <c r="E39" i="17"/>
  <c r="C34" i="30" s="1"/>
  <c r="F7" i="8"/>
  <c r="D53" i="41"/>
  <c r="J21" i="8" s="1"/>
  <c r="D34" i="17"/>
  <c r="E34"/>
  <c r="C29" i="30" s="1"/>
  <c r="D25" i="41"/>
  <c r="J11" i="8" s="1"/>
  <c r="D64" i="41"/>
  <c r="D14"/>
  <c r="J9" i="8" s="1"/>
  <c r="U27"/>
  <c r="U30" s="1"/>
  <c r="D17" i="41"/>
  <c r="J10" i="8" s="1"/>
  <c r="I35" i="41"/>
  <c r="I66" s="1"/>
  <c r="Y35"/>
  <c r="Y66" s="1"/>
  <c r="AF35"/>
  <c r="AF66" s="1"/>
  <c r="N35"/>
  <c r="AA35"/>
  <c r="AA66" s="1"/>
  <c r="H35"/>
  <c r="H66" s="1"/>
  <c r="O35"/>
  <c r="O66" s="1"/>
  <c r="AE35"/>
  <c r="AE66" s="1"/>
  <c r="K14" i="8"/>
  <c r="K27" s="1"/>
  <c r="K30" s="1"/>
  <c r="Z35" i="41"/>
  <c r="Z66" s="1"/>
  <c r="AG35"/>
  <c r="AG66" s="1"/>
  <c r="T27" i="8"/>
  <c r="T30" s="1"/>
  <c r="S27"/>
  <c r="S30" s="1"/>
  <c r="D16"/>
  <c r="F8" i="18" s="1"/>
  <c r="F7"/>
  <c r="C36" i="17"/>
  <c r="J13" i="8"/>
  <c r="I5"/>
  <c r="V27"/>
  <c r="V30" s="1"/>
  <c r="H5"/>
  <c r="N66" i="41"/>
  <c r="E66" s="1"/>
  <c r="G35"/>
  <c r="G66" s="1"/>
  <c r="M35"/>
  <c r="M66" s="1"/>
  <c r="E7" i="6"/>
  <c r="F7"/>
  <c r="D7"/>
  <c r="R4" i="8"/>
  <c r="R5" s="1"/>
  <c r="Q5"/>
  <c r="O5"/>
  <c r="N5"/>
  <c r="I71" i="7"/>
  <c r="H71"/>
  <c r="G71"/>
  <c r="D71" s="1"/>
  <c r="O35"/>
  <c r="N35"/>
  <c r="G35"/>
  <c r="O29"/>
  <c r="F29" s="1"/>
  <c r="N29"/>
  <c r="E29" s="1"/>
  <c r="M29"/>
  <c r="I29"/>
  <c r="H29"/>
  <c r="G29"/>
  <c r="O26"/>
  <c r="N26"/>
  <c r="M26"/>
  <c r="G26"/>
  <c r="O18"/>
  <c r="N18"/>
  <c r="M18"/>
  <c r="I18"/>
  <c r="H18"/>
  <c r="G18"/>
  <c r="O15"/>
  <c r="N15"/>
  <c r="M15"/>
  <c r="I15"/>
  <c r="H15"/>
  <c r="G15"/>
  <c r="D15" s="1"/>
  <c r="F66" i="41" l="1"/>
  <c r="D29" i="7"/>
  <c r="D32" i="17"/>
  <c r="G5" i="18"/>
  <c r="E32" i="17"/>
  <c r="C27" i="30" s="1"/>
  <c r="H5" i="18"/>
  <c r="H27" i="8"/>
  <c r="H30" s="1"/>
  <c r="E5"/>
  <c r="L14"/>
  <c r="L27" s="1"/>
  <c r="L30" s="1"/>
  <c r="W30"/>
  <c r="X27"/>
  <c r="X30" s="1"/>
  <c r="F4"/>
  <c r="I27"/>
  <c r="I30" s="1"/>
  <c r="F5"/>
  <c r="I36" i="7"/>
  <c r="H36"/>
  <c r="G36"/>
  <c r="N36"/>
  <c r="N94" s="1"/>
  <c r="O36"/>
  <c r="O94" s="1"/>
  <c r="M36"/>
  <c r="M94" s="1"/>
  <c r="G94" l="1"/>
  <c r="I94"/>
  <c r="D31" i="17"/>
  <c r="G4" i="18"/>
  <c r="E31" i="17"/>
  <c r="C26" i="30" s="1"/>
  <c r="H4" i="18"/>
  <c r="H94" i="7"/>
  <c r="J14" i="8"/>
  <c r="J11" i="29"/>
  <c r="J10"/>
  <c r="I9"/>
  <c r="H9"/>
  <c r="G9"/>
  <c r="F9"/>
  <c r="F17" s="1"/>
  <c r="E9"/>
  <c r="E17" s="1"/>
  <c r="D9"/>
  <c r="E5"/>
  <c r="P37" i="30"/>
  <c r="O36"/>
  <c r="N36"/>
  <c r="M36"/>
  <c r="L36"/>
  <c r="K36"/>
  <c r="J36"/>
  <c r="I36"/>
  <c r="H36"/>
  <c r="G36"/>
  <c r="F36"/>
  <c r="E36"/>
  <c r="D36"/>
  <c r="P35"/>
  <c r="P34"/>
  <c r="P33"/>
  <c r="O32"/>
  <c r="N32"/>
  <c r="N38" s="1"/>
  <c r="M32"/>
  <c r="L32"/>
  <c r="K32"/>
  <c r="J32"/>
  <c r="I32"/>
  <c r="H32"/>
  <c r="G32"/>
  <c r="F32"/>
  <c r="E32"/>
  <c r="D32"/>
  <c r="P31"/>
  <c r="P30"/>
  <c r="P29"/>
  <c r="P28"/>
  <c r="P27"/>
  <c r="P26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D21"/>
  <c r="D22" s="1"/>
  <c r="P20"/>
  <c r="O17"/>
  <c r="N17"/>
  <c r="M17"/>
  <c r="L17"/>
  <c r="K17"/>
  <c r="J17"/>
  <c r="I17"/>
  <c r="H17"/>
  <c r="G17"/>
  <c r="F17"/>
  <c r="E17"/>
  <c r="D17"/>
  <c r="P16"/>
  <c r="P15"/>
  <c r="P14"/>
  <c r="P12"/>
  <c r="P11"/>
  <c r="N10"/>
  <c r="L10"/>
  <c r="J10"/>
  <c r="I10"/>
  <c r="H10"/>
  <c r="D10"/>
  <c r="P9"/>
  <c r="P8"/>
  <c r="O10"/>
  <c r="M10"/>
  <c r="K10"/>
  <c r="G10"/>
  <c r="F10"/>
  <c r="E10"/>
  <c r="O6"/>
  <c r="N6"/>
  <c r="M6"/>
  <c r="L6"/>
  <c r="K6"/>
  <c r="J6"/>
  <c r="I6"/>
  <c r="H6"/>
  <c r="G6"/>
  <c r="F6"/>
  <c r="E6"/>
  <c r="D6"/>
  <c r="P5"/>
  <c r="P4"/>
  <c r="E16" i="21"/>
  <c r="AE15" i="7"/>
  <c r="AF15"/>
  <c r="AG15"/>
  <c r="AE18"/>
  <c r="AF18"/>
  <c r="AG18"/>
  <c r="AE26"/>
  <c r="AF26"/>
  <c r="E26" s="1"/>
  <c r="AG26"/>
  <c r="AE29"/>
  <c r="AF29"/>
  <c r="AG29"/>
  <c r="AE35"/>
  <c r="AF35"/>
  <c r="AG35"/>
  <c r="F25" i="18"/>
  <c r="D52" i="5"/>
  <c r="C65" i="9"/>
  <c r="C52"/>
  <c r="C78"/>
  <c r="C79" s="1"/>
  <c r="E64" i="5"/>
  <c r="F64"/>
  <c r="G64"/>
  <c r="H64"/>
  <c r="I64"/>
  <c r="J64"/>
  <c r="K64"/>
  <c r="L64"/>
  <c r="M64"/>
  <c r="N64"/>
  <c r="O64"/>
  <c r="P64"/>
  <c r="Q64"/>
  <c r="R64"/>
  <c r="D62"/>
  <c r="D63"/>
  <c r="D61"/>
  <c r="G4" i="8"/>
  <c r="C17" i="17"/>
  <c r="C12"/>
  <c r="D63" i="1"/>
  <c r="C43" i="9"/>
  <c r="AF99" i="7"/>
  <c r="Z29" i="8" s="1"/>
  <c r="E29" s="1"/>
  <c r="AG99" i="7"/>
  <c r="AA29" i="8" s="1"/>
  <c r="F29" s="1"/>
  <c r="P99" i="7"/>
  <c r="Q99"/>
  <c r="R99"/>
  <c r="S99"/>
  <c r="S102" s="1"/>
  <c r="T99"/>
  <c r="T102" s="1"/>
  <c r="U99"/>
  <c r="U102" s="1"/>
  <c r="V99"/>
  <c r="V102" s="1"/>
  <c r="W99"/>
  <c r="W102" s="1"/>
  <c r="X99"/>
  <c r="X102" s="1"/>
  <c r="C40" i="9"/>
  <c r="AF71" i="7"/>
  <c r="E71" s="1"/>
  <c r="AG71"/>
  <c r="F71" s="1"/>
  <c r="C9" i="17"/>
  <c r="C37" i="9"/>
  <c r="AE99" i="7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C11" i="9"/>
  <c r="H28" i="5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1" i="8" s="1"/>
  <c r="F53" i="5"/>
  <c r="O21" i="8" s="1"/>
  <c r="G28" i="5"/>
  <c r="G34"/>
  <c r="E7"/>
  <c r="F7"/>
  <c r="F25"/>
  <c r="O11" i="8" s="1"/>
  <c r="E25" i="5"/>
  <c r="O25"/>
  <c r="N25"/>
  <c r="M25"/>
  <c r="L25"/>
  <c r="K25"/>
  <c r="J25"/>
  <c r="I25"/>
  <c r="H25"/>
  <c r="F17"/>
  <c r="O10" i="8" s="1"/>
  <c r="E17" i="5"/>
  <c r="N10" i="8" s="1"/>
  <c r="O17" i="5"/>
  <c r="N17"/>
  <c r="M17"/>
  <c r="L17"/>
  <c r="K17"/>
  <c r="J17"/>
  <c r="I17"/>
  <c r="H17"/>
  <c r="G17"/>
  <c r="F14"/>
  <c r="O9" i="8" s="1"/>
  <c r="E14" i="5"/>
  <c r="N9" i="8" s="1"/>
  <c r="O14" i="5"/>
  <c r="N14"/>
  <c r="M14"/>
  <c r="L14"/>
  <c r="K14"/>
  <c r="J14"/>
  <c r="I14"/>
  <c r="H14"/>
  <c r="G14"/>
  <c r="G25"/>
  <c r="P35" i="7"/>
  <c r="Q35"/>
  <c r="R35"/>
  <c r="S35"/>
  <c r="T35"/>
  <c r="U35"/>
  <c r="V35"/>
  <c r="W35"/>
  <c r="X35"/>
  <c r="P29"/>
  <c r="Q29"/>
  <c r="R29"/>
  <c r="S29"/>
  <c r="T29"/>
  <c r="U29"/>
  <c r="V29"/>
  <c r="W29"/>
  <c r="X29"/>
  <c r="S26"/>
  <c r="T26"/>
  <c r="U26"/>
  <c r="V26"/>
  <c r="W26"/>
  <c r="X26"/>
  <c r="S18"/>
  <c r="T18"/>
  <c r="U18"/>
  <c r="V18"/>
  <c r="W18"/>
  <c r="X18"/>
  <c r="S15"/>
  <c r="T15"/>
  <c r="U15"/>
  <c r="V15"/>
  <c r="W15"/>
  <c r="X15"/>
  <c r="Q71"/>
  <c r="R71"/>
  <c r="S71"/>
  <c r="T71"/>
  <c r="U71"/>
  <c r="V71"/>
  <c r="W71"/>
  <c r="X71"/>
  <c r="R26"/>
  <c r="Q26"/>
  <c r="P26"/>
  <c r="D26" s="1"/>
  <c r="R18"/>
  <c r="Q18"/>
  <c r="P18"/>
  <c r="R15"/>
  <c r="Q15"/>
  <c r="P15"/>
  <c r="H28" i="6"/>
  <c r="I28"/>
  <c r="J28"/>
  <c r="K28"/>
  <c r="L28"/>
  <c r="M28"/>
  <c r="N28"/>
  <c r="O28"/>
  <c r="P28"/>
  <c r="Q28"/>
  <c r="R28"/>
  <c r="S28"/>
  <c r="T28"/>
  <c r="U28"/>
  <c r="G28"/>
  <c r="D38"/>
  <c r="D39"/>
  <c r="D40"/>
  <c r="D41"/>
  <c r="D37"/>
  <c r="D12"/>
  <c r="D13"/>
  <c r="D15"/>
  <c r="D16"/>
  <c r="D18"/>
  <c r="D19"/>
  <c r="D20"/>
  <c r="D21"/>
  <c r="D23"/>
  <c r="D24"/>
  <c r="D26"/>
  <c r="D27"/>
  <c r="D29"/>
  <c r="D30"/>
  <c r="D31"/>
  <c r="D32"/>
  <c r="D33"/>
  <c r="D11"/>
  <c r="Q21" i="8"/>
  <c r="R21"/>
  <c r="F21" s="1"/>
  <c r="H45" i="6"/>
  <c r="I45"/>
  <c r="J45"/>
  <c r="K45"/>
  <c r="L45"/>
  <c r="M45"/>
  <c r="N45"/>
  <c r="O45"/>
  <c r="P45"/>
  <c r="Q45"/>
  <c r="R45"/>
  <c r="S45"/>
  <c r="T45"/>
  <c r="U45"/>
  <c r="G45"/>
  <c r="H34"/>
  <c r="I34"/>
  <c r="J34"/>
  <c r="K34"/>
  <c r="L34"/>
  <c r="M34"/>
  <c r="N34"/>
  <c r="O34"/>
  <c r="P34"/>
  <c r="Q34"/>
  <c r="R34"/>
  <c r="S34"/>
  <c r="T34"/>
  <c r="U34"/>
  <c r="G34"/>
  <c r="U25"/>
  <c r="T25"/>
  <c r="S25"/>
  <c r="R25"/>
  <c r="Q25"/>
  <c r="P25"/>
  <c r="O25"/>
  <c r="N25"/>
  <c r="M25"/>
  <c r="L25"/>
  <c r="K25"/>
  <c r="J25"/>
  <c r="I25"/>
  <c r="H25"/>
  <c r="E25" s="1"/>
  <c r="Q11" i="8" s="1"/>
  <c r="G25" i="6"/>
  <c r="U17"/>
  <c r="T17"/>
  <c r="S17"/>
  <c r="R17"/>
  <c r="Q17"/>
  <c r="P17"/>
  <c r="O17"/>
  <c r="N17"/>
  <c r="M17"/>
  <c r="L17"/>
  <c r="K17"/>
  <c r="J17"/>
  <c r="I17"/>
  <c r="H17"/>
  <c r="E17" s="1"/>
  <c r="Q10" i="8" s="1"/>
  <c r="G17" i="6"/>
  <c r="U14"/>
  <c r="T14"/>
  <c r="S14"/>
  <c r="R14"/>
  <c r="Q14"/>
  <c r="P14"/>
  <c r="O14"/>
  <c r="N14"/>
  <c r="M14"/>
  <c r="L14"/>
  <c r="K14"/>
  <c r="J14"/>
  <c r="I14"/>
  <c r="H14"/>
  <c r="E14" s="1"/>
  <c r="Q9" i="8" s="1"/>
  <c r="G14" i="6"/>
  <c r="D43" i="1"/>
  <c r="E52"/>
  <c r="E65" s="1"/>
  <c r="F52"/>
  <c r="F65" s="1"/>
  <c r="D52"/>
  <c r="G13" i="8"/>
  <c r="G12"/>
  <c r="G11"/>
  <c r="G10"/>
  <c r="J38" i="30" l="1"/>
  <c r="P32"/>
  <c r="E35" i="7"/>
  <c r="Z13" i="8" s="1"/>
  <c r="F15" i="7"/>
  <c r="AA9" i="8" s="1"/>
  <c r="F9" s="1"/>
  <c r="E15" i="7"/>
  <c r="F26"/>
  <c r="AA11" i="8" s="1"/>
  <c r="F35" i="7"/>
  <c r="AA13" i="8" s="1"/>
  <c r="D35" i="7"/>
  <c r="Y11" i="8"/>
  <c r="B6" i="18"/>
  <c r="C13" i="17"/>
  <c r="E21" i="8"/>
  <c r="H21" i="18"/>
  <c r="E38" i="17"/>
  <c r="C33" i="30" s="1"/>
  <c r="H38"/>
  <c r="P36"/>
  <c r="F14" i="6"/>
  <c r="R9" i="8" s="1"/>
  <c r="E34" i="6"/>
  <c r="F28"/>
  <c r="R12" i="8" s="1"/>
  <c r="E28" i="6"/>
  <c r="Q12" i="8" s="1"/>
  <c r="F34" i="6"/>
  <c r="F17"/>
  <c r="R10" i="8" s="1"/>
  <c r="F25" i="6"/>
  <c r="R11" i="8" s="1"/>
  <c r="R13"/>
  <c r="R14" s="1"/>
  <c r="H20" i="18"/>
  <c r="H27" s="1"/>
  <c r="L38" i="30"/>
  <c r="G13"/>
  <c r="Y9" i="8"/>
  <c r="Z10"/>
  <c r="E10" s="1"/>
  <c r="Z11"/>
  <c r="Z9"/>
  <c r="E9" s="1"/>
  <c r="AA10"/>
  <c r="AA12"/>
  <c r="F12" s="1"/>
  <c r="C6" i="17"/>
  <c r="C23" i="9"/>
  <c r="O38" i="30"/>
  <c r="K38"/>
  <c r="G38"/>
  <c r="F38"/>
  <c r="E38"/>
  <c r="J9" i="29"/>
  <c r="J17" s="1"/>
  <c r="J27" i="8"/>
  <c r="J30" s="1"/>
  <c r="P21" i="30"/>
  <c r="P17"/>
  <c r="N13"/>
  <c r="N23" s="1"/>
  <c r="N40" s="1"/>
  <c r="I13"/>
  <c r="L13"/>
  <c r="L23" s="1"/>
  <c r="D13"/>
  <c r="D23" s="1"/>
  <c r="D38"/>
  <c r="I38"/>
  <c r="M38"/>
  <c r="O13"/>
  <c r="O23" s="1"/>
  <c r="P6"/>
  <c r="F13"/>
  <c r="F23" s="1"/>
  <c r="F40" s="1"/>
  <c r="K13"/>
  <c r="K23" s="1"/>
  <c r="J13"/>
  <c r="J23" s="1"/>
  <c r="J40" s="1"/>
  <c r="G23"/>
  <c r="G40" s="1"/>
  <c r="E13"/>
  <c r="E23" s="1"/>
  <c r="M13"/>
  <c r="M23" s="1"/>
  <c r="M40" s="1"/>
  <c r="H13"/>
  <c r="H23" s="1"/>
  <c r="H17" i="29"/>
  <c r="D17"/>
  <c r="G17"/>
  <c r="I17"/>
  <c r="C11" i="17"/>
  <c r="C10"/>
  <c r="C5"/>
  <c r="Q102" i="7"/>
  <c r="R102"/>
  <c r="Z18" i="8"/>
  <c r="E18" s="1"/>
  <c r="Z12"/>
  <c r="AA18"/>
  <c r="F18" s="1"/>
  <c r="C16" i="17"/>
  <c r="G5" i="8"/>
  <c r="C18" i="17"/>
  <c r="G14" i="8"/>
  <c r="AG36" i="7"/>
  <c r="AG94" s="1"/>
  <c r="Y10" i="8"/>
  <c r="W36" i="7"/>
  <c r="W94" s="1"/>
  <c r="Q36"/>
  <c r="T35" i="6"/>
  <c r="T58" s="1"/>
  <c r="D17"/>
  <c r="N35"/>
  <c r="O35"/>
  <c r="O58" s="1"/>
  <c r="L35"/>
  <c r="L58" s="1"/>
  <c r="D22"/>
  <c r="D14"/>
  <c r="J35"/>
  <c r="R35"/>
  <c r="O14" i="8"/>
  <c r="O27" s="1"/>
  <c r="O30" s="1"/>
  <c r="D64" i="5"/>
  <c r="H35"/>
  <c r="H66" s="1"/>
  <c r="M35"/>
  <c r="M66" s="1"/>
  <c r="E35"/>
  <c r="E66" s="1"/>
  <c r="N11" i="8"/>
  <c r="N14" s="1"/>
  <c r="N27" s="1"/>
  <c r="N30" s="1"/>
  <c r="D9" i="5"/>
  <c r="M7" i="8" s="1"/>
  <c r="P35" i="5"/>
  <c r="P66" s="1"/>
  <c r="G35" i="6"/>
  <c r="G58" s="1"/>
  <c r="Y12" i="8"/>
  <c r="P71" i="7"/>
  <c r="P102"/>
  <c r="T36"/>
  <c r="T94" s="1"/>
  <c r="C39" i="17"/>
  <c r="D5" i="5"/>
  <c r="M3" i="8" s="1"/>
  <c r="K35" i="6"/>
  <c r="K58" s="1"/>
  <c r="S35"/>
  <c r="S58" s="1"/>
  <c r="P4" i="8"/>
  <c r="R36" i="7"/>
  <c r="AF36"/>
  <c r="AE36"/>
  <c r="I35" i="6"/>
  <c r="I58" s="1"/>
  <c r="D34"/>
  <c r="D45"/>
  <c r="H35"/>
  <c r="H58" s="1"/>
  <c r="U35"/>
  <c r="U58" s="1"/>
  <c r="P7" i="8"/>
  <c r="Q35" i="6"/>
  <c r="P35"/>
  <c r="D6" i="5"/>
  <c r="M4" i="8" s="1"/>
  <c r="I35" i="5"/>
  <c r="I66" s="1"/>
  <c r="L35"/>
  <c r="L66" s="1"/>
  <c r="D28"/>
  <c r="M12" i="8" s="1"/>
  <c r="R35" i="5"/>
  <c r="R66" s="1"/>
  <c r="D17"/>
  <c r="M10" i="8" s="1"/>
  <c r="K35" i="5"/>
  <c r="K66" s="1"/>
  <c r="F35"/>
  <c r="F66" s="1"/>
  <c r="M35" i="6"/>
  <c r="M58" s="1"/>
  <c r="D25"/>
  <c r="D47" i="5"/>
  <c r="D53" s="1"/>
  <c r="M21" i="8" s="1"/>
  <c r="G53" i="5"/>
  <c r="D65" i="1"/>
  <c r="D28" i="6"/>
  <c r="P12" i="8" s="1"/>
  <c r="U36" i="7"/>
  <c r="U94" s="1"/>
  <c r="S36"/>
  <c r="S94" s="1"/>
  <c r="G35" i="5"/>
  <c r="G66" s="1"/>
  <c r="D22"/>
  <c r="D14"/>
  <c r="M9" i="8" s="1"/>
  <c r="D34" i="5"/>
  <c r="M13" i="8" s="1"/>
  <c r="O35" i="5"/>
  <c r="O66" s="1"/>
  <c r="I23" i="30"/>
  <c r="C14" i="17"/>
  <c r="D25" i="5"/>
  <c r="M11" i="8" s="1"/>
  <c r="Q35" i="5"/>
  <c r="Q66" s="1"/>
  <c r="X36" i="7"/>
  <c r="X94" s="1"/>
  <c r="P36"/>
  <c r="D36" s="1"/>
  <c r="V36"/>
  <c r="V94" s="1"/>
  <c r="N35" i="5"/>
  <c r="N66" s="1"/>
  <c r="J35"/>
  <c r="J66" s="1"/>
  <c r="P7" i="30"/>
  <c r="P10" s="1"/>
  <c r="C54" i="9"/>
  <c r="B5" i="18" s="1"/>
  <c r="L40" i="30" l="1"/>
  <c r="K40"/>
  <c r="AF94" i="7"/>
  <c r="E36"/>
  <c r="F36"/>
  <c r="B4" i="18"/>
  <c r="C72" i="9"/>
  <c r="D35" i="17"/>
  <c r="G9" i="18"/>
  <c r="G21"/>
  <c r="G20" s="1"/>
  <c r="G27" s="1"/>
  <c r="D38" i="17"/>
  <c r="D37" s="1"/>
  <c r="E12" i="8"/>
  <c r="E37" i="17"/>
  <c r="H40" i="30"/>
  <c r="E35" i="17"/>
  <c r="C30" i="30" s="1"/>
  <c r="H9" i="18"/>
  <c r="E11" i="8"/>
  <c r="E35" i="6"/>
  <c r="E58" s="1"/>
  <c r="Q13" i="8"/>
  <c r="Q14" s="1"/>
  <c r="D53" i="17"/>
  <c r="D51" s="1"/>
  <c r="F10" i="8"/>
  <c r="E53" i="17"/>
  <c r="E51" s="1"/>
  <c r="F13" i="8"/>
  <c r="F11"/>
  <c r="F35" i="6"/>
  <c r="F58" s="1"/>
  <c r="R27" i="8"/>
  <c r="R30" s="1"/>
  <c r="Q27"/>
  <c r="Q30" s="1"/>
  <c r="I40" i="30"/>
  <c r="P38"/>
  <c r="P22"/>
  <c r="P9" i="8"/>
  <c r="D9" s="1"/>
  <c r="P10"/>
  <c r="D10" s="1"/>
  <c r="P11"/>
  <c r="D11" s="1"/>
  <c r="P13"/>
  <c r="O40" i="30"/>
  <c r="G27" i="8"/>
  <c r="G30" s="1"/>
  <c r="P21"/>
  <c r="D21" s="1"/>
  <c r="Y13"/>
  <c r="P94" i="7"/>
  <c r="Q94"/>
  <c r="R94"/>
  <c r="F94" s="1"/>
  <c r="D12" i="8"/>
  <c r="B10" i="18"/>
  <c r="C8" i="17"/>
  <c r="E40" i="30"/>
  <c r="C53" i="17"/>
  <c r="D4" i="8"/>
  <c r="D7"/>
  <c r="C22" i="17"/>
  <c r="C21" i="30"/>
  <c r="C22" s="1"/>
  <c r="C7" i="17"/>
  <c r="D40" i="30"/>
  <c r="P13"/>
  <c r="AA14" i="8"/>
  <c r="AA27" s="1"/>
  <c r="Z14"/>
  <c r="Z27" s="1"/>
  <c r="Y29"/>
  <c r="C15" i="17"/>
  <c r="N58" i="6"/>
  <c r="J58"/>
  <c r="R58"/>
  <c r="P58"/>
  <c r="P3" i="8"/>
  <c r="P5" s="1"/>
  <c r="M14"/>
  <c r="M5"/>
  <c r="D7" i="5"/>
  <c r="Q58" i="6"/>
  <c r="AE94" i="7"/>
  <c r="D35" i="5"/>
  <c r="D66" s="1"/>
  <c r="D35" i="6"/>
  <c r="E94" i="7" l="1"/>
  <c r="D94"/>
  <c r="F21" i="18"/>
  <c r="C38" i="17"/>
  <c r="C32"/>
  <c r="F5" i="18"/>
  <c r="E13" i="8"/>
  <c r="E14"/>
  <c r="G6" i="18" s="1"/>
  <c r="F14" i="8"/>
  <c r="AA30"/>
  <c r="F27"/>
  <c r="F30" s="1"/>
  <c r="Z30"/>
  <c r="E27"/>
  <c r="E30" s="1"/>
  <c r="C10" i="30"/>
  <c r="P23"/>
  <c r="P14" i="8"/>
  <c r="D13"/>
  <c r="C6" i="30"/>
  <c r="Y14" i="8"/>
  <c r="C17" i="30"/>
  <c r="C20" i="17"/>
  <c r="D5" i="8"/>
  <c r="D29"/>
  <c r="D3"/>
  <c r="C4" i="17"/>
  <c r="M27" i="8"/>
  <c r="M30" s="1"/>
  <c r="B3" i="18"/>
  <c r="D58" i="6"/>
  <c r="E33" i="17" l="1"/>
  <c r="C28" i="30" s="1"/>
  <c r="H6" i="18"/>
  <c r="H3" s="1"/>
  <c r="C31" i="17"/>
  <c r="F4" i="18"/>
  <c r="D33" i="17"/>
  <c r="D14" i="8"/>
  <c r="P27"/>
  <c r="P30" s="1"/>
  <c r="P40" i="30"/>
  <c r="C13"/>
  <c r="C23" s="1"/>
  <c r="B20" i="18"/>
  <c r="C52" i="17"/>
  <c r="B16" i="18"/>
  <c r="C19" i="17"/>
  <c r="C25"/>
  <c r="Y18" i="8"/>
  <c r="C34" i="17"/>
  <c r="C33" l="1"/>
  <c r="F6" i="18"/>
  <c r="H16"/>
  <c r="H28" s="1"/>
  <c r="G3"/>
  <c r="D30" i="17"/>
  <c r="D41" s="1"/>
  <c r="D43" s="1"/>
  <c r="D56" s="1"/>
  <c r="E30"/>
  <c r="E41" s="1"/>
  <c r="E47" s="1"/>
  <c r="B27" i="18"/>
  <c r="C51" i="17"/>
  <c r="F20" i="18"/>
  <c r="C37" i="17"/>
  <c r="C36" i="30"/>
  <c r="Y27" i="8"/>
  <c r="Y30" s="1"/>
  <c r="D18"/>
  <c r="F9" i="18" s="1"/>
  <c r="G16" l="1"/>
  <c r="G28" s="1"/>
  <c r="F3"/>
  <c r="F16" s="1"/>
  <c r="C35" i="17"/>
  <c r="E43"/>
  <c r="E56" s="1"/>
  <c r="D47"/>
  <c r="B28" i="18"/>
  <c r="F27"/>
  <c r="D27" i="8"/>
  <c r="D30" s="1"/>
  <c r="C32" i="30" l="1"/>
  <c r="C38" s="1"/>
  <c r="C40" s="1"/>
  <c r="F28" i="18"/>
  <c r="C30" i="17"/>
  <c r="C41" l="1"/>
  <c r="C43" s="1"/>
  <c r="C56" l="1"/>
  <c r="C47"/>
</calcChain>
</file>

<file path=xl/comments1.xml><?xml version="1.0" encoding="utf-8"?>
<comments xmlns="http://schemas.openxmlformats.org/spreadsheetml/2006/main">
  <authors>
    <author>Judit</author>
  </authors>
  <commentList>
    <comment ref="AF13" authorId="0">
      <text>
        <r>
          <rPr>
            <b/>
            <sz val="9"/>
            <color indexed="81"/>
            <rFont val="Tahoma"/>
            <family val="2"/>
            <charset val="238"/>
          </rPr>
          <t>Judit:</t>
        </r>
        <r>
          <rPr>
            <sz val="9"/>
            <color indexed="81"/>
            <rFont val="Tahoma"/>
            <family val="2"/>
            <charset val="238"/>
          </rPr>
          <t xml:space="preserve">
Min.elnökségi pály. 2016</t>
        </r>
      </text>
    </comment>
    <comment ref="AF20" authorId="0">
      <text>
        <r>
          <rPr>
            <b/>
            <sz val="9"/>
            <color indexed="81"/>
            <rFont val="Tahoma"/>
            <family val="2"/>
            <charset val="238"/>
          </rPr>
          <t>Judit:</t>
        </r>
        <r>
          <rPr>
            <sz val="9"/>
            <color indexed="81"/>
            <rFont val="Tahoma"/>
            <family val="2"/>
            <charset val="238"/>
          </rPr>
          <t xml:space="preserve">
szünidei gyermekétk</t>
        </r>
      </text>
    </comment>
    <comment ref="AF25" authorId="0">
      <text>
        <r>
          <rPr>
            <b/>
            <sz val="9"/>
            <color indexed="81"/>
            <rFont val="Tahoma"/>
            <family val="2"/>
            <charset val="238"/>
          </rPr>
          <t>Judit:</t>
        </r>
        <r>
          <rPr>
            <sz val="9"/>
            <color indexed="81"/>
            <rFont val="Tahoma"/>
            <family val="2"/>
            <charset val="238"/>
          </rPr>
          <t xml:space="preserve">
Min.elnökségi pály. 2016</t>
        </r>
      </text>
    </comment>
    <comment ref="AF30" authorId="0">
      <text>
        <r>
          <rPr>
            <b/>
            <sz val="9"/>
            <color indexed="81"/>
            <rFont val="Tahoma"/>
            <family val="2"/>
            <charset val="238"/>
          </rPr>
          <t>Judit:</t>
        </r>
        <r>
          <rPr>
            <sz val="9"/>
            <color indexed="81"/>
            <rFont val="Tahoma"/>
            <family val="2"/>
            <charset val="238"/>
          </rPr>
          <t xml:space="preserve">
Min.elnökségi pály. 2016</t>
        </r>
      </text>
    </comment>
    <comment ref="AF61" authorId="0">
      <text>
        <r>
          <rPr>
            <b/>
            <sz val="9"/>
            <color indexed="81"/>
            <rFont val="Tahoma"/>
            <family val="2"/>
            <charset val="238"/>
          </rPr>
          <t>Judit:</t>
        </r>
        <r>
          <rPr>
            <sz val="9"/>
            <color indexed="81"/>
            <rFont val="Tahoma"/>
            <family val="2"/>
            <charset val="238"/>
          </rPr>
          <t xml:space="preserve">
39M Lövész Egyesület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bérnövekedés
3 fő nyugdíj-felmentési idő
5,7 % garantált bérmin. növekedés</t>
        </r>
      </text>
    </commen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bérszintnövekedés
3 ember felmentési idő nyugdíj miatt
5,7 % gar.bérmin. növekedés</t>
        </r>
      </text>
    </comment>
  </commentList>
</comments>
</file>

<file path=xl/sharedStrings.xml><?xml version="1.0" encoding="utf-8"?>
<sst xmlns="http://schemas.openxmlformats.org/spreadsheetml/2006/main" count="2973" uniqueCount="1185">
  <si>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</si>
  <si>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</si>
  <si>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</si>
  <si>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</si>
  <si>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</si>
  <si>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</si>
  <si>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</si>
  <si>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</si>
  <si>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</si>
  <si>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</si>
  <si>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</si>
  <si>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</si>
  <si>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</si>
  <si>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</si>
  <si>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</si>
  <si>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</si>
  <si>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</si>
  <si>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</si>
  <si>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</si>
  <si>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</si>
  <si>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</si>
  <si>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</si>
  <si>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</si>
  <si>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</si>
  <si>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</si>
  <si>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</si>
  <si>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</si>
  <si>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</si>
  <si>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</si>
  <si>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</si>
  <si>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</si>
  <si>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</si>
  <si>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</si>
  <si>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</si>
  <si>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</si>
  <si>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</si>
  <si>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</si>
  <si>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</si>
  <si>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</si>
  <si>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</si>
  <si>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</si>
  <si>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</si>
  <si>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</si>
  <si>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</si>
  <si>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</si>
  <si>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</si>
  <si>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</si>
  <si>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</si>
  <si>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</si>
  <si>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</si>
  <si>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</si>
  <si>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</si>
  <si>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</si>
  <si>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</si>
  <si>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</si>
  <si>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</si>
  <si>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</si>
  <si>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</si>
  <si>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</si>
  <si>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</si>
  <si>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</si>
  <si>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</si>
  <si>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</si>
  <si>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</si>
  <si>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</si>
  <si>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</si>
  <si>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</si>
  <si>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</si>
  <si>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</si>
  <si>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</si>
  <si>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</si>
  <si>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</si>
  <si>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</si>
  <si>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</si>
  <si>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</si>
  <si>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</si>
  <si>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</si>
  <si>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</si>
  <si>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</si>
  <si>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</si>
  <si>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</si>
  <si>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</si>
  <si>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</si>
  <si>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</si>
  <si>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</si>
  <si>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</si>
  <si>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</si>
  <si>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</si>
  <si>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</si>
  <si>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</si>
  <si>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</si>
  <si>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</si>
  <si>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</si>
  <si>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</si>
  <si>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</si>
  <si>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</si>
  <si>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</si>
  <si>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</si>
  <si>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</si>
  <si>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</si>
  <si>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</si>
  <si>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</si>
  <si>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</si>
  <si>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</si>
  <si>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</si>
  <si>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</si>
  <si>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</si>
  <si>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</si>
  <si>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</si>
  <si>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</si>
  <si>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</si>
  <si>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</si>
  <si>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</si>
  <si>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</si>
  <si>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</si>
  <si>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</si>
  <si>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</si>
  <si>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</si>
  <si>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</si>
  <si>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</si>
  <si>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</si>
  <si>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</si>
  <si>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</si>
  <si>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</si>
  <si>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</si>
  <si>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</si>
  <si>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</si>
  <si>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</si>
  <si>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</si>
  <si>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</si>
  <si>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</si>
  <si>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</si>
  <si>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</si>
  <si>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</si>
  <si>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</si>
  <si>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</si>
  <si>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</si>
  <si>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</si>
  <si>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</si>
  <si>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</si>
  <si>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</si>
  <si>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</si>
  <si>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</si>
  <si>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</si>
  <si>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</si>
  <si>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</si>
  <si>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</si>
  <si>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</si>
  <si>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</si>
  <si>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</si>
  <si>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</si>
  <si>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</si>
  <si>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</si>
  <si>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</si>
  <si>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</si>
  <si>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</si>
  <si>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</si>
  <si>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</si>
  <si>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</si>
  <si>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</si>
  <si>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</si>
  <si>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</si>
  <si>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</si>
  <si>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</si>
  <si>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</si>
  <si>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</si>
  <si>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</si>
  <si>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</si>
  <si>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</si>
  <si>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</si>
  <si>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</si>
  <si>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</si>
  <si>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</si>
  <si>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</si>
  <si>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</si>
  <si>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</si>
  <si>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</si>
  <si>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</si>
  <si>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</si>
  <si>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</si>
  <si>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</si>
  <si>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</si>
  <si>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</si>
  <si>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</si>
  <si>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</si>
  <si>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</si>
  <si>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</si>
  <si>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</si>
  <si>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</si>
  <si>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</si>
  <si>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</si>
  <si>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</si>
  <si>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</si>
  <si>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</si>
  <si>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</si>
  <si>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</si>
  <si>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</si>
  <si>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</si>
  <si>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</si>
  <si>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</si>
  <si>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</si>
  <si>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</si>
  <si>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</si>
  <si>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</si>
  <si>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</si>
  <si>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</si>
  <si>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</si>
  <si>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</si>
  <si>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</si>
  <si>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</si>
  <si>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</si>
  <si>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</si>
  <si>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</si>
  <si>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</si>
  <si>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</si>
  <si>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</si>
  <si>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</si>
  <si>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</si>
  <si>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</si>
  <si>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</si>
  <si>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</si>
  <si>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</si>
  <si>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</si>
  <si>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</si>
  <si>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</si>
  <si>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</si>
  <si>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</si>
  <si>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</si>
  <si>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</si>
  <si>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</si>
  <si>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</si>
  <si>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</si>
  <si>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</si>
  <si>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</si>
  <si>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</si>
  <si>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</si>
  <si>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</si>
  <si>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</si>
  <si>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</si>
  <si>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</si>
  <si>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</si>
  <si>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</si>
  <si>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</si>
  <si>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</si>
  <si>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</si>
  <si>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</si>
  <si>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</si>
  <si>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</si>
  <si>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</si>
  <si>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</si>
  <si>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</si>
  <si>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</si>
  <si>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</si>
  <si>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</si>
  <si>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</si>
  <si>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</si>
  <si>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</si>
  <si>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</si>
  <si>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</si>
  <si>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</si>
  <si>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</si>
  <si>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</si>
  <si>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</si>
  <si>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</si>
  <si>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</si>
  <si>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</si>
  <si>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</si>
  <si>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</si>
  <si>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</si>
  <si>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</si>
  <si>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</si>
  <si>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</si>
  <si>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</si>
  <si>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</si>
  <si>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</si>
  <si>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</si>
  <si>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</si>
  <si>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</si>
  <si>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</si>
  <si>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</si>
  <si>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</si>
  <si>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</si>
  <si>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</si>
  <si>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</si>
  <si>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</si>
  <si>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</si>
  <si>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</si>
  <si>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</si>
  <si>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</si>
  <si>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</si>
  <si>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</si>
  <si>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</si>
  <si>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</si>
  <si>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</si>
  <si>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</si>
  <si>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</si>
  <si>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</si>
  <si>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</si>
  <si>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</si>
  <si>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</si>
  <si>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</si>
  <si>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</si>
  <si>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</si>
  <si>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</si>
  <si>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</si>
  <si>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</si>
  <si>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F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</si>
  <si>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</si>
  <si>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</si>
  <si>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</si>
  <si>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</si>
  <si>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</si>
  <si>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</si>
  <si>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</si>
  <si>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</si>
  <si>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</si>
  <si>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</si>
  <si>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</si>
  <si>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</si>
  <si>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</si>
  <si>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</si>
  <si>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</si>
  <si>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</si>
  <si>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</si>
  <si>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</si>
  <si>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</si>
  <si>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</si>
  <si>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</si>
  <si>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</si>
  <si>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</si>
  <si>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</si>
  <si>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</si>
  <si>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</si>
  <si>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</si>
  <si>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</si>
  <si>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</si>
  <si>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</si>
  <si>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</si>
  <si>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</si>
  <si>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</si>
  <si>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</si>
  <si>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</si>
  <si>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</si>
  <si>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</si>
  <si>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ÁFA kölcsön törlesztés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</si>
  <si>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</si>
  <si>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</si>
  <si>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</si>
  <si>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</si>
  <si>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</si>
  <si>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Saját erő</t>
  </si>
  <si>
    <t>Pályázati támogatás</t>
  </si>
  <si>
    <t>G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</si>
  <si>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</si>
  <si>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</si>
  <si>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</si>
  <si>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</si>
  <si>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</si>
  <si>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 xml:space="preserve">Áthúzódó hazai tám. fejlesztési programok </t>
  </si>
  <si>
    <t>Hazai támogatású fejlesztési programok összesen</t>
  </si>
  <si>
    <t>Intézményi beruházások összesen</t>
  </si>
  <si>
    <t>Informatikai fejlesztés</t>
  </si>
  <si>
    <t>Informatikai fejlesztés összesen</t>
  </si>
  <si>
    <t>BERUHÁZÁSOK ÖSSZESEN:</t>
  </si>
  <si>
    <t>Ssz.</t>
  </si>
  <si>
    <t>Felújítás  megnevezése</t>
  </si>
  <si>
    <t>Európai uniós támogatással megvalósuló felújítás</t>
  </si>
  <si>
    <t>Európai uniós támogatással megvalósuló felújítások összesen</t>
  </si>
  <si>
    <t>Egyéb felújítások</t>
  </si>
  <si>
    <t>Egyéb felújítások összesen</t>
  </si>
  <si>
    <t>Intézményi felújítások</t>
  </si>
  <si>
    <t>Intézményi felújítások összesen</t>
  </si>
  <si>
    <t>FELÚJÍTÁSOK  ÖSSZESEN: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</si>
  <si>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</si>
  <si>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</si>
  <si>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</si>
  <si>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</si>
  <si>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</si>
  <si>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</si>
  <si>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Közfoglalkoztatottak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</si>
  <si>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</si>
  <si>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</si>
  <si>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</si>
  <si>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</si>
  <si>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</si>
  <si>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</si>
  <si>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</si>
  <si>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</si>
  <si>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</si>
  <si>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</si>
  <si>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</si>
  <si>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</si>
  <si>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</si>
  <si>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</si>
  <si>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</si>
  <si>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</si>
  <si>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</si>
  <si>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</si>
  <si>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</si>
  <si>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</si>
  <si>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</si>
  <si>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>Tárgyévi teljesítés 
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</si>
  <si>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</si>
  <si>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</si>
  <si>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</si>
  <si>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</si>
  <si>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</si>
  <si>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</si>
  <si>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</si>
  <si>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</si>
  <si>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</si>
  <si>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</si>
  <si>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</si>
  <si>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</si>
  <si>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</si>
  <si>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</si>
  <si>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</si>
  <si>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</si>
  <si>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</si>
  <si>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</si>
  <si>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</si>
  <si>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</si>
  <si>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</si>
  <si>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</si>
  <si>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</si>
  <si>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</si>
  <si>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</si>
  <si>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</si>
  <si>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</si>
  <si>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</si>
  <si>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</si>
  <si>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</si>
  <si>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</si>
  <si>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</si>
  <si>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</si>
  <si>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</si>
  <si>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</si>
  <si>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</si>
  <si>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</si>
  <si>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</si>
  <si>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Áthúzódó 2013 évi EU-s felújítások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</si>
  <si>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</si>
  <si>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</si>
  <si>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</si>
  <si>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</si>
  <si>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</si>
  <si>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</si>
  <si>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</si>
  <si>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</si>
  <si>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</si>
  <si>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</si>
  <si>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</si>
  <si>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</si>
  <si>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</si>
  <si>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</si>
  <si>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</si>
  <si>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</si>
  <si>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</si>
  <si>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</si>
  <si>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</si>
  <si>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</si>
  <si>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</si>
  <si>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</si>
  <si>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</si>
  <si>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</si>
  <si>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</si>
  <si>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</si>
  <si>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</si>
  <si>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</si>
  <si>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</si>
  <si>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</si>
  <si>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</si>
  <si>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ebből: működési hiány finanszírozása</t>
  </si>
  <si>
    <t>Felhalmozási bevételek</t>
  </si>
  <si>
    <t xml:space="preserve"> Ezer forintban !</t>
  </si>
  <si>
    <t>Sor-szám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</si>
  <si>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</si>
  <si>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</si>
  <si>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</si>
  <si>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</si>
  <si>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</si>
  <si>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</si>
  <si>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</si>
  <si>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</si>
  <si>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</si>
  <si>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</si>
  <si>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</si>
  <si>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Ezer forintban !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</si>
  <si>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</si>
  <si>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</si>
  <si>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</si>
  <si>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</si>
  <si>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</si>
  <si>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</si>
  <si>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</si>
  <si>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</si>
  <si>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</si>
  <si>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</si>
  <si>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</si>
  <si>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</si>
  <si>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</si>
  <si>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</si>
  <si>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</si>
  <si>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</si>
  <si>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 xml:space="preserve">   Áfa Kölcsön törlesztés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</si>
  <si>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</si>
  <si>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</si>
  <si>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</si>
  <si>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</si>
  <si>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</si>
  <si>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</si>
  <si>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</si>
  <si>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</si>
  <si>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</si>
  <si>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</si>
  <si>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</si>
  <si>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</si>
  <si>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</si>
  <si>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</si>
  <si>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</si>
  <si>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</si>
  <si>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</si>
  <si>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</si>
  <si>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</si>
  <si>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</si>
  <si>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</si>
  <si>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</si>
  <si>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</si>
  <si>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</si>
  <si>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</si>
  <si>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</si>
  <si>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</si>
  <si>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</si>
  <si>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</si>
  <si>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</si>
  <si>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</si>
  <si>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</si>
  <si>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</si>
  <si>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</si>
  <si>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</si>
  <si>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</si>
  <si>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</si>
  <si>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</si>
  <si>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Idegenforgalmi adó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</si>
  <si>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</si>
  <si>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</si>
  <si>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</si>
  <si>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</si>
  <si>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</si>
  <si>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</si>
  <si>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</si>
  <si>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</si>
  <si>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</si>
  <si>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</si>
  <si>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</si>
  <si>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</si>
  <si>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</si>
  <si>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</si>
  <si>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</si>
  <si>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</si>
  <si>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</si>
  <si>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</si>
  <si>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</si>
  <si>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</si>
  <si>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</si>
  <si>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</si>
  <si>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</si>
  <si>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</si>
  <si>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</si>
  <si>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Óvodapedagógusok  nev. munkáját közvetlenül segítők bértámogatása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</si>
  <si>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</si>
  <si>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</si>
  <si>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</si>
  <si>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</si>
  <si>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</si>
  <si>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</si>
  <si>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</si>
  <si>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</si>
  <si>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Családi napközi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</si>
  <si>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</si>
  <si>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</si>
  <si>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</si>
  <si>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</si>
  <si>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</si>
  <si>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</si>
  <si>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</si>
  <si>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</si>
  <si>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Vagyonkezelés</t>
  </si>
  <si>
    <t>Ebből:  Tartalék</t>
  </si>
  <si>
    <t>Kieg.támogatás óvodaped. Minősítésből adódó kiadáshoz</t>
  </si>
  <si>
    <t>Hivatal működési támogatása</t>
  </si>
  <si>
    <t>C: tel.típus kt. Létszám min.</t>
  </si>
  <si>
    <t>D: tel.típus kt. Létszám max.</t>
  </si>
  <si>
    <t>Emelés (járási székhely)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</si>
  <si>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</si>
  <si>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</si>
  <si>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</si>
  <si>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</si>
  <si>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</si>
  <si>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Tartalék (részleteiben: 5/g.melléklet)</t>
  </si>
  <si>
    <t>B8111</t>
  </si>
  <si>
    <t>Hosszú lejáratú hitelek, kölcsönök pénzügyi vállalkozástól</t>
  </si>
  <si>
    <t>Hitelek, kölcsön felvétel pénzügyi vállalkozástól</t>
  </si>
  <si>
    <t>B811</t>
  </si>
  <si>
    <t>Hitelv felvétel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</si>
  <si>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</si>
  <si>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</si>
  <si>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</si>
  <si>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</si>
  <si>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BBKP egyéb tárgyi eszköz vásárlás</t>
  </si>
  <si>
    <t>Brunszvik Óvoda informatikai eszköz vásárlás</t>
  </si>
  <si>
    <t>Brunszvik Óvoda egyéb tárgyi eszköz vásárlás</t>
  </si>
  <si>
    <t>Polgármesteri Hivatal immateriális javak vásárlása</t>
  </si>
  <si>
    <t>Polgármesteri Hivatal informatikai eszközök vásárlása</t>
  </si>
  <si>
    <t>Polgármesteri Hivatal egyéb tárgyi eszköz vásárlása</t>
  </si>
  <si>
    <t>Védőnői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</si>
  <si>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</si>
  <si>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</si>
  <si>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</si>
  <si>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</si>
  <si>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</si>
  <si>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</si>
  <si>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</si>
  <si>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2016. évi</t>
  </si>
  <si>
    <t>Újság hirdetés bevétele</t>
  </si>
  <si>
    <t>Rendkívüli települési támogatás (pénzbeni és természetbeni ellátások)</t>
  </si>
  <si>
    <t>Köztemetés</t>
  </si>
  <si>
    <t>2015/2016 8 hó</t>
  </si>
  <si>
    <t>2016/2017 4 hó</t>
  </si>
  <si>
    <t>PH házasságkötés bevétele</t>
  </si>
  <si>
    <t>MINDÖSSZESEN</t>
  </si>
  <si>
    <t>Martonvásár Város Önkormányzata és Intézményei  2016. évi létszámkerete</t>
  </si>
  <si>
    <t>1.sz. melléklet</t>
  </si>
  <si>
    <t>2.sz. melléklet</t>
  </si>
  <si>
    <t>3.sz. melléklet</t>
  </si>
  <si>
    <t>4.sz. melléklet</t>
  </si>
  <si>
    <t>5.sz. melléklet</t>
  </si>
  <si>
    <t>5.a.sz. melléklet</t>
  </si>
  <si>
    <t>5.b.sz. melléklet</t>
  </si>
  <si>
    <t>5.c.sz. melléklet</t>
  </si>
  <si>
    <t>5.d.sz. melléklet</t>
  </si>
  <si>
    <t>5.e.sz. melléklet</t>
  </si>
  <si>
    <t>5.f.sz. melléklet</t>
  </si>
  <si>
    <t>5.g.sz. melléklet</t>
  </si>
  <si>
    <t>6.sz. melléklet</t>
  </si>
  <si>
    <t>Martonvásár Város Önkormányzat- Intézmények bevételei és kiadásai mindösszesen</t>
  </si>
  <si>
    <t>6.a.sz. melléklet</t>
  </si>
  <si>
    <t>6.b.sz.melléklet</t>
  </si>
  <si>
    <t>6.c.sz.melléklet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</si>
  <si>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</si>
  <si>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</si>
  <si>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</si>
  <si>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</si>
  <si>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</si>
  <si>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10.sz. melléklet</t>
  </si>
  <si>
    <t>11.sz. melléklet</t>
  </si>
  <si>
    <t>3/a.sz. melléklet</t>
  </si>
  <si>
    <t>3/b.sz. melléklet</t>
  </si>
  <si>
    <t>3/c.sz. melléklet</t>
  </si>
  <si>
    <t>Martonvásár Város Önkormányzatának 2016. évi bevétele (intézmények nélkül)</t>
  </si>
  <si>
    <t>Martonvásár Város Önkormányzatának 2016. évi működési bevételei</t>
  </si>
  <si>
    <t>Martonvásár Város Önkormányzatának 2016. évi  közhatalmi bevételei</t>
  </si>
  <si>
    <t>Martonvásár Város Önkormányzatának 2016. évi normatív támogatásai</t>
  </si>
  <si>
    <t>Martonvásár Város Önkormányzatának 2016. évi kiadásai (intézmények nélkül)</t>
  </si>
  <si>
    <t>Martonvásár Város Önkormányzatának 2016. évi kiadásai - Önkormányzati jogalkotás kormányzati funkció</t>
  </si>
  <si>
    <t>Martonvásár Város Önkormányzatának 2016. évi kiadásai - Szociális feladatok ellátása</t>
  </si>
  <si>
    <t>Martonvásár Város Önkormányzatának 2016. évi kiadásai - Átadott pénzeszközök</t>
  </si>
  <si>
    <t>Martonvásár Város Önkormányzatának 2016. évi kiadásai - Védőnői és eü feladatok ellátása</t>
  </si>
  <si>
    <t>Martonvásár Város Önkormányzatának 2016. évi kiadásai - Városfejlesztési feladatok ellátása EU forrásból</t>
  </si>
  <si>
    <t>Martonvásár Város Önkormányzatának 2016. évi kiadásai - Városfejlesztési feladatok ellátása saját forrásból</t>
  </si>
  <si>
    <t>Martonvásári Polgármesteri Hivatal 2016. évi kiadásai</t>
  </si>
  <si>
    <t>Brunszvik Teréz Óvoda 2016. évi kiadásai</t>
  </si>
  <si>
    <t>Brunszvik-Beethoven Kulturális Központ 2016. évi kiadásai</t>
  </si>
  <si>
    <t>Martonvásár Város Önkormányzata - Előirányzat felhasználási ütemterv</t>
  </si>
  <si>
    <t>Martonvásár Város Önkormányzatának 2016. évi kiadásai - Egyéb feladatok ellátása</t>
  </si>
  <si>
    <t>Martonvásár Város Önkormányzatának 2016. évi átvett pénzeszközei</t>
  </si>
  <si>
    <t>Martonvásár Város Önkormányzatának 2016.évi költségvetésének pénzügyi mérlege I.</t>
  </si>
  <si>
    <t>Martonvásár Város Önkormányzatának 2016.évi költségvetésének pénzügyi mérlege II.</t>
  </si>
  <si>
    <t>Martonvásár Város Önkormányzata</t>
  </si>
  <si>
    <t>Szent László Völgye TKT</t>
  </si>
  <si>
    <t>2015/2016 8hó</t>
  </si>
  <si>
    <t>Csatorna fejlesztési ct.</t>
  </si>
  <si>
    <t>Városmenedzsment MT szerint fogl.</t>
  </si>
  <si>
    <t>Martonsport Kft-nek átadott pe</t>
  </si>
  <si>
    <t>Polgárőrség támogatása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</si>
  <si>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</si>
  <si>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</si>
  <si>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</si>
  <si>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</si>
  <si>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</si>
  <si>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</si>
  <si>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</si>
  <si>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</si>
  <si>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104030</t>
  </si>
  <si>
    <t>102030</t>
  </si>
  <si>
    <t>Gyermekétkeztetés</t>
  </si>
  <si>
    <t xml:space="preserve">Szociális étkeztetés </t>
  </si>
  <si>
    <t>Tanyagondnoki feladatok ellátása</t>
  </si>
  <si>
    <t>Családi napközi feladatainak ellátása</t>
  </si>
  <si>
    <t>101222</t>
  </si>
  <si>
    <t>107055</t>
  </si>
  <si>
    <t>107052</t>
  </si>
  <si>
    <t>104042</t>
  </si>
  <si>
    <t>096015</t>
  </si>
  <si>
    <t>104043</t>
  </si>
  <si>
    <t>107051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</si>
  <si>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(Martonvásári Napokra)</t>
    </r>
  </si>
  <si>
    <t>Kisajátítási céltartalék</t>
  </si>
  <si>
    <t>Hitel törlesztési tart.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</si>
  <si>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</si>
  <si>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</si>
  <si>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</si>
  <si>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</si>
  <si>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</si>
  <si>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</si>
  <si>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</si>
  <si>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</si>
  <si>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</si>
  <si>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</si>
  <si>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r>
      <t xml:space="preserve">Fejlesztési célú ct. </t>
    </r>
    <r>
      <rPr>
        <i/>
        <sz val="10"/>
        <color indexed="8"/>
        <rFont val="Times New Roman"/>
        <family val="1"/>
        <charset val="238"/>
      </rPr>
      <t>(előzetes "kötvállal" terhelt)</t>
    </r>
  </si>
  <si>
    <t>ebból általános tartalék</t>
  </si>
  <si>
    <t>TKT-nak átadott pe.</t>
  </si>
  <si>
    <t>Adatok forintban</t>
  </si>
  <si>
    <t>Gépjármű lízing (Martongazda Kft)</t>
  </si>
  <si>
    <t>K8907</t>
  </si>
  <si>
    <t>Egyéb felhalmozási célú támogatások ÁH-n kívülre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</si>
  <si>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</si>
  <si>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</si>
  <si>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</si>
  <si>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</si>
  <si>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091110</t>
  </si>
  <si>
    <t>Óvodai nevelés, ellátás</t>
  </si>
  <si>
    <r>
      <t xml:space="preserve">Költségvetési kiadások </t>
    </r>
    <r>
      <rPr>
        <i/>
        <sz val="10"/>
        <color rgb="FF000000"/>
        <rFont val="Times New Roman"/>
        <family val="1"/>
        <charset val="238"/>
      </rPr>
      <t>(ebből 12.196 e Ft Önkormányzati támogatásból fedezve)</t>
    </r>
  </si>
  <si>
    <t>MKE támogatás visszatérülése 2015. évről</t>
  </si>
  <si>
    <t>Martonvásár Város Képviselőtestület …../2016 (….) önkormányzati rendelete Martonvásár Város 2016.évi költségvetésének módosításáról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</si>
  <si>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</si>
  <si>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</si>
  <si>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</si>
  <si>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</si>
  <si>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</si>
  <si>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</si>
  <si>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</si>
  <si>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</si>
  <si>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</si>
  <si>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</si>
  <si>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Módosítás</t>
  </si>
  <si>
    <t>Mód. Ei. I</t>
  </si>
  <si>
    <t>Mód. Ei. I.</t>
  </si>
  <si>
    <t>Módosítás, Ft</t>
  </si>
  <si>
    <t>Módosított ei. I, Ft</t>
  </si>
  <si>
    <t>Módosítás,  Ft</t>
  </si>
  <si>
    <t>Módosított ei. I., Ft</t>
  </si>
  <si>
    <t>Tüzoltószertár végösszegének megfizetése</t>
  </si>
  <si>
    <t>Mód. ei. I.</t>
  </si>
  <si>
    <t>Brunszvik-Beethoven Kulturális Központ</t>
  </si>
  <si>
    <t>Módosított előirányzat I.</t>
  </si>
  <si>
    <t>052020- Szennyvíz gyűjtése, tisztítása, elhelyezése</t>
  </si>
  <si>
    <t>066020- Város-, községgazdálkodási egyéb szolgáltatások</t>
  </si>
  <si>
    <t>102031</t>
  </si>
  <si>
    <t>K914</t>
  </si>
  <si>
    <t>ÁH-n belüli megelőlegezések visszafizetése</t>
  </si>
  <si>
    <t>Módosítás jogcíme</t>
  </si>
  <si>
    <t>COFOG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</si>
  <si>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</si>
  <si>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</si>
  <si>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</si>
  <si>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</si>
  <si>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</si>
  <si>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</si>
  <si>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</si>
  <si>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</si>
  <si>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</si>
  <si>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Hitel törlesztés</t>
  </si>
  <si>
    <t>Működési  céltartalék</t>
  </si>
  <si>
    <t>Fejlesztési céltartalék</t>
  </si>
  <si>
    <t>Csatorna céltartalék</t>
  </si>
  <si>
    <t>Kisajátítási ktg céltartalék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</si>
  <si>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</si>
  <si>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</si>
  <si>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</si>
  <si>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</si>
  <si>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</si>
  <si>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Felhalmozási bevétel</t>
  </si>
  <si>
    <t>Önk. felhalm.c. ktgvet. tám.</t>
  </si>
  <si>
    <t>Felhalm.célú tám. ÁH-n belülről</t>
  </si>
  <si>
    <t>Felhalm.célú pénzeszk.átvétel ÁH-n kívülről</t>
  </si>
  <si>
    <t>Hitel felvétel</t>
  </si>
  <si>
    <t>Pénzmaradvány</t>
  </si>
  <si>
    <t>ÁH-n belülre</t>
  </si>
  <si>
    <t>ÁH-n kívülre</t>
  </si>
  <si>
    <t>066020</t>
  </si>
  <si>
    <t>013350</t>
  </si>
  <si>
    <t>Ei. átcsoportosítás dologi kiadásról</t>
  </si>
  <si>
    <t>Tűzvédelmi oltómedence</t>
  </si>
  <si>
    <t>Pályázati tanulmány VP-6.7.4.1.1.</t>
  </si>
  <si>
    <t>Pályázati tanulmány TOP-4.1.1-15</t>
  </si>
  <si>
    <t>Településrendezési terv</t>
  </si>
  <si>
    <t>Pályázati tanulmány TOP-2.1.2-15</t>
  </si>
  <si>
    <t>MLSZ használati jog vásárlás</t>
  </si>
  <si>
    <t>Hat. szám v. ügyir. sz.</t>
  </si>
  <si>
    <t>Bevételek összesen</t>
  </si>
  <si>
    <t>Szem jell.</t>
  </si>
  <si>
    <t>Járulék</t>
  </si>
  <si>
    <t>DOLOGI</t>
  </si>
  <si>
    <t>Felújítás</t>
  </si>
  <si>
    <t>Ber.célú p.e.átadás</t>
  </si>
  <si>
    <t>Műk.célú bevétel</t>
  </si>
  <si>
    <t>Felhalm. Bevétel</t>
  </si>
  <si>
    <t>Felhalm.c.bevétel</t>
  </si>
  <si>
    <t>Pénzma-radvány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</si>
  <si>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</si>
  <si>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</si>
  <si>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</si>
  <si>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</si>
  <si>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</si>
  <si>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</si>
  <si>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</si>
  <si>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</si>
  <si>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Pénzmar. igénybe vétele</t>
  </si>
  <si>
    <t>H</t>
  </si>
  <si>
    <t>I</t>
  </si>
  <si>
    <t>J</t>
  </si>
  <si>
    <t>K</t>
  </si>
  <si>
    <t>M</t>
  </si>
  <si>
    <t>N</t>
  </si>
  <si>
    <t>O</t>
  </si>
  <si>
    <t>P</t>
  </si>
  <si>
    <t>S</t>
  </si>
  <si>
    <t>T</t>
  </si>
  <si>
    <t>U</t>
  </si>
  <si>
    <t>V</t>
  </si>
  <si>
    <t>W</t>
  </si>
  <si>
    <t>X</t>
  </si>
  <si>
    <t>13.</t>
  </si>
  <si>
    <t>14.</t>
  </si>
  <si>
    <t>15.</t>
  </si>
  <si>
    <t>Ei. átcsoportosítás alapilletményről</t>
  </si>
  <si>
    <t>16.</t>
  </si>
  <si>
    <t>Ei. átcsoportosítás betegszabadságra</t>
  </si>
  <si>
    <t>17.</t>
  </si>
  <si>
    <t>Ei. átcsoportosítás táppénz hozzájárulásra</t>
  </si>
  <si>
    <t>Ei. átcsoportosítás reprezentációra</t>
  </si>
  <si>
    <t>18.</t>
  </si>
  <si>
    <t>19.</t>
  </si>
  <si>
    <t>20.</t>
  </si>
  <si>
    <t>21.</t>
  </si>
  <si>
    <t>22.</t>
  </si>
  <si>
    <t>Táboroztatás bevétel ei.</t>
  </si>
  <si>
    <t>23.</t>
  </si>
  <si>
    <t>Táboroztatás kiadás ei.</t>
  </si>
  <si>
    <t>Ellátottak pénzbeni juttatásai</t>
  </si>
  <si>
    <t>Felh.célú p.e.átadás</t>
  </si>
  <si>
    <t>Megelőlege-zések  visszafiz.</t>
  </si>
  <si>
    <t>Működési céltartalék</t>
  </si>
  <si>
    <t>Felhalmzozási céltartalék</t>
  </si>
  <si>
    <t>Önk. műk.célú ktgv.tám.</t>
  </si>
  <si>
    <t>Önk. felhalm. ktgvet.tám.</t>
  </si>
  <si>
    <t>Felhalm.c. bevétel</t>
  </si>
  <si>
    <t>Önkormányzat összesen</t>
  </si>
  <si>
    <t>Egyéb működési célú támogatások államháztartáson belülre</t>
  </si>
  <si>
    <t xml:space="preserve">ebből: helyi önkormányzatok </t>
  </si>
  <si>
    <t>ebből: helyi önkormányzatok</t>
  </si>
  <si>
    <t>ebből: önkormányzat</t>
  </si>
  <si>
    <t>045120 - Út, autópálya építése</t>
  </si>
  <si>
    <t>Martongazdának átadott pe (karbant.)</t>
  </si>
  <si>
    <t>Martonsport Kft-nek fejl. átadott pe</t>
  </si>
  <si>
    <t>072111 - Háziorvosi alapellátás</t>
  </si>
  <si>
    <t>081030 - Sportlétesítmények, edzőtáborok működtetése és fejlesztése</t>
  </si>
  <si>
    <t>MSK TAO önerő átadása</t>
  </si>
  <si>
    <t>Módosított ei.</t>
  </si>
  <si>
    <t>Martongazdának átadott pe (bérleti díj)</t>
  </si>
  <si>
    <t>Orvosi ügylet, tagdíj, belső ellenőrzés, bérkompenzáció, szoc.ágazati pótlék</t>
  </si>
  <si>
    <t>2016. évi módosított  létszám (fő)</t>
  </si>
  <si>
    <t>PH bérleti díj bevétel</t>
  </si>
  <si>
    <t>PH továbbszámlázott szolgáltatás</t>
  </si>
  <si>
    <t>Brunszvik Óvoda bérleti díj bevétel</t>
  </si>
  <si>
    <t>BBK könyvtár bevétele</t>
  </si>
  <si>
    <t>BBK Óvodamúzeum bevétele</t>
  </si>
  <si>
    <t>BBK Rendezvények bevétele</t>
  </si>
  <si>
    <t>BBK Terembérlet</t>
  </si>
  <si>
    <t>BBK továbbszámlázott szolgáltatás</t>
  </si>
  <si>
    <t>BBK Kiszámlázott áfa</t>
  </si>
  <si>
    <t>BBK Áfavisszatérülés</t>
  </si>
  <si>
    <t>BBK táboroztatás</t>
  </si>
  <si>
    <t>Széchenyi u., Váci u., Kossuth L. tér útépítés tervezési munkái</t>
  </si>
  <si>
    <t>Honlap és applikáció fejlesztés</t>
  </si>
  <si>
    <t>Rákóczi, Dreher, Budai út, Ady és Vasvári utcák tervezése</t>
  </si>
  <si>
    <t>Vásártér - csarnok talajmech.vizsgálat</t>
  </si>
  <si>
    <t>Brunszvik utca - Sétáló út gyalogátkelőhely tervezése</t>
  </si>
  <si>
    <t>Mv. 182.hrsz ingatlan vásárlás</t>
  </si>
  <si>
    <t>Ped.szakszolg. Kialakítása</t>
  </si>
  <si>
    <t>Locsolóhálózat kiépítése, Szent László út</t>
  </si>
  <si>
    <t>KPE védőcső sportöltöző</t>
  </si>
  <si>
    <t>Gépi földmunka, sportpálya</t>
  </si>
  <si>
    <t>Városháza átalakítás</t>
  </si>
  <si>
    <t>Mentő állomás kerítés építés</t>
  </si>
  <si>
    <t>Beethoven Iskola tanterem kialakítás</t>
  </si>
  <si>
    <t>COOP Áruház gyalogátkelő létesítése</t>
  </si>
  <si>
    <t>Számítógépek vásárlása</t>
  </si>
  <si>
    <t>Gyors szerelésű pavilonok</t>
  </si>
  <si>
    <t>Arzénmentesítő vásárlása</t>
  </si>
  <si>
    <t>Telefon készülék, Beethoven Iskola</t>
  </si>
  <si>
    <t>Kerékpár tároló</t>
  </si>
  <si>
    <t>Iskolai tantermi bútorok</t>
  </si>
  <si>
    <t>Klíma berendezések</t>
  </si>
  <si>
    <t>Hősurgárzó</t>
  </si>
  <si>
    <t>Csatorna felújítás</t>
  </si>
  <si>
    <t>Gázkazán csere, védőnői szolgálat</t>
  </si>
  <si>
    <t>Adatok E FT-ban</t>
  </si>
  <si>
    <t>Finanszírozási kiadás</t>
  </si>
  <si>
    <t xml:space="preserve"> </t>
  </si>
  <si>
    <t>Mód. Ei. II</t>
  </si>
  <si>
    <t>Mód. Ei. II.</t>
  </si>
  <si>
    <t>Módosított ei. II, Ft</t>
  </si>
  <si>
    <t>Módosított ei. II., Ft</t>
  </si>
  <si>
    <t>Módosított ei.II</t>
  </si>
  <si>
    <t>Mód. ei. II.</t>
  </si>
  <si>
    <t>Módosított előirányzat II.</t>
  </si>
  <si>
    <t>2016. évi módosított II.  létszám (fő)</t>
  </si>
  <si>
    <t>Ei. átcsoportosítás szochóról</t>
  </si>
  <si>
    <t>Ei. átcsoportosítás jub.jutalomra</t>
  </si>
  <si>
    <t>Ei. átcsoportosítás helyettesítésről</t>
  </si>
  <si>
    <t>Ei. átcsoportosítás megbízási díjra</t>
  </si>
  <si>
    <t>Bérbeadás bevétel ei.</t>
  </si>
  <si>
    <t>Irodaszer beszerzés ei.</t>
  </si>
  <si>
    <t>Ei. átcsoportosítás pályázati tám.visszafiz.</t>
  </si>
  <si>
    <t>Ei. átcsoportosítás bankköltségről</t>
  </si>
  <si>
    <t>Ei. átcsoportosítás postaköltségre</t>
  </si>
  <si>
    <t>FM támogatás Magyar Népdal Napja</t>
  </si>
  <si>
    <t>Hungaricum rendezvények kiadásai MNN</t>
  </si>
  <si>
    <t>Intézményfinanszírozás önk. Működési céltartalék terhére MNN</t>
  </si>
  <si>
    <t>Magyar Népdal Napja költségei</t>
  </si>
  <si>
    <t>Intézményfinanszírozás előző évi jegybev. terhére MNN</t>
  </si>
  <si>
    <t>MNN hirdetés bevétele</t>
  </si>
  <si>
    <t>Könyvtári többletbevétel</t>
  </si>
  <si>
    <t>Fénymásoló üzemeltetés kiadásaira</t>
  </si>
  <si>
    <t>Ei. átcsoportosítás alapilletményről (Könyvtár)</t>
  </si>
  <si>
    <t>Ei. átcsoportosítás alapilletményről (OM)</t>
  </si>
  <si>
    <t>Ei. átcsoportosítás bérkompenzációra</t>
  </si>
  <si>
    <t>Ei. átcsoportosítás alapilletményről (Tánc)</t>
  </si>
  <si>
    <t>Ei. átcsoportosítás kiküldetésre</t>
  </si>
  <si>
    <t xml:space="preserve">Ei. átcsoportosítás munkába járásról </t>
  </si>
  <si>
    <t>Többletbevétel ei.</t>
  </si>
  <si>
    <t>24.</t>
  </si>
  <si>
    <t>Int.fin.elvonás kazán javítás miatt</t>
  </si>
  <si>
    <t>25.</t>
  </si>
  <si>
    <t>Ei. átcsoportosítás alapilletményről (BBK)</t>
  </si>
  <si>
    <t>26.</t>
  </si>
  <si>
    <t>27.</t>
  </si>
  <si>
    <t>28.</t>
  </si>
  <si>
    <t>29.</t>
  </si>
  <si>
    <t>Ei. átcsoportosítás járulékokra</t>
  </si>
  <si>
    <t>30.</t>
  </si>
  <si>
    <t>Ei. átcsoportosítás egyéb dologi kiadásra</t>
  </si>
  <si>
    <t>Irodabútor vásárlás</t>
  </si>
  <si>
    <t>Intézmény finanszírozás</t>
  </si>
  <si>
    <t>Tandíj visszafizetés</t>
  </si>
  <si>
    <t>Könyv vásárlás</t>
  </si>
  <si>
    <t>Továbbképzési tandíjak</t>
  </si>
  <si>
    <t>Belföldi kiküldetések</t>
  </si>
  <si>
    <t>Illetmények emelése</t>
  </si>
  <si>
    <t>Szolg.bevételek (házasság, bérleti díj)</t>
  </si>
  <si>
    <t>Egyéb működési bevétel (előző évi visszatérítés)</t>
  </si>
  <si>
    <t>Továbbszámlázott telefon díjak</t>
  </si>
  <si>
    <t>Átcsoportosítás személyi kifizetésekre</t>
  </si>
  <si>
    <t>Helyettesítési díj</t>
  </si>
  <si>
    <t>Jubileumi jutalom bér emelkedés miatt</t>
  </si>
  <si>
    <t>Betegállomány</t>
  </si>
  <si>
    <t>Munkáltatói szociális támogatás emelés</t>
  </si>
  <si>
    <t>Informatikai készlet vásárlása</t>
  </si>
  <si>
    <t>Irodaszer, toner vásárlás</t>
  </si>
  <si>
    <t>Informatikai eszköz (nyomtató, monitor) vásárlása</t>
  </si>
  <si>
    <t>Átcsoportosítás inform.készlet vásárlásra</t>
  </si>
  <si>
    <t>Átcsoportosítás ÁFA-ra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</si>
  <si>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</si>
  <si>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</si>
  <si>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</si>
  <si>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</si>
  <si>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</si>
  <si>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</si>
  <si>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</si>
  <si>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</si>
  <si>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</si>
  <si>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</si>
  <si>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</si>
  <si>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</si>
  <si>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</si>
  <si>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</si>
  <si>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</si>
  <si>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</si>
  <si>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</si>
  <si>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</si>
  <si>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</si>
  <si>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</si>
  <si>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</si>
  <si>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</si>
  <si>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</si>
  <si>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</si>
  <si>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</si>
  <si>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</si>
  <si>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</si>
  <si>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</si>
  <si>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</si>
  <si>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</si>
  <si>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</si>
  <si>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</si>
  <si>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</si>
  <si>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</si>
  <si>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</si>
  <si>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</si>
  <si>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</si>
  <si>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</si>
  <si>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</si>
  <si>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</si>
  <si>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</si>
  <si>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</si>
  <si>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</si>
  <si>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</si>
  <si>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</si>
  <si>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</si>
  <si>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</si>
  <si>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</si>
  <si>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</si>
  <si>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</si>
  <si>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</si>
  <si>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</si>
  <si>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</si>
  <si>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</si>
  <si>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</si>
  <si>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</si>
  <si>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</si>
  <si>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</si>
  <si>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</si>
  <si>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</si>
  <si>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</si>
  <si>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</si>
  <si>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</si>
  <si>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</si>
  <si>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</si>
  <si>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</si>
  <si>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</si>
  <si>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</si>
  <si>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</si>
  <si>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</si>
  <si>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</si>
  <si>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</si>
  <si>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</si>
  <si>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</si>
  <si>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</si>
  <si>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</si>
  <si>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</si>
  <si>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</si>
  <si>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Fejérvíz Zrt. Csatorna bevétel</t>
  </si>
  <si>
    <t>052020</t>
  </si>
  <si>
    <t>Csatorna karbantartás</t>
  </si>
  <si>
    <t>Informatikai eszköz vásárlás, Városháza átalakítás hálózati anyagok</t>
  </si>
  <si>
    <t>Közműegyeztetési díj</t>
  </si>
  <si>
    <t>Fejlesztési tartalék terhére</t>
  </si>
  <si>
    <t>Reklám célú e. készlet</t>
  </si>
  <si>
    <t>Ált.tartalék terhére</t>
  </si>
  <si>
    <t>Int.finanszírozás - Polg.Hivatal bútor vásárlás</t>
  </si>
  <si>
    <t>018030</t>
  </si>
  <si>
    <t>Parkoló építés, Sporttelep</t>
  </si>
  <si>
    <t>045120</t>
  </si>
  <si>
    <t>Parkoló építés fordított ÁFA, Sporttelep</t>
  </si>
  <si>
    <t>Megbízási díj, településkép felmérése</t>
  </si>
  <si>
    <t>MNN 2016 - Min.elnökségi támogatás</t>
  </si>
  <si>
    <t>082091</t>
  </si>
  <si>
    <t>Min.elnökségi tám - irodaszer</t>
  </si>
  <si>
    <t>Min.elnökségi tám - egyéb készlet vásárlás</t>
  </si>
  <si>
    <t>Min.elnökségi tám - egyéb szolgáltatás vásárlás</t>
  </si>
  <si>
    <t>Min.elnökségi tám - ÁFA</t>
  </si>
  <si>
    <t>Min.elnökségi tám - megbízási díjak</t>
  </si>
  <si>
    <t>Min.elnökségi tám - ált.tartalék felhasználás</t>
  </si>
  <si>
    <t>OEP védőnők egyszeri fin.emelése</t>
  </si>
  <si>
    <t>074031</t>
  </si>
  <si>
    <t>Védőnők közalk.bér egyszeri emelése</t>
  </si>
  <si>
    <t>074032</t>
  </si>
  <si>
    <t>Védőnők megbízási díj egyszeri emelése</t>
  </si>
  <si>
    <t>St. Avertin támogatás busz kiadáshoz</t>
  </si>
  <si>
    <t>Busz igénybevétel francia útra</t>
  </si>
  <si>
    <t>Nemzetközi kapcsolatból átcsoportosítás busz használatra</t>
  </si>
  <si>
    <t>Int.fin.elvonás - BBK kazán javításra</t>
  </si>
  <si>
    <t>BBK kazán javítás</t>
  </si>
  <si>
    <t>MNN ideiglenes áram bekapcsolás</t>
  </si>
  <si>
    <t>Népszavazási molinó</t>
  </si>
  <si>
    <t>Int.fin. BBK MNN</t>
  </si>
  <si>
    <t>Min.elnökségi tám - ált.tartalékba helyezés</t>
  </si>
  <si>
    <t>MNN műk.céltartalék előző évi jegybevétel terhére</t>
  </si>
  <si>
    <t>Int.finanszírozás - Polg.Hivatal illetmények emelése</t>
  </si>
  <si>
    <t>NKA átvett pénzeszköz</t>
  </si>
  <si>
    <t>TKT átvett pénzeszköz (normatíva visszafizetés, zárszámadás)</t>
  </si>
  <si>
    <t>Szolgáltatási bevétel</t>
  </si>
  <si>
    <t>Végrehajtások bevétele</t>
  </si>
  <si>
    <t>Végrehaj.ktg.térítés bevétele</t>
  </si>
  <si>
    <t>Ingatlan értékesítés bevétele</t>
  </si>
  <si>
    <t>Fejlesztési tartalékba helyezés</t>
  </si>
  <si>
    <t>Átcsop. Betegállományra közfolg.</t>
  </si>
  <si>
    <t>041233</t>
  </si>
  <si>
    <t>Reprezentáció</t>
  </si>
  <si>
    <t>Átcsop. Nemzetközi kapcsolatok ei.</t>
  </si>
  <si>
    <t>Kisajátítás ügyvédi díja</t>
  </si>
  <si>
    <t>Kisajátítási tartalék terhére</t>
  </si>
  <si>
    <t>Ügyvédi díjak</t>
  </si>
  <si>
    <t>Szünidei gyermekétkeztetés díja</t>
  </si>
  <si>
    <t>104037</t>
  </si>
  <si>
    <t>Normatíva visszafizetés felülvizsgálat miatt</t>
  </si>
  <si>
    <t>018010</t>
  </si>
  <si>
    <t>Közfogl.egyéb készlet vásárlás</t>
  </si>
  <si>
    <t>Átcsop. Közfogl. Járulékról</t>
  </si>
  <si>
    <t>Ált.tartalékba helyezés</t>
  </si>
  <si>
    <t>Malom radiátor és fűtési vez. Csere</t>
  </si>
  <si>
    <t>Villamoshálózat átalakítás</t>
  </si>
  <si>
    <t>Hajópadló hangszigetelés</t>
  </si>
  <si>
    <t>091250</t>
  </si>
  <si>
    <t>Vasanyag lépcsőhöz, fordított ÁFÁ-val együtt</t>
  </si>
  <si>
    <t>Fejl.tartalék terhére</t>
  </si>
  <si>
    <t>Szent László út csatorna építés, javítás</t>
  </si>
  <si>
    <t>Csatorna tartalék terhére</t>
  </si>
  <si>
    <t>Sportcsarnok építése</t>
  </si>
  <si>
    <t>Sportcsarnok építése fordított ÁFA</t>
  </si>
  <si>
    <t>Gázbekötéssel kapcsolatos kiadás, sportcsarnok</t>
  </si>
  <si>
    <t>Iskola B épület id.betáp.kábel anyagköltsége</t>
  </si>
  <si>
    <t>Gépi földmunka, sportcsarnok</t>
  </si>
  <si>
    <t>Növények vásárlása, sportcsarnok</t>
  </si>
  <si>
    <t>092111</t>
  </si>
  <si>
    <t>Gipszkartonozás és kábel javítás, sportcsarnok</t>
  </si>
  <si>
    <t>Csatornázási munkák miatti útfelújítások</t>
  </si>
  <si>
    <t>Műfüves pálya önerő emelés</t>
  </si>
  <si>
    <t>081030</t>
  </si>
  <si>
    <t>Sportöltöző feliratozás</t>
  </si>
  <si>
    <t>Sportöltöző parkoló építés</t>
  </si>
  <si>
    <t>Riasztóhoz anyagköltség, sportöltöző</t>
  </si>
  <si>
    <t>Tereprendezés, sportöltöző</t>
  </si>
  <si>
    <t>Klímaberendezés áthelyezés, városháza átalakítás</t>
  </si>
  <si>
    <t>Bútor vásárlás, városháza átalakítás</t>
  </si>
  <si>
    <t>Anyagköltség, városháza átalakítás</t>
  </si>
  <si>
    <t>Martonsport Kft. Törzstőke emelése</t>
  </si>
  <si>
    <t>Ingatlan vásárlás, Orgona utca 18.</t>
  </si>
  <si>
    <t>Budai úti járda építése</t>
  </si>
  <si>
    <t>TOP 3.2.1 energia tanulmány</t>
  </si>
  <si>
    <t>Emlékezés tere id.mérőber.szekrények</t>
  </si>
  <si>
    <t>39 M Lövész Egyesület visszatérítendő támogatás</t>
  </si>
  <si>
    <t>Martonsport Kft. Műk.c.pénzeszköz átadás</t>
  </si>
  <si>
    <t>Vászonkép készítés</t>
  </si>
  <si>
    <t>Layher állvány bérleti díj</t>
  </si>
  <si>
    <t>Megbízási díj, zöldterület kezelés</t>
  </si>
  <si>
    <t>066010</t>
  </si>
  <si>
    <t>M. Kézilabda Egyesület támogatás</t>
  </si>
  <si>
    <t>Bicske Város pe.átadás, Kárpátaljai fiatalok mo-i üdülése</t>
  </si>
  <si>
    <t xml:space="preserve">Nemzetközi kapcsolatból átcsoportosítás </t>
  </si>
  <si>
    <t>Művészeti Isk. bútor vásárlás</t>
  </si>
  <si>
    <t>Beethoven Isk. bútor vásárlás</t>
  </si>
  <si>
    <t>Beethoven Isk. egyéb anyag vásárlás</t>
  </si>
  <si>
    <t>Mezőőri szolgálat</t>
  </si>
  <si>
    <t>Közfoglalkoztatás támogatása</t>
  </si>
  <si>
    <t>Műk.célú pénzeszk.átvétel SZLV TKT</t>
  </si>
  <si>
    <t>Eü. Finanszírozás</t>
  </si>
  <si>
    <t>Műv.Iskola térítési díj átvétele KLIK-től</t>
  </si>
  <si>
    <t>Iskolatej támogatás</t>
  </si>
  <si>
    <t>OMSZ kerítés építésre pénzeszköz átvétel</t>
  </si>
  <si>
    <t>2015.évi pénzmaradvány elvonás intézményektől</t>
  </si>
  <si>
    <t>Bérleti díjak átvétele intézményektől</t>
  </si>
  <si>
    <t>Miniszterelnökségi pályázat 2015.évi áthúzódó</t>
  </si>
  <si>
    <t>Miniszterelnökségi pályázat 2016.évi</t>
  </si>
  <si>
    <t>St. Avertin átadott pe. Busz kiadásra</t>
  </si>
  <si>
    <t>NKA szoborra átvett pe.</t>
  </si>
  <si>
    <t>Közterülethasználati díj</t>
  </si>
  <si>
    <t>Végrehajtási költségtérítések bevétele</t>
  </si>
  <si>
    <t>Szent László út 3. ingatlan eladása</t>
  </si>
  <si>
    <t>Jókai utca 1649.hrsz ingatlan eladása</t>
  </si>
  <si>
    <t>Lakás értékesítés részlete</t>
  </si>
  <si>
    <t>39M Lövész Egyesület támogatás visszatérítése</t>
  </si>
  <si>
    <t>Bicske Város pe.átadás</t>
  </si>
  <si>
    <t>PH tandíj visszafizetés</t>
  </si>
  <si>
    <t>Malom hajópadló hangszigetelés</t>
  </si>
  <si>
    <t>Útfelújítások csatornázás miatt</t>
  </si>
  <si>
    <t>Malom radiátor és fűtés vezeték csere</t>
  </si>
  <si>
    <t>Szent László út csatorna építés</t>
  </si>
  <si>
    <t>Sportcsarnok építés</t>
  </si>
  <si>
    <t xml:space="preserve">Bútor városháza </t>
  </si>
  <si>
    <t>Martonsport Kft. Törzstőke emelés</t>
  </si>
  <si>
    <t>Emlékezés tere ideiglenes mérőberendezés szekrények</t>
  </si>
  <si>
    <t>Művészeti Iskola bútor vásárlás</t>
  </si>
  <si>
    <t>Beethoven Iskola bútor vásárlás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</si>
</sst>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8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4" fillId="14" borderId="0" applyNumberFormat="0" applyBorder="0" applyAlignment="0" applyProtection="0"/>
    <xf numFmtId="0" fontId="44" fillId="8" borderId="0" applyNumberFormat="0" applyBorder="0" applyAlignment="0" applyProtection="0"/>
    <xf numFmtId="0" fontId="44" fillId="12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8" borderId="0" applyNumberFormat="0" applyBorder="0" applyAlignment="0" applyProtection="0"/>
    <xf numFmtId="0" fontId="45" fillId="12" borderId="63" applyNumberFormat="0" applyAlignment="0" applyProtection="0"/>
    <xf numFmtId="0" fontId="46" fillId="0" borderId="0" applyNumberFormat="0" applyFill="0" applyBorder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9" fillId="0" borderId="66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67" applyNumberFormat="0" applyAlignment="0" applyProtection="0"/>
    <xf numFmtId="0" fontId="51" fillId="0" borderId="0" applyNumberFormat="0" applyFill="0" applyBorder="0" applyAlignment="0" applyProtection="0"/>
    <xf numFmtId="0" fontId="52" fillId="0" borderId="68" applyNumberFormat="0" applyFill="0" applyAlignment="0" applyProtection="0"/>
    <xf numFmtId="0" fontId="16" fillId="9" borderId="69" applyNumberFormat="0" applyFont="0" applyAlignment="0" applyProtection="0"/>
    <xf numFmtId="0" fontId="44" fillId="14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3" fillId="20" borderId="0" applyNumberFormat="0" applyBorder="0" applyAlignment="0" applyProtection="0"/>
    <xf numFmtId="0" fontId="54" fillId="21" borderId="70" applyNumberFormat="0" applyAlignment="0" applyProtection="0"/>
    <xf numFmtId="0" fontId="55" fillId="0" borderId="0" applyNumberFormat="0" applyFill="0" applyBorder="0" applyAlignment="0" applyProtection="0"/>
    <xf numFmtId="0" fontId="56" fillId="0" borderId="0"/>
    <xf numFmtId="0" fontId="43" fillId="0" borderId="0"/>
    <xf numFmtId="0" fontId="57" fillId="0" borderId="0"/>
    <xf numFmtId="0" fontId="16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57" fillId="0" borderId="0"/>
    <xf numFmtId="0" fontId="58" fillId="0" borderId="71" applyNumberFormat="0" applyFill="0" applyAlignment="0" applyProtection="0"/>
    <xf numFmtId="0" fontId="59" fillId="22" borderId="0" applyNumberFormat="0" applyBorder="0" applyAlignment="0" applyProtection="0"/>
    <xf numFmtId="0" fontId="60" fillId="12" borderId="0" applyNumberFormat="0" applyBorder="0" applyAlignment="0" applyProtection="0"/>
    <xf numFmtId="0" fontId="61" fillId="21" borderId="63" applyNumberFormat="0" applyAlignment="0" applyProtection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43" fillId="23" borderId="0" applyNumberFormat="0" applyBorder="0" applyAlignment="0" applyProtection="0"/>
    <xf numFmtId="0" fontId="43" fillId="22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10" borderId="0" applyNumberFormat="0" applyBorder="0" applyAlignment="0" applyProtection="0"/>
    <xf numFmtId="0" fontId="43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8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8" borderId="0" applyNumberFormat="0" applyBorder="0" applyAlignment="0" applyProtection="0"/>
    <xf numFmtId="0" fontId="44" fillId="25" borderId="0" applyNumberFormat="0" applyBorder="0" applyAlignment="0" applyProtection="0"/>
    <xf numFmtId="0" fontId="44" fillId="28" borderId="0" applyNumberFormat="0" applyBorder="0" applyAlignment="0" applyProtection="0"/>
    <xf numFmtId="0" fontId="44" fillId="14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28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9" fillId="22" borderId="0" applyNumberFormat="0" applyBorder="0" applyAlignment="0" applyProtection="0"/>
    <xf numFmtId="0" fontId="61" fillId="11" borderId="63" applyNumberFormat="0" applyAlignment="0" applyProtection="0"/>
    <xf numFmtId="0" fontId="50" fillId="15" borderId="67" applyNumberFormat="0" applyAlignment="0" applyProtection="0"/>
    <xf numFmtId="0" fontId="55" fillId="0" borderId="0" applyNumberFormat="0" applyFill="0" applyBorder="0" applyAlignment="0" applyProtection="0"/>
    <xf numFmtId="0" fontId="53" fillId="20" borderId="0" applyNumberFormat="0" applyBorder="0" applyAlignment="0" applyProtection="0"/>
    <xf numFmtId="0" fontId="62" fillId="0" borderId="83" applyNumberFormat="0" applyFill="0" applyAlignment="0" applyProtection="0"/>
    <xf numFmtId="0" fontId="63" fillId="0" borderId="65" applyNumberFormat="0" applyFill="0" applyAlignment="0" applyProtection="0"/>
    <xf numFmtId="0" fontId="64" fillId="0" borderId="84" applyNumberFormat="0" applyFill="0" applyAlignment="0" applyProtection="0"/>
    <xf numFmtId="0" fontId="64" fillId="0" borderId="0" applyNumberFormat="0" applyFill="0" applyBorder="0" applyAlignment="0" applyProtection="0"/>
    <xf numFmtId="0" fontId="45" fillId="7" borderId="63" applyNumberFormat="0" applyAlignment="0" applyProtection="0"/>
    <xf numFmtId="0" fontId="52" fillId="0" borderId="68" applyNumberFormat="0" applyFill="0" applyAlignment="0" applyProtection="0"/>
    <xf numFmtId="0" fontId="60" fillId="12" borderId="0" applyNumberFormat="0" applyBorder="0" applyAlignment="0" applyProtection="0"/>
    <xf numFmtId="0" fontId="57" fillId="9" borderId="69" applyNumberFormat="0" applyFont="0" applyAlignment="0" applyProtection="0"/>
    <xf numFmtId="0" fontId="54" fillId="11" borderId="70" applyNumberFormat="0" applyAlignment="0" applyProtection="0"/>
    <xf numFmtId="0" fontId="65" fillId="0" borderId="0" applyNumberFormat="0" applyFill="0" applyBorder="0" applyAlignment="0" applyProtection="0"/>
    <xf numFmtId="0" fontId="58" fillId="0" borderId="85" applyNumberFormat="0" applyFill="0" applyAlignment="0" applyProtection="0"/>
    <xf numFmtId="0" fontId="51" fillId="0" borderId="0" applyNumberFormat="0" applyFill="0" applyBorder="0" applyAlignment="0" applyProtection="0"/>
    <xf numFmtId="43" fontId="42" fillId="0" borderId="0" applyFont="0" applyFill="0" applyBorder="0" applyAlignment="0" applyProtection="0"/>
  </cellStyleXfs>
  <cellXfs count="1230">
    <xf numFmtId="0" fontId="0" fillId="0" borderId="0" xfId="0"/>
    <xf numFmtId="0" fontId="0" fillId="0" borderId="0" xfId="0" applyBorder="1"/>
    <xf numFmtId="0" fontId="30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/>
    <xf numFmtId="0" fontId="32" fillId="0" borderId="1" xfId="0" applyFont="1" applyBorder="1"/>
    <xf numFmtId="0" fontId="32" fillId="0" borderId="2" xfId="0" applyFont="1" applyBorder="1"/>
    <xf numFmtId="0" fontId="32" fillId="0" borderId="4" xfId="0" applyFont="1" applyBorder="1"/>
    <xf numFmtId="0" fontId="32" fillId="0" borderId="8" xfId="0" applyFont="1" applyBorder="1"/>
    <xf numFmtId="0" fontId="32" fillId="0" borderId="5" xfId="0" applyFont="1" applyBorder="1"/>
    <xf numFmtId="0" fontId="32" fillId="0" borderId="9" xfId="0" applyFont="1" applyBorder="1"/>
    <xf numFmtId="0" fontId="32" fillId="0" borderId="6" xfId="0" applyFont="1" applyBorder="1" applyAlignment="1">
      <alignment horizontal="left"/>
    </xf>
    <xf numFmtId="0" fontId="32" fillId="0" borderId="0" xfId="0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2" fillId="0" borderId="1" xfId="0" applyNumberFormat="1" applyFont="1" applyBorder="1"/>
    <xf numFmtId="3" fontId="32" fillId="0" borderId="4" xfId="0" applyNumberFormat="1" applyFont="1" applyBorder="1"/>
    <xf numFmtId="3" fontId="32" fillId="0" borderId="8" xfId="0" applyNumberFormat="1" applyFont="1" applyBorder="1"/>
    <xf numFmtId="3" fontId="32" fillId="0" borderId="5" xfId="0" applyNumberFormat="1" applyFont="1" applyBorder="1"/>
    <xf numFmtId="49" fontId="32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32" fillId="0" borderId="0" xfId="0" applyFont="1" applyBorder="1" applyAlignment="1">
      <alignment vertical="center"/>
    </xf>
    <xf numFmtId="0" fontId="33" fillId="0" borderId="3" xfId="0" applyFont="1" applyBorder="1" applyAlignment="1">
      <alignment horizontal="left"/>
    </xf>
    <xf numFmtId="0" fontId="33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31" fillId="0" borderId="2" xfId="0" applyFont="1" applyBorder="1"/>
    <xf numFmtId="0" fontId="31" fillId="0" borderId="0" xfId="0" applyFont="1" applyBorder="1"/>
    <xf numFmtId="0" fontId="31" fillId="0" borderId="1" xfId="0" applyFont="1" applyBorder="1"/>
    <xf numFmtId="0" fontId="31" fillId="0" borderId="5" xfId="0" applyFont="1" applyBorder="1"/>
    <xf numFmtId="0" fontId="30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32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0" fontId="31" fillId="0" borderId="13" xfId="0" applyFont="1" applyBorder="1"/>
    <xf numFmtId="3" fontId="33" fillId="0" borderId="1" xfId="0" applyNumberFormat="1" applyFont="1" applyBorder="1"/>
    <xf numFmtId="3" fontId="31" fillId="0" borderId="7" xfId="0" applyNumberFormat="1" applyFont="1" applyBorder="1"/>
    <xf numFmtId="3" fontId="31" fillId="0" borderId="5" xfId="0" applyNumberFormat="1" applyFont="1" applyBorder="1"/>
    <xf numFmtId="3" fontId="31" fillId="0" borderId="2" xfId="0" applyNumberFormat="1" applyFont="1" applyBorder="1"/>
    <xf numFmtId="3" fontId="7" fillId="0" borderId="1" xfId="0" applyNumberFormat="1" applyFont="1" applyFill="1" applyBorder="1" applyAlignment="1">
      <alignment vertical="center" wrapText="1"/>
    </xf>
    <xf numFmtId="3" fontId="33" fillId="0" borderId="8" xfId="0" applyNumberFormat="1" applyFont="1" applyBorder="1"/>
    <xf numFmtId="3" fontId="31" fillId="0" borderId="1" xfId="0" applyNumberFormat="1" applyFont="1" applyBorder="1"/>
    <xf numFmtId="3" fontId="33" fillId="0" borderId="2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2" fillId="0" borderId="0" xfId="0" applyNumberFormat="1" applyFont="1" applyBorder="1"/>
    <xf numFmtId="3" fontId="31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32" fillId="0" borderId="0" xfId="0" applyFont="1" applyBorder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right"/>
    </xf>
    <xf numFmtId="0" fontId="31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31" fillId="0" borderId="1" xfId="0" applyFont="1" applyBorder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3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9" xfId="0" applyNumberFormat="1" applyFont="1" applyFill="1" applyBorder="1" applyAlignment="1" applyProtection="1">
      <alignment horizontal="right" vertical="center" wrapText="1"/>
    </xf>
    <xf numFmtId="165" fontId="0" fillId="0" borderId="2" xfId="0" applyNumberForma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4" xfId="0" applyNumberFormat="1" applyFont="1" applyFill="1" applyBorder="1" applyAlignment="1" applyProtection="1">
      <alignment horizontal="right" vertical="center" wrapText="1"/>
    </xf>
    <xf numFmtId="3" fontId="14" fillId="0" borderId="13" xfId="0" applyNumberFormat="1" applyFont="1" applyFill="1" applyBorder="1" applyAlignment="1" applyProtection="1">
      <alignment vertical="center" wrapText="1"/>
      <protection locked="0"/>
    </xf>
    <xf numFmtId="3" fontId="14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30" xfId="0" applyNumberFormat="1" applyFont="1" applyFill="1" applyBorder="1" applyAlignment="1" applyProtection="1">
      <alignment horizontal="right" vertical="center" wrapText="1"/>
    </xf>
    <xf numFmtId="165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1" xfId="0" applyNumberFormat="1" applyFont="1" applyFill="1" applyBorder="1" applyAlignment="1" applyProtection="1">
      <alignment vertical="center" wrapText="1"/>
      <protection locked="0"/>
    </xf>
    <xf numFmtId="165" fontId="14" fillId="0" borderId="13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14" xfId="0" applyNumberFormat="1" applyFont="1" applyFill="1" applyBorder="1" applyAlignment="1" applyProtection="1">
      <alignment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2" xfId="0" applyNumberFormat="1" applyFont="1" applyFill="1" applyBorder="1" applyAlignment="1">
      <alignment horizontal="center" vertical="center" wrapText="1"/>
    </xf>
    <xf numFmtId="165" fontId="14" fillId="0" borderId="14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31" xfId="0" applyNumberFormat="1" applyFont="1" applyFill="1" applyBorder="1" applyAlignment="1" applyProtection="1">
      <alignment horizontal="center" vertical="center" wrapText="1"/>
    </xf>
    <xf numFmtId="165" fontId="15" fillId="0" borderId="5" xfId="0" applyNumberFormat="1" applyFont="1" applyFill="1" applyBorder="1" applyAlignment="1" applyProtection="1">
      <alignment horizontal="center" vertical="center" wrapText="1"/>
    </xf>
    <xf numFmtId="165" fontId="15" fillId="0" borderId="3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8" xfId="0" applyNumberFormat="1" applyFont="1" applyFill="1" applyBorder="1" applyAlignment="1" applyProtection="1">
      <alignment horizontal="center" vertical="center" wrapText="1"/>
    </xf>
    <xf numFmtId="165" fontId="13" fillId="0" borderId="1" xfId="0" applyNumberFormat="1" applyFont="1" applyFill="1" applyBorder="1" applyAlignment="1" applyProtection="1">
      <alignment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9" xfId="0" applyNumberFormat="1" applyFont="1" applyFill="1" applyBorder="1" applyAlignment="1" applyProtection="1">
      <alignment vertical="center" wrapText="1"/>
    </xf>
    <xf numFmtId="165" fontId="1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center" vertical="center" wrapText="1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4" xfId="0" applyNumberFormat="1" applyFont="1" applyFill="1" applyBorder="1" applyAlignment="1" applyProtection="1">
      <alignment vertical="center" wrapText="1"/>
    </xf>
    <xf numFmtId="165" fontId="0" fillId="0" borderId="12" xfId="0" applyNumberFormat="1" applyFont="1" applyFill="1" applyBorder="1" applyAlignment="1" applyProtection="1">
      <alignment horizontal="center" vertical="center" wrapText="1"/>
    </xf>
    <xf numFmtId="165" fontId="14" fillId="0" borderId="13" xfId="0" applyNumberFormat="1" applyFont="1" applyFill="1" applyBorder="1" applyAlignment="1" applyProtection="1">
      <alignment vertical="center" wrapText="1"/>
      <protection locked="0"/>
    </xf>
    <xf numFmtId="1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4" xfId="0" applyNumberFormat="1" applyFont="1" applyFill="1" applyBorder="1" applyAlignment="1" applyProtection="1">
      <alignment vertical="center" wrapText="1"/>
    </xf>
    <xf numFmtId="165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5" xfId="0" applyNumberFormat="1" applyFont="1" applyFill="1" applyBorder="1" applyAlignment="1" applyProtection="1">
      <alignment vertical="center" wrapText="1"/>
      <protection locked="0"/>
    </xf>
    <xf numFmtId="14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30" xfId="0" applyNumberFormat="1" applyFont="1" applyFill="1" applyBorder="1" applyAlignment="1" applyProtection="1">
      <alignment vertical="center" wrapText="1"/>
    </xf>
    <xf numFmtId="165" fontId="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Fill="1" applyBorder="1" applyAlignment="1" applyProtection="1">
      <alignment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9" xfId="0" applyNumberFormat="1" applyFont="1" applyFill="1" applyBorder="1" applyAlignment="1" applyProtection="1">
      <alignment vertical="center" wrapText="1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4" xfId="0" applyNumberFormat="1" applyFont="1" applyFill="1" applyBorder="1" applyAlignment="1" applyProtection="1">
      <alignment horizontal="right" vertical="center" wrapText="1"/>
    </xf>
    <xf numFmtId="165" fontId="17" fillId="0" borderId="0" xfId="0" applyNumberFormat="1" applyFont="1" applyFill="1" applyAlignment="1">
      <alignment vertical="center" wrapText="1"/>
    </xf>
    <xf numFmtId="165" fontId="2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30" xfId="0" applyNumberFormat="1" applyFont="1" applyFill="1" applyBorder="1" applyAlignment="1" applyProtection="1">
      <alignment horizontal="right" vertical="center" wrapText="1"/>
    </xf>
    <xf numFmtId="165" fontId="13" fillId="0" borderId="2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4" xfId="0" applyNumberFormat="1" applyFont="1" applyFill="1" applyBorder="1" applyAlignment="1" applyProtection="1">
      <alignment horizontal="right" vertical="center" wrapText="1"/>
    </xf>
    <xf numFmtId="165" fontId="17" fillId="0" borderId="13" xfId="0" applyNumberFormat="1" applyFont="1" applyFill="1" applyBorder="1" applyAlignment="1">
      <alignment horizontal="left" vertical="center" wrapText="1"/>
    </xf>
    <xf numFmtId="3" fontId="17" fillId="0" borderId="13" xfId="0" applyNumberFormat="1" applyFont="1" applyFill="1" applyBorder="1" applyAlignment="1" applyProtection="1">
      <alignment vertical="center" wrapText="1"/>
    </xf>
    <xf numFmtId="0" fontId="17" fillId="0" borderId="18" xfId="0" applyNumberFormat="1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9" xfId="0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0" fontId="17" fillId="0" borderId="1" xfId="0" applyFont="1" applyFill="1" applyBorder="1" applyAlignment="1">
      <alignment horizontal="right"/>
    </xf>
    <xf numFmtId="0" fontId="17" fillId="0" borderId="20" xfId="0" applyNumberFormat="1" applyFont="1" applyFill="1" applyBorder="1" applyAlignment="1">
      <alignment horizontal="center"/>
    </xf>
    <xf numFmtId="0" fontId="17" fillId="0" borderId="21" xfId="0" applyFont="1" applyFill="1" applyBorder="1" applyAlignment="1">
      <alignment horizontal="right"/>
    </xf>
    <xf numFmtId="0" fontId="4" fillId="0" borderId="25" xfId="1" applyFont="1" applyFill="1" applyBorder="1" applyAlignment="1">
      <alignment horizontal="right" vertical="center"/>
    </xf>
    <xf numFmtId="0" fontId="32" fillId="0" borderId="25" xfId="0" applyFont="1" applyBorder="1" applyAlignment="1">
      <alignment horizontal="right"/>
    </xf>
    <xf numFmtId="0" fontId="4" fillId="0" borderId="35" xfId="1" applyFont="1" applyFill="1" applyBorder="1" applyAlignment="1">
      <alignment horizontal="right" vertical="center"/>
    </xf>
    <xf numFmtId="3" fontId="32" fillId="0" borderId="6" xfId="0" applyNumberFormat="1" applyFont="1" applyBorder="1"/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49" fontId="3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32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165" fontId="32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65" fontId="32" fillId="0" borderId="0" xfId="0" applyNumberFormat="1" applyFont="1" applyFill="1" applyAlignment="1">
      <alignment vertical="center" wrapText="1"/>
    </xf>
    <xf numFmtId="165" fontId="32" fillId="0" borderId="0" xfId="0" applyNumberFormat="1" applyFont="1" applyFill="1" applyAlignment="1">
      <alignment horizontal="center" vertical="center" wrapText="1"/>
    </xf>
    <xf numFmtId="165" fontId="32" fillId="0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165" fontId="31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3" fontId="32" fillId="0" borderId="1" xfId="0" applyNumberFormat="1" applyFont="1" applyFill="1" applyBorder="1" applyAlignment="1" applyProtection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0" xfId="0" applyNumberFormat="1" applyFont="1" applyFill="1" applyAlignment="1">
      <alignment vertical="center" wrapText="1"/>
    </xf>
    <xf numFmtId="3" fontId="32" fillId="0" borderId="0" xfId="0" applyNumberFormat="1" applyFont="1" applyFill="1" applyAlignment="1">
      <alignment horizontal="right" vertical="center" wrapText="1"/>
    </xf>
    <xf numFmtId="3" fontId="32" fillId="0" borderId="0" xfId="0" applyNumberFormat="1" applyFont="1" applyFill="1" applyAlignment="1" applyProtection="1">
      <alignment horizontal="right" vertical="center" wrapText="1"/>
    </xf>
    <xf numFmtId="165" fontId="32" fillId="0" borderId="0" xfId="0" applyNumberFormat="1" applyFont="1" applyFill="1" applyAlignment="1" applyProtection="1">
      <alignment horizontal="right" vertical="center" wrapText="1"/>
    </xf>
    <xf numFmtId="0" fontId="35" fillId="0" borderId="0" xfId="0" applyFont="1"/>
    <xf numFmtId="0" fontId="0" fillId="0" borderId="0" xfId="0" applyAlignment="1">
      <alignment wrapText="1"/>
    </xf>
    <xf numFmtId="0" fontId="35" fillId="0" borderId="6" xfId="0" applyFont="1" applyBorder="1" applyAlignment="1">
      <alignment horizontal="right"/>
    </xf>
    <xf numFmtId="0" fontId="35" fillId="0" borderId="6" xfId="0" applyFont="1" applyBorder="1" applyAlignment="1">
      <alignment horizontal="left"/>
    </xf>
    <xf numFmtId="0" fontId="35" fillId="0" borderId="6" xfId="0" applyFont="1" applyBorder="1"/>
    <xf numFmtId="0" fontId="37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0" fontId="38" fillId="0" borderId="4" xfId="0" applyFont="1" applyBorder="1"/>
    <xf numFmtId="0" fontId="38" fillId="0" borderId="8" xfId="0" applyFont="1" applyBorder="1"/>
    <xf numFmtId="0" fontId="38" fillId="0" borderId="3" xfId="0" applyFont="1" applyBorder="1"/>
    <xf numFmtId="0" fontId="39" fillId="0" borderId="1" xfId="0" applyFont="1" applyBorder="1" applyAlignment="1">
      <alignment horizontal="right" vertical="center"/>
    </xf>
    <xf numFmtId="0" fontId="39" fillId="0" borderId="3" xfId="0" applyFont="1" applyBorder="1" applyAlignment="1">
      <alignment horizontal="left"/>
    </xf>
    <xf numFmtId="1" fontId="39" fillId="0" borderId="8" xfId="0" applyNumberFormat="1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horizontal="left"/>
    </xf>
    <xf numFmtId="1" fontId="39" fillId="0" borderId="11" xfId="0" applyNumberFormat="1" applyFont="1" applyBorder="1" applyAlignment="1">
      <alignment horizontal="left" vertical="center" wrapText="1"/>
    </xf>
    <xf numFmtId="0" fontId="38" fillId="0" borderId="11" xfId="0" applyFont="1" applyBorder="1"/>
    <xf numFmtId="0" fontId="38" fillId="0" borderId="6" xfId="0" applyFont="1" applyBorder="1" applyAlignment="1">
      <alignment horizontal="right" vertical="center"/>
    </xf>
    <xf numFmtId="0" fontId="38" fillId="0" borderId="6" xfId="0" applyFont="1" applyBorder="1" applyAlignment="1">
      <alignment horizontal="left"/>
    </xf>
    <xf numFmtId="1" fontId="38" fillId="0" borderId="6" xfId="0" applyNumberFormat="1" applyFont="1" applyBorder="1" applyAlignment="1">
      <alignment horizontal="left" vertical="center" wrapText="1"/>
    </xf>
    <xf numFmtId="0" fontId="38" fillId="0" borderId="6" xfId="0" applyFont="1" applyBorder="1"/>
    <xf numFmtId="0" fontId="39" fillId="0" borderId="1" xfId="0" applyFont="1" applyBorder="1" applyAlignment="1">
      <alignment horizontal="right" vertical="center" wrapText="1"/>
    </xf>
    <xf numFmtId="0" fontId="39" fillId="0" borderId="8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right" vertical="center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/>
    <xf numFmtId="0" fontId="36" fillId="0" borderId="6" xfId="0" applyFont="1" applyBorder="1" applyAlignment="1">
      <alignment horizontal="right" vertical="center"/>
    </xf>
    <xf numFmtId="0" fontId="38" fillId="0" borderId="6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right" vertical="center"/>
    </xf>
    <xf numFmtId="0" fontId="36" fillId="0" borderId="38" xfId="0" applyFont="1" applyBorder="1" applyAlignment="1">
      <alignment horizontal="left" vertical="center" wrapText="1"/>
    </xf>
    <xf numFmtId="0" fontId="38" fillId="0" borderId="38" xfId="0" applyFont="1" applyBorder="1"/>
    <xf numFmtId="0" fontId="38" fillId="0" borderId="39" xfId="0" applyFont="1" applyBorder="1"/>
    <xf numFmtId="0" fontId="38" fillId="0" borderId="32" xfId="0" applyFont="1" applyBorder="1"/>
    <xf numFmtId="0" fontId="36" fillId="0" borderId="12" xfId="0" applyFont="1" applyBorder="1" applyAlignment="1">
      <alignment horizontal="right" vertical="center" wrapText="1"/>
    </xf>
    <xf numFmtId="0" fontId="36" fillId="0" borderId="13" xfId="0" applyFont="1" applyBorder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/>
    <xf numFmtId="3" fontId="40" fillId="0" borderId="37" xfId="0" applyNumberFormat="1" applyFont="1" applyBorder="1" applyAlignment="1">
      <alignment horizontal="center"/>
    </xf>
    <xf numFmtId="3" fontId="41" fillId="0" borderId="37" xfId="0" applyNumberFormat="1" applyFont="1" applyBorder="1" applyAlignment="1">
      <alignment horizontal="right"/>
    </xf>
    <xf numFmtId="0" fontId="36" fillId="0" borderId="34" xfId="0" applyFont="1" applyBorder="1" applyAlignment="1">
      <alignment horizontal="center" vertical="center"/>
    </xf>
    <xf numFmtId="9" fontId="36" fillId="0" borderId="34" xfId="0" applyNumberFormat="1" applyFont="1" applyBorder="1" applyAlignment="1">
      <alignment horizontal="center" vertical="center" wrapText="1"/>
    </xf>
    <xf numFmtId="0" fontId="35" fillId="0" borderId="25" xfId="0" applyFont="1" applyBorder="1"/>
    <xf numFmtId="0" fontId="36" fillId="0" borderId="40" xfId="0" applyFont="1" applyBorder="1" applyAlignment="1">
      <alignment horizontal="left" vertical="center"/>
    </xf>
    <xf numFmtId="9" fontId="36" fillId="0" borderId="40" xfId="0" applyNumberFormat="1" applyFont="1" applyBorder="1" applyAlignment="1">
      <alignment horizontal="center" vertical="center" wrapText="1"/>
    </xf>
    <xf numFmtId="0" fontId="38" fillId="0" borderId="41" xfId="0" applyFont="1" applyBorder="1"/>
    <xf numFmtId="0" fontId="36" fillId="0" borderId="41" xfId="0" applyFont="1" applyBorder="1" applyAlignment="1">
      <alignment horizontal="left" vertical="center"/>
    </xf>
    <xf numFmtId="3" fontId="36" fillId="4" borderId="41" xfId="0" applyNumberFormat="1" applyFont="1" applyFill="1" applyBorder="1" applyAlignment="1">
      <alignment horizontal="center" vertical="center" wrapText="1"/>
    </xf>
    <xf numFmtId="0" fontId="36" fillId="0" borderId="41" xfId="0" applyFont="1" applyBorder="1"/>
    <xf numFmtId="0" fontId="38" fillId="4" borderId="33" xfId="0" applyFont="1" applyFill="1" applyBorder="1"/>
    <xf numFmtId="0" fontId="38" fillId="4" borderId="0" xfId="0" applyFont="1" applyFill="1"/>
    <xf numFmtId="0" fontId="36" fillId="0" borderId="34" xfId="0" applyFont="1" applyBorder="1" applyAlignment="1">
      <alignment vertical="center"/>
    </xf>
    <xf numFmtId="0" fontId="38" fillId="0" borderId="0" xfId="0" applyFont="1" applyAlignment="1">
      <alignment vertical="center"/>
    </xf>
    <xf numFmtId="3" fontId="36" fillId="0" borderId="42" xfId="0" applyNumberFormat="1" applyFont="1" applyBorder="1"/>
    <xf numFmtId="9" fontId="38" fillId="0" borderId="42" xfId="0" applyNumberFormat="1" applyFont="1" applyBorder="1"/>
    <xf numFmtId="0" fontId="38" fillId="0" borderId="42" xfId="0" applyFont="1" applyBorder="1"/>
    <xf numFmtId="0" fontId="35" fillId="0" borderId="37" xfId="0" applyFont="1" applyBorder="1"/>
    <xf numFmtId="0" fontId="38" fillId="0" borderId="37" xfId="0" applyFont="1" applyBorder="1"/>
    <xf numFmtId="9" fontId="38" fillId="0" borderId="37" xfId="0" applyNumberFormat="1" applyFont="1" applyBorder="1"/>
    <xf numFmtId="0" fontId="36" fillId="0" borderId="40" xfId="0" applyFont="1" applyBorder="1" applyAlignment="1">
      <alignment horizontal="center" vertical="center"/>
    </xf>
    <xf numFmtId="166" fontId="38" fillId="0" borderId="0" xfId="0" applyNumberFormat="1" applyFont="1"/>
    <xf numFmtId="3" fontId="36" fillId="0" borderId="41" xfId="0" applyNumberFormat="1" applyFont="1" applyBorder="1" applyAlignment="1">
      <alignment horizontal="center"/>
    </xf>
    <xf numFmtId="0" fontId="35" fillId="0" borderId="42" xfId="0" applyFont="1" applyBorder="1"/>
    <xf numFmtId="3" fontId="38" fillId="0" borderId="42" xfId="0" applyNumberFormat="1" applyFont="1" applyBorder="1"/>
    <xf numFmtId="3" fontId="38" fillId="0" borderId="0" xfId="0" applyNumberFormat="1" applyFont="1"/>
    <xf numFmtId="0" fontId="38" fillId="0" borderId="1" xfId="0" applyFont="1" applyBorder="1"/>
    <xf numFmtId="0" fontId="36" fillId="0" borderId="1" xfId="0" applyFont="1" applyBorder="1" applyAlignment="1">
      <alignment horizontal="right" vertical="center"/>
    </xf>
    <xf numFmtId="0" fontId="36" fillId="0" borderId="1" xfId="0" applyFont="1" applyBorder="1"/>
    <xf numFmtId="0" fontId="30" fillId="0" borderId="0" xfId="0" applyFont="1" applyAlignment="1">
      <alignment wrapText="1"/>
    </xf>
    <xf numFmtId="0" fontId="37" fillId="0" borderId="0" xfId="0" applyFont="1"/>
    <xf numFmtId="0" fontId="38" fillId="0" borderId="41" xfId="0" applyFont="1" applyBorder="1"/>
    <xf numFmtId="0" fontId="39" fillId="0" borderId="41" xfId="0" applyFont="1" applyBorder="1"/>
    <xf numFmtId="0" fontId="36" fillId="4" borderId="34" xfId="0" applyFont="1" applyFill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/>
    </xf>
    <xf numFmtId="0" fontId="38" fillId="0" borderId="48" xfId="0" applyFont="1" applyBorder="1"/>
    <xf numFmtId="0" fontId="36" fillId="0" borderId="41" xfId="0" applyFont="1" applyBorder="1" applyAlignment="1">
      <alignment horizontal="left" vertical="center"/>
    </xf>
    <xf numFmtId="0" fontId="35" fillId="0" borderId="0" xfId="0" applyFont="1" applyBorder="1"/>
    <xf numFmtId="3" fontId="31" fillId="0" borderId="0" xfId="0" applyNumberFormat="1" applyFont="1" applyBorder="1"/>
    <xf numFmtId="3" fontId="5" fillId="0" borderId="5" xfId="1" applyNumberFormat="1" applyFont="1" applyBorder="1"/>
    <xf numFmtId="0" fontId="2" fillId="0" borderId="11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3" fontId="5" fillId="0" borderId="11" xfId="1" applyNumberFormat="1" applyFont="1" applyBorder="1"/>
    <xf numFmtId="3" fontId="32" fillId="0" borderId="11" xfId="0" applyNumberFormat="1" applyFont="1" applyBorder="1"/>
    <xf numFmtId="3" fontId="33" fillId="0" borderId="11" xfId="0" applyNumberFormat="1" applyFont="1" applyBorder="1"/>
    <xf numFmtId="0" fontId="6" fillId="0" borderId="11" xfId="1" applyFont="1" applyFill="1" applyBorder="1" applyAlignment="1">
      <alignment horizontal="right" vertical="center"/>
    </xf>
    <xf numFmtId="0" fontId="33" fillId="0" borderId="11" xfId="0" applyFont="1" applyBorder="1" applyAlignment="1">
      <alignment horizontal="left"/>
    </xf>
    <xf numFmtId="164" fontId="6" fillId="0" borderId="11" xfId="1" applyNumberFormat="1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5" xfId="3" applyNumberFormat="1" applyFont="1" applyFill="1" applyBorder="1" applyAlignment="1" applyProtection="1">
      <alignment horizontal="center" vertical="center" wrapText="1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18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8" xfId="3" applyNumberFormat="1" applyFont="1" applyFill="1" applyBorder="1" applyAlignment="1" applyProtection="1">
      <alignment horizontal="left" vertical="center" indent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3" fontId="3" fillId="5" borderId="18" xfId="3" applyNumberFormat="1" applyFont="1" applyFill="1" applyBorder="1" applyAlignment="1" applyProtection="1">
      <alignment horizontal="left" vertical="center" indent="1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5" fillId="5" borderId="18" xfId="3" applyNumberFormat="1" applyFont="1" applyFill="1" applyBorder="1" applyAlignment="1" applyProtection="1">
      <alignment horizontal="left" vertical="center" indent="1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5" fillId="6" borderId="20" xfId="3" applyNumberFormat="1" applyFont="1" applyFill="1" applyBorder="1" applyAlignment="1" applyProtection="1">
      <alignment horizontal="left" vertical="center" inden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horizontal="left" vertical="center" indent="1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3" fillId="0" borderId="14" xfId="3" applyNumberFormat="1" applyFont="1" applyFill="1" applyBorder="1" applyAlignment="1" applyProtection="1"/>
    <xf numFmtId="3" fontId="22" fillId="0" borderId="0" xfId="0" applyNumberFormat="1" applyFont="1" applyFill="1" applyAlignment="1">
      <alignment horizontal="right"/>
    </xf>
    <xf numFmtId="3" fontId="25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horizontal="center" vertical="center"/>
    </xf>
    <xf numFmtId="3" fontId="23" fillId="0" borderId="56" xfId="0" applyNumberFormat="1" applyFont="1" applyFill="1" applyBorder="1" applyAlignment="1">
      <alignment horizontal="center" vertical="center"/>
    </xf>
    <xf numFmtId="3" fontId="23" fillId="0" borderId="55" xfId="0" applyNumberFormat="1" applyFont="1" applyFill="1" applyBorder="1" applyAlignment="1">
      <alignment horizontal="center" vertical="center" wrapText="1"/>
    </xf>
    <xf numFmtId="3" fontId="23" fillId="0" borderId="44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 wrapText="1"/>
    </xf>
    <xf numFmtId="3" fontId="24" fillId="0" borderId="47" xfId="0" applyNumberFormat="1" applyFont="1" applyFill="1" applyBorder="1" applyAlignment="1">
      <alignment horizontal="center" vertical="center" wrapText="1"/>
    </xf>
    <xf numFmtId="3" fontId="24" fillId="0" borderId="53" xfId="0" applyNumberFormat="1" applyFont="1" applyFill="1" applyBorder="1" applyAlignment="1">
      <alignment horizontal="center" vertical="center" wrapText="1"/>
    </xf>
    <xf numFmtId="3" fontId="24" fillId="0" borderId="36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3" fontId="24" fillId="0" borderId="35" xfId="0" applyNumberFormat="1" applyFont="1" applyFill="1" applyBorder="1" applyAlignment="1">
      <alignment horizontal="center" vertical="center" wrapText="1"/>
    </xf>
    <xf numFmtId="3" fontId="15" fillId="0" borderId="41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1" xfId="0" applyNumberFormat="1" applyFont="1" applyFill="1" applyBorder="1" applyAlignment="1" applyProtection="1">
      <alignment horizontal="left" vertical="center" wrapText="1" indent="2"/>
    </xf>
    <xf numFmtId="3" fontId="15" fillId="0" borderId="41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1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7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1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7" fillId="2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1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8" fillId="0" borderId="41" xfId="0" applyNumberFormat="1" applyFont="1" applyFill="1" applyBorder="1" applyAlignment="1" applyProtection="1">
      <alignment vertical="center" wrapText="1"/>
      <protection locked="0"/>
    </xf>
    <xf numFmtId="3" fontId="28" fillId="0" borderId="8" xfId="0" applyNumberFormat="1" applyFont="1" applyFill="1" applyBorder="1" applyAlignment="1" applyProtection="1">
      <alignment vertical="center" wrapText="1"/>
      <protection locked="0"/>
    </xf>
    <xf numFmtId="3" fontId="28" fillId="0" borderId="1" xfId="0" applyNumberFormat="1" applyFont="1" applyFill="1" applyBorder="1" applyAlignment="1" applyProtection="1">
      <alignment vertical="center" wrapText="1"/>
      <protection locked="0"/>
    </xf>
    <xf numFmtId="3" fontId="28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1" xfId="0" applyNumberFormat="1" applyFont="1" applyFill="1" applyBorder="1" applyAlignment="1" applyProtection="1">
      <alignment vertical="center" wrapText="1"/>
      <protection locked="0"/>
    </xf>
    <xf numFmtId="3" fontId="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1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9" fillId="0" borderId="0" xfId="0" applyNumberFormat="1" applyFont="1" applyFill="1" applyAlignment="1">
      <alignment vertical="center" wrapText="1"/>
    </xf>
    <xf numFmtId="3" fontId="15" fillId="0" borderId="50" xfId="0" applyNumberFormat="1" applyFont="1" applyFill="1" applyBorder="1" applyAlignment="1">
      <alignment horizontal="center" vertical="center" wrapText="1"/>
    </xf>
    <xf numFmtId="3" fontId="26" fillId="0" borderId="50" xfId="0" applyNumberFormat="1" applyFont="1" applyFill="1" applyBorder="1" applyAlignment="1" applyProtection="1">
      <alignment vertical="center" wrapText="1"/>
      <protection locked="0"/>
    </xf>
    <xf numFmtId="3" fontId="26" fillId="0" borderId="9" xfId="0" applyNumberFormat="1" applyFont="1" applyFill="1" applyBorder="1" applyAlignment="1" applyProtection="1">
      <alignment vertical="center" wrapText="1"/>
      <protection locked="0"/>
    </xf>
    <xf numFmtId="3" fontId="26" fillId="0" borderId="2" xfId="0" applyNumberFormat="1" applyFont="1" applyFill="1" applyBorder="1" applyAlignment="1" applyProtection="1">
      <alignment vertical="center" wrapText="1"/>
      <protection locked="0"/>
    </xf>
    <xf numFmtId="3" fontId="26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/>
    </xf>
    <xf numFmtId="3" fontId="32" fillId="0" borderId="0" xfId="0" applyNumberFormat="1" applyFont="1" applyBorder="1" applyAlignment="1">
      <alignment horizontal="center" vertical="center" wrapText="1"/>
    </xf>
    <xf numFmtId="0" fontId="32" fillId="0" borderId="0" xfId="0" applyFont="1"/>
    <xf numFmtId="49" fontId="32" fillId="0" borderId="0" xfId="0" applyNumberFormat="1" applyFont="1"/>
    <xf numFmtId="49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3" fontId="31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2" fillId="0" borderId="26" xfId="0" applyFont="1" applyBorder="1" applyAlignment="1">
      <alignment horizontal="left" wrapText="1"/>
    </xf>
    <xf numFmtId="3" fontId="32" fillId="0" borderId="1" xfId="0" applyNumberFormat="1" applyFont="1" applyBorder="1" applyAlignment="1">
      <alignment vertical="center" wrapText="1"/>
    </xf>
    <xf numFmtId="3" fontId="31" fillId="0" borderId="1" xfId="0" applyNumberFormat="1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right" vertical="center"/>
    </xf>
    <xf numFmtId="3" fontId="32" fillId="0" borderId="2" xfId="0" applyNumberFormat="1" applyFont="1" applyBorder="1"/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6" xfId="46" applyFont="1" applyBorder="1" applyAlignment="1">
      <alignment vertical="center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80" xfId="0" applyNumberFormat="1" applyFont="1" applyBorder="1" applyAlignment="1">
      <alignment horizontal="right" vertical="center" wrapText="1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81" xfId="0" applyNumberFormat="1" applyFont="1" applyBorder="1" applyAlignment="1">
      <alignment horizontal="right" vertical="center" wrapText="1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0" fontId="36" fillId="0" borderId="10" xfId="0" applyFont="1" applyBorder="1" applyAlignment="1">
      <alignment horizontal="right" vertical="center"/>
    </xf>
    <xf numFmtId="0" fontId="38" fillId="0" borderId="9" xfId="0" applyFont="1" applyBorder="1"/>
    <xf numFmtId="0" fontId="38" fillId="0" borderId="10" xfId="0" applyFont="1" applyBorder="1"/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5" fontId="3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2" xfId="0" applyNumberFormat="1" applyFont="1" applyFill="1" applyBorder="1" applyAlignment="1" applyProtection="1">
      <alignment vertical="center" wrapText="1"/>
      <protection locked="0"/>
    </xf>
    <xf numFmtId="3" fontId="3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2" fillId="0" borderId="5" xfId="0" applyNumberFormat="1" applyFont="1" applyFill="1" applyBorder="1" applyAlignment="1" applyProtection="1">
      <alignment vertical="center" wrapText="1"/>
      <protection locked="0"/>
    </xf>
    <xf numFmtId="3" fontId="32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5" xfId="0" applyNumberFormat="1" applyFont="1" applyFill="1" applyBorder="1" applyAlignment="1" applyProtection="1">
      <alignment horizontal="right" vertical="center" wrapText="1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3" fontId="33" fillId="0" borderId="1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 wrapText="1"/>
    </xf>
    <xf numFmtId="3" fontId="31" fillId="0" borderId="13" xfId="0" applyNumberFormat="1" applyFont="1" applyBorder="1" applyAlignment="1">
      <alignment vertical="center" wrapText="1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Border="1"/>
    <xf numFmtId="0" fontId="3" fillId="0" borderId="20" xfId="50" applyFont="1" applyBorder="1"/>
    <xf numFmtId="3" fontId="3" fillId="0" borderId="39" xfId="50" applyNumberFormat="1" applyFont="1" applyBorder="1"/>
    <xf numFmtId="3" fontId="3" fillId="0" borderId="21" xfId="50" applyNumberFormat="1" applyFont="1" applyBorder="1"/>
    <xf numFmtId="0" fontId="3" fillId="0" borderId="18" xfId="50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6" fillId="0" borderId="0" xfId="0" applyFont="1" applyFill="1"/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right" vertical="center"/>
    </xf>
    <xf numFmtId="0" fontId="4" fillId="0" borderId="48" xfId="1" applyFont="1" applyFill="1" applyBorder="1" applyAlignment="1">
      <alignment horizontal="right" vertical="center"/>
    </xf>
    <xf numFmtId="0" fontId="2" fillId="0" borderId="48" xfId="1" applyFont="1" applyFill="1" applyBorder="1" applyAlignment="1">
      <alignment horizontal="right" vertical="center"/>
    </xf>
    <xf numFmtId="0" fontId="2" fillId="0" borderId="48" xfId="1" applyFont="1" applyFill="1" applyBorder="1" applyAlignment="1">
      <alignment horizontal="right" vertical="center" wrapText="1"/>
    </xf>
    <xf numFmtId="0" fontId="2" fillId="0" borderId="52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2" fillId="0" borderId="25" xfId="0" applyFont="1" applyBorder="1" applyAlignment="1">
      <alignment horizontal="left" wrapText="1"/>
    </xf>
    <xf numFmtId="3" fontId="31" fillId="0" borderId="31" xfId="98" applyNumberFormat="1" applyFont="1" applyBorder="1"/>
    <xf numFmtId="3" fontId="31" fillId="0" borderId="5" xfId="98" applyNumberFormat="1" applyFont="1" applyBorder="1"/>
    <xf numFmtId="3" fontId="31" fillId="0" borderId="30" xfId="98" applyNumberFormat="1" applyFont="1" applyBorder="1"/>
    <xf numFmtId="3" fontId="31" fillId="0" borderId="36" xfId="98" applyNumberFormat="1" applyFont="1" applyBorder="1"/>
    <xf numFmtId="3" fontId="31" fillId="0" borderId="35" xfId="98" applyNumberFormat="1" applyFont="1" applyBorder="1"/>
    <xf numFmtId="3" fontId="31" fillId="0" borderId="1" xfId="98" applyNumberFormat="1" applyFont="1" applyBorder="1"/>
    <xf numFmtId="3" fontId="31" fillId="0" borderId="18" xfId="98" applyNumberFormat="1" applyFont="1" applyBorder="1"/>
    <xf numFmtId="3" fontId="31" fillId="0" borderId="19" xfId="98" applyNumberFormat="1" applyFont="1" applyBorder="1"/>
    <xf numFmtId="3" fontId="31" fillId="0" borderId="8" xfId="98" applyNumberFormat="1" applyFont="1" applyBorder="1"/>
    <xf numFmtId="3" fontId="31" fillId="0" borderId="3" xfId="98" applyNumberFormat="1" applyFont="1" applyBorder="1"/>
    <xf numFmtId="3" fontId="31" fillId="0" borderId="25" xfId="98" applyNumberFormat="1" applyFont="1" applyBorder="1"/>
    <xf numFmtId="3" fontId="32" fillId="0" borderId="0" xfId="98" applyNumberFormat="1" applyFont="1" applyBorder="1"/>
    <xf numFmtId="3" fontId="32" fillId="0" borderId="25" xfId="98" applyNumberFormat="1" applyFont="1" applyBorder="1"/>
    <xf numFmtId="3" fontId="32" fillId="0" borderId="26" xfId="98" applyNumberFormat="1" applyFont="1" applyBorder="1"/>
    <xf numFmtId="3" fontId="32" fillId="0" borderId="1" xfId="98" applyNumberFormat="1" applyFont="1" applyBorder="1"/>
    <xf numFmtId="3" fontId="32" fillId="0" borderId="18" xfId="98" applyNumberFormat="1" applyFont="1" applyBorder="1"/>
    <xf numFmtId="3" fontId="32" fillId="0" borderId="19" xfId="98" applyNumberFormat="1" applyFont="1" applyBorder="1"/>
    <xf numFmtId="3" fontId="32" fillId="0" borderId="8" xfId="98" applyNumberFormat="1" applyFont="1" applyBorder="1"/>
    <xf numFmtId="3" fontId="32" fillId="0" borderId="3" xfId="98" applyNumberFormat="1" applyFont="1" applyBorder="1"/>
    <xf numFmtId="3" fontId="31" fillId="0" borderId="20" xfId="98" applyNumberFormat="1" applyFont="1" applyBorder="1"/>
    <xf numFmtId="3" fontId="31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31" fillId="0" borderId="22" xfId="98" applyNumberFormat="1" applyFont="1" applyBorder="1"/>
    <xf numFmtId="3" fontId="31" fillId="0" borderId="39" xfId="98" applyNumberFormat="1" applyFont="1" applyBorder="1"/>
    <xf numFmtId="3" fontId="31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1" xfId="46" applyFont="1" applyBorder="1" applyAlignment="1">
      <alignment horizontal="center" vertical="center"/>
    </xf>
    <xf numFmtId="0" fontId="38" fillId="0" borderId="0" xfId="0" applyFont="1" applyBorder="1"/>
    <xf numFmtId="3" fontId="38" fillId="0" borderId="0" xfId="0" applyNumberFormat="1" applyFont="1" applyBorder="1"/>
    <xf numFmtId="0" fontId="36" fillId="0" borderId="59" xfId="0" applyFont="1" applyBorder="1" applyAlignment="1">
      <alignment horizontal="center" vertical="center"/>
    </xf>
    <xf numFmtId="0" fontId="36" fillId="4" borderId="60" xfId="0" applyFont="1" applyFill="1" applyBorder="1" applyAlignment="1">
      <alignment horizontal="center" vertical="center" wrapText="1"/>
    </xf>
    <xf numFmtId="0" fontId="36" fillId="0" borderId="49" xfId="0" applyFont="1" applyBorder="1" applyAlignment="1">
      <alignment vertical="center"/>
    </xf>
    <xf numFmtId="3" fontId="36" fillId="4" borderId="27" xfId="0" applyNumberFormat="1" applyFont="1" applyFill="1" applyBorder="1" applyAlignment="1">
      <alignment horizontal="center" vertical="center"/>
    </xf>
    <xf numFmtId="3" fontId="36" fillId="4" borderId="34" xfId="0" applyNumberFormat="1" applyFont="1" applyFill="1" applyBorder="1" applyAlignment="1">
      <alignment horizontal="center" vertical="center"/>
    </xf>
    <xf numFmtId="0" fontId="39" fillId="0" borderId="48" xfId="0" applyFont="1" applyBorder="1"/>
    <xf numFmtId="0" fontId="39" fillId="0" borderId="49" xfId="0" applyFont="1" applyBorder="1"/>
    <xf numFmtId="0" fontId="36" fillId="0" borderId="48" xfId="0" applyFont="1" applyBorder="1"/>
    <xf numFmtId="0" fontId="36" fillId="0" borderId="27" xfId="0" applyFont="1" applyBorder="1" applyAlignment="1">
      <alignment vertical="center"/>
    </xf>
    <xf numFmtId="0" fontId="36" fillId="0" borderId="27" xfId="0" applyFont="1" applyBorder="1" applyAlignment="1">
      <alignment horizontal="left" vertical="center"/>
    </xf>
    <xf numFmtId="0" fontId="38" fillId="4" borderId="49" xfId="0" applyFont="1" applyFill="1" applyBorder="1"/>
    <xf numFmtId="0" fontId="38" fillId="0" borderId="45" xfId="0" applyFont="1" applyBorder="1"/>
    <xf numFmtId="0" fontId="32" fillId="0" borderId="0" xfId="0" applyFont="1" applyAlignment="1">
      <alignment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82" xfId="0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3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6" fillId="0" borderId="13" xfId="98" applyNumberFormat="1" applyFont="1" applyBorder="1" applyAlignment="1">
      <alignment horizontal="right" vertical="center"/>
    </xf>
    <xf numFmtId="3" fontId="36" fillId="0" borderId="14" xfId="98" applyNumberFormat="1" applyFont="1" applyBorder="1" applyAlignment="1">
      <alignment horizontal="right" vertical="center"/>
    </xf>
    <xf numFmtId="49" fontId="31" fillId="0" borderId="0" xfId="0" applyNumberFormat="1" applyFont="1" applyBorder="1" applyAlignment="1">
      <alignment horizontal="center" vertical="center"/>
    </xf>
    <xf numFmtId="3" fontId="31" fillId="0" borderId="0" xfId="0" applyNumberFormat="1" applyFont="1" applyBorder="1" applyAlignment="1">
      <alignment vertical="center"/>
    </xf>
    <xf numFmtId="49" fontId="32" fillId="0" borderId="0" xfId="0" applyNumberFormat="1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3" fontId="32" fillId="0" borderId="0" xfId="0" applyNumberFormat="1" applyFont="1" applyBorder="1" applyAlignment="1">
      <alignment vertical="center" wrapText="1"/>
    </xf>
    <xf numFmtId="49" fontId="32" fillId="0" borderId="1" xfId="0" applyNumberFormat="1" applyFont="1" applyBorder="1"/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49" fontId="33" fillId="0" borderId="2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8" fillId="0" borderId="94" xfId="0" applyNumberFormat="1" applyFont="1" applyBorder="1" applyAlignment="1">
      <alignment horizontal="right" vertical="center"/>
    </xf>
    <xf numFmtId="0" fontId="5" fillId="0" borderId="37" xfId="50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3" fontId="36" fillId="4" borderId="40" xfId="98" applyNumberFormat="1" applyFont="1" applyFill="1" applyBorder="1" applyAlignment="1">
      <alignment horizontal="center" vertical="center" wrapText="1"/>
    </xf>
    <xf numFmtId="3" fontId="36" fillId="4" borderId="41" xfId="98" applyNumberFormat="1" applyFont="1" applyFill="1" applyBorder="1" applyAlignment="1">
      <alignment horizontal="center" vertical="center" wrapText="1"/>
    </xf>
    <xf numFmtId="3" fontId="36" fillId="4" borderId="50" xfId="98" applyNumberFormat="1" applyFont="1" applyFill="1" applyBorder="1" applyAlignment="1">
      <alignment horizontal="center" vertical="center" wrapText="1"/>
    </xf>
    <xf numFmtId="3" fontId="38" fillId="0" borderId="41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39" fillId="0" borderId="41" xfId="0" applyNumberFormat="1" applyFont="1" applyBorder="1" applyAlignment="1">
      <alignment horizontal="center"/>
    </xf>
    <xf numFmtId="3" fontId="38" fillId="4" borderId="33" xfId="0" applyNumberFormat="1" applyFont="1" applyFill="1" applyBorder="1" applyAlignment="1">
      <alignment horizontal="center"/>
    </xf>
    <xf numFmtId="3" fontId="36" fillId="0" borderId="34" xfId="0" applyNumberFormat="1" applyFont="1" applyBorder="1" applyAlignment="1">
      <alignment horizontal="center" vertical="center"/>
    </xf>
    <xf numFmtId="3" fontId="36" fillId="4" borderId="34" xfId="98" applyNumberFormat="1" applyFont="1" applyFill="1" applyBorder="1" applyAlignment="1">
      <alignment horizontal="center" vertical="center" wrapText="1"/>
    </xf>
    <xf numFmtId="3" fontId="38" fillId="0" borderId="47" xfId="0" applyNumberFormat="1" applyFont="1" applyBorder="1" applyAlignment="1">
      <alignment horizontal="center"/>
    </xf>
    <xf numFmtId="3" fontId="38" fillId="0" borderId="41" xfId="0" applyNumberFormat="1" applyFont="1" applyBorder="1" applyAlignment="1">
      <alignment horizontal="center" wrapText="1"/>
    </xf>
    <xf numFmtId="3" fontId="38" fillId="4" borderId="50" xfId="0" applyNumberFormat="1" applyFont="1" applyFill="1" applyBorder="1" applyAlignment="1">
      <alignment horizontal="center"/>
    </xf>
    <xf numFmtId="3" fontId="5" fillId="0" borderId="1" xfId="98" applyNumberFormat="1" applyFont="1" applyFill="1" applyBorder="1" applyAlignment="1">
      <alignment horizontal="center" vertical="center"/>
    </xf>
    <xf numFmtId="3" fontId="5" fillId="0" borderId="1" xfId="98" quotePrefix="1" applyNumberFormat="1" applyFont="1" applyFill="1" applyBorder="1" applyAlignment="1">
      <alignment horizontal="center" vertical="center"/>
    </xf>
    <xf numFmtId="3" fontId="3" fillId="0" borderId="1" xfId="98" applyNumberFormat="1" applyFont="1" applyFill="1" applyBorder="1" applyAlignment="1">
      <alignment horizontal="center" vertical="center"/>
    </xf>
    <xf numFmtId="3" fontId="7" fillId="0" borderId="1" xfId="98" applyNumberFormat="1" applyFont="1" applyFill="1" applyBorder="1" applyAlignment="1">
      <alignment horizontal="center" vertical="center"/>
    </xf>
    <xf numFmtId="3" fontId="5" fillId="0" borderId="1" xfId="98" applyNumberFormat="1" applyFont="1" applyFill="1" applyBorder="1" applyAlignment="1">
      <alignment horizontal="center"/>
    </xf>
    <xf numFmtId="0" fontId="68" fillId="0" borderId="0" xfId="42" applyFont="1" applyAlignment="1">
      <alignment vertical="center"/>
    </xf>
    <xf numFmtId="0" fontId="5" fillId="0" borderId="18" xfId="42" applyFont="1" applyBorder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1" xfId="42" applyFont="1" applyBorder="1" applyAlignment="1">
      <alignment vertical="center"/>
    </xf>
    <xf numFmtId="0" fontId="5" fillId="0" borderId="19" xfId="42" applyFont="1" applyBorder="1" applyAlignment="1">
      <alignment vertical="center"/>
    </xf>
    <xf numFmtId="0" fontId="3" fillId="0" borderId="18" xfId="42" applyFont="1" applyBorder="1" applyAlignment="1">
      <alignment horizontal="center" vertical="center" wrapText="1"/>
    </xf>
    <xf numFmtId="0" fontId="3" fillId="0" borderId="8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0" fontId="3" fillId="0" borderId="19" xfId="42" applyFont="1" applyBorder="1" applyAlignment="1">
      <alignment horizontal="center" vertical="center" wrapText="1"/>
    </xf>
    <xf numFmtId="0" fontId="68" fillId="0" borderId="0" xfId="42" applyFont="1" applyAlignment="1">
      <alignment vertical="center" wrapText="1"/>
    </xf>
    <xf numFmtId="0" fontId="5" fillId="0" borderId="23" xfId="42" applyFont="1" applyBorder="1" applyAlignment="1">
      <alignment vertical="center"/>
    </xf>
    <xf numFmtId="3" fontId="5" fillId="0" borderId="9" xfId="42" applyNumberFormat="1" applyFont="1" applyBorder="1" applyAlignment="1">
      <alignment vertical="center"/>
    </xf>
    <xf numFmtId="3" fontId="5" fillId="0" borderId="2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vertical="center"/>
    </xf>
    <xf numFmtId="0" fontId="5" fillId="0" borderId="18" xfId="50" applyFont="1" applyBorder="1" applyAlignment="1">
      <alignment vertical="center"/>
    </xf>
    <xf numFmtId="3" fontId="5" fillId="0" borderId="8" xfId="50" applyNumberFormat="1" applyFont="1" applyBorder="1" applyAlignment="1">
      <alignment vertical="center"/>
    </xf>
    <xf numFmtId="3" fontId="5" fillId="0" borderId="24" xfId="42" applyNumberFormat="1" applyFont="1" applyBorder="1" applyAlignment="1">
      <alignment vertical="center"/>
    </xf>
    <xf numFmtId="0" fontId="3" fillId="0" borderId="20" xfId="42" applyFont="1" applyBorder="1" applyAlignment="1">
      <alignment vertical="center"/>
    </xf>
    <xf numFmtId="3" fontId="3" fillId="0" borderId="39" xfId="42" applyNumberFormat="1" applyFont="1" applyBorder="1" applyAlignment="1">
      <alignment vertical="center"/>
    </xf>
    <xf numFmtId="0" fontId="3" fillId="0" borderId="0" xfId="42" applyFont="1" applyBorder="1" applyAlignment="1">
      <alignment vertical="center"/>
    </xf>
    <xf numFmtId="3" fontId="3" fillId="0" borderId="0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3" fontId="5" fillId="0" borderId="0" xfId="42" applyNumberFormat="1" applyFont="1" applyAlignment="1">
      <alignment vertical="center"/>
    </xf>
    <xf numFmtId="3" fontId="5" fillId="0" borderId="8" xfId="42" applyNumberFormat="1" applyFont="1" applyBorder="1" applyAlignment="1">
      <alignment vertical="center"/>
    </xf>
    <xf numFmtId="3" fontId="5" fillId="0" borderId="1" xfId="42" applyNumberFormat="1" applyFont="1" applyBorder="1" applyAlignment="1">
      <alignment vertical="center"/>
    </xf>
    <xf numFmtId="0" fontId="5" fillId="0" borderId="0" xfId="42" applyFont="1" applyBorder="1" applyAlignment="1">
      <alignment vertical="center"/>
    </xf>
    <xf numFmtId="3" fontId="5" fillId="0" borderId="0" xfId="42" applyNumberFormat="1" applyFont="1" applyBorder="1" applyAlignment="1">
      <alignment vertical="center"/>
    </xf>
    <xf numFmtId="0" fontId="3" fillId="0" borderId="45" xfId="42" applyFont="1" applyBorder="1" applyAlignment="1">
      <alignment horizontal="center" vertical="center"/>
    </xf>
    <xf numFmtId="0" fontId="3" fillId="0" borderId="6" xfId="42" applyFont="1" applyBorder="1" applyAlignment="1">
      <alignment horizontal="center" vertical="center"/>
    </xf>
    <xf numFmtId="0" fontId="3" fillId="0" borderId="53" xfId="42" applyFont="1" applyBorder="1" applyAlignment="1">
      <alignment horizontal="center" vertical="center"/>
    </xf>
    <xf numFmtId="3" fontId="5" fillId="0" borderId="8" xfId="42" applyNumberFormat="1" applyFont="1" applyBorder="1" applyAlignment="1">
      <alignment horizontal="right" vertical="center"/>
    </xf>
    <xf numFmtId="3" fontId="5" fillId="0" borderId="1" xfId="42" applyNumberFormat="1" applyFont="1" applyBorder="1" applyAlignment="1">
      <alignment horizontal="right" vertical="center"/>
    </xf>
    <xf numFmtId="3" fontId="3" fillId="0" borderId="39" xfId="42" applyNumberFormat="1" applyFont="1" applyBorder="1" applyAlignment="1">
      <alignment horizontal="right" vertical="center"/>
    </xf>
    <xf numFmtId="0" fontId="5" fillId="0" borderId="18" xfId="42" applyFont="1" applyBorder="1" applyAlignment="1">
      <alignment horizontal="left" vertical="center"/>
    </xf>
    <xf numFmtId="0" fontId="68" fillId="0" borderId="37" xfId="42" applyFont="1" applyBorder="1" applyAlignment="1">
      <alignment horizontal="right" vertical="center"/>
    </xf>
    <xf numFmtId="3" fontId="3" fillId="0" borderId="54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horizontal="right" vertical="center"/>
    </xf>
    <xf numFmtId="3" fontId="3" fillId="0" borderId="54" xfId="42" applyNumberFormat="1" applyFont="1" applyBorder="1" applyAlignment="1">
      <alignment horizontal="right" vertical="center"/>
    </xf>
    <xf numFmtId="0" fontId="21" fillId="0" borderId="37" xfId="50" applyFont="1" applyBorder="1" applyAlignment="1">
      <alignment vertical="center" wrapText="1"/>
    </xf>
    <xf numFmtId="0" fontId="5" fillId="0" borderId="0" xfId="50" applyFont="1" applyAlignment="1">
      <alignment vertical="center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3" fontId="5" fillId="0" borderId="1" xfId="50" applyNumberFormat="1" applyFont="1" applyFill="1" applyBorder="1" applyAlignment="1">
      <alignment vertical="center"/>
    </xf>
    <xf numFmtId="3" fontId="5" fillId="0" borderId="1" xfId="50" applyNumberFormat="1" applyFont="1" applyBorder="1" applyAlignment="1">
      <alignment vertical="center"/>
    </xf>
    <xf numFmtId="0" fontId="5" fillId="0" borderId="8" xfId="50" applyFont="1" applyBorder="1" applyAlignment="1">
      <alignment vertical="center"/>
    </xf>
    <xf numFmtId="0" fontId="3" fillId="0" borderId="20" xfId="50" applyFont="1" applyBorder="1" applyAlignment="1">
      <alignment vertical="center"/>
    </xf>
    <xf numFmtId="3" fontId="3" fillId="0" borderId="39" xfId="50" applyNumberFormat="1" applyFont="1" applyBorder="1" applyAlignment="1">
      <alignment vertical="center"/>
    </xf>
    <xf numFmtId="3" fontId="3" fillId="0" borderId="21" xfId="50" applyNumberFormat="1" applyFont="1" applyBorder="1" applyAlignment="1">
      <alignment vertical="center"/>
    </xf>
    <xf numFmtId="0" fontId="5" fillId="0" borderId="23" xfId="50" applyFont="1" applyBorder="1" applyAlignment="1">
      <alignment vertical="center"/>
    </xf>
    <xf numFmtId="0" fontId="5" fillId="0" borderId="2" xfId="50" applyFont="1" applyBorder="1" applyAlignment="1">
      <alignment vertical="center"/>
    </xf>
    <xf numFmtId="0" fontId="3" fillId="0" borderId="17" xfId="50" applyFont="1" applyBorder="1" applyAlignment="1">
      <alignment horizontal="center" vertical="center" wrapText="1"/>
    </xf>
    <xf numFmtId="3" fontId="5" fillId="0" borderId="19" xfId="50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vertical="center"/>
    </xf>
    <xf numFmtId="3" fontId="5" fillId="0" borderId="19" xfId="50" applyNumberFormat="1" applyFont="1" applyBorder="1" applyAlignment="1">
      <alignment vertical="center"/>
    </xf>
    <xf numFmtId="3" fontId="3" fillId="0" borderId="22" xfId="50" applyNumberFormat="1" applyFont="1" applyBorder="1" applyAlignment="1">
      <alignment vertical="center"/>
    </xf>
    <xf numFmtId="0" fontId="5" fillId="0" borderId="15" xfId="50" applyFont="1" applyBorder="1" applyAlignment="1">
      <alignment vertical="center"/>
    </xf>
    <xf numFmtId="3" fontId="5" fillId="0" borderId="17" xfId="50" applyNumberFormat="1" applyFont="1" applyBorder="1" applyAlignment="1">
      <alignment vertical="center"/>
    </xf>
    <xf numFmtId="3" fontId="5" fillId="0" borderId="24" xfId="50" applyNumberFormat="1" applyFont="1" applyBorder="1" applyAlignment="1">
      <alignment vertical="center"/>
    </xf>
    <xf numFmtId="3" fontId="5" fillId="0" borderId="62" xfId="50" applyNumberFormat="1" applyFont="1" applyBorder="1" applyAlignment="1">
      <alignment vertical="center"/>
    </xf>
    <xf numFmtId="3" fontId="5" fillId="0" borderId="9" xfId="50" applyNumberFormat="1" applyFont="1" applyBorder="1" applyAlignment="1">
      <alignment vertical="center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31" fillId="0" borderId="0" xfId="98" applyNumberFormat="1" applyFont="1" applyBorder="1"/>
    <xf numFmtId="3" fontId="32" fillId="0" borderId="1" xfId="0" applyNumberFormat="1" applyFont="1" applyBorder="1" applyAlignment="1">
      <alignment vertical="center"/>
    </xf>
    <xf numFmtId="3" fontId="31" fillId="0" borderId="14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67" fontId="31" fillId="0" borderId="2" xfId="98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7" fontId="31" fillId="0" borderId="1" xfId="98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43" applyFont="1"/>
    <xf numFmtId="0" fontId="5" fillId="0" borderId="0" xfId="43" applyFont="1" applyFill="1"/>
    <xf numFmtId="0" fontId="71" fillId="0" borderId="0" xfId="43" applyFont="1"/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0" fontId="3" fillId="0" borderId="1" xfId="43" applyFont="1" applyFill="1" applyBorder="1" applyAlignment="1">
      <alignment horizontal="right" wrapText="1"/>
    </xf>
    <xf numFmtId="3" fontId="3" fillId="32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/>
    </xf>
    <xf numFmtId="3" fontId="3" fillId="0" borderId="1" xfId="43" applyNumberFormat="1" applyFont="1" applyFill="1" applyBorder="1" applyAlignment="1">
      <alignment horizontal="right" wrapText="1"/>
    </xf>
    <xf numFmtId="3" fontId="5" fillId="0" borderId="1" xfId="43" applyNumberFormat="1" applyFont="1" applyFill="1" applyBorder="1" applyAlignment="1">
      <alignment horizontal="right" wrapText="1"/>
    </xf>
    <xf numFmtId="3" fontId="3" fillId="32" borderId="19" xfId="43" applyNumberFormat="1" applyFont="1" applyFill="1" applyBorder="1" applyAlignment="1">
      <alignment horizontal="right"/>
    </xf>
    <xf numFmtId="0" fontId="32" fillId="21" borderId="1" xfId="0" applyFont="1" applyFill="1" applyBorder="1" applyAlignment="1" applyProtection="1"/>
    <xf numFmtId="49" fontId="5" fillId="0" borderId="1" xfId="43" applyNumberFormat="1" applyFont="1" applyFill="1" applyBorder="1" applyAlignment="1">
      <alignment horizontal="right"/>
    </xf>
    <xf numFmtId="49" fontId="5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0" fontId="32" fillId="21" borderId="1" xfId="0" applyFont="1" applyFill="1" applyBorder="1" applyAlignment="1" applyProtection="1">
      <alignment wrapText="1"/>
    </xf>
    <xf numFmtId="49" fontId="5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49" fontId="5" fillId="0" borderId="1" xfId="43" applyNumberFormat="1" applyFont="1" applyBorder="1" applyAlignment="1">
      <alignment horizontal="right"/>
    </xf>
    <xf numFmtId="3" fontId="7" fillId="0" borderId="1" xfId="43" applyNumberFormat="1" applyFont="1" applyBorder="1" applyAlignment="1">
      <alignment horizontal="right"/>
    </xf>
    <xf numFmtId="3" fontId="3" fillId="0" borderId="1" xfId="43" applyNumberFormat="1" applyFont="1" applyBorder="1" applyAlignment="1">
      <alignment horizontal="right"/>
    </xf>
    <xf numFmtId="0" fontId="5" fillId="0" borderId="1" xfId="43" applyFont="1" applyBorder="1" applyAlignment="1">
      <alignment horizontal="right"/>
    </xf>
    <xf numFmtId="0" fontId="5" fillId="0" borderId="1" xfId="43" applyFont="1" applyFill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3" fontId="3" fillId="32" borderId="21" xfId="43" applyNumberFormat="1" applyFont="1" applyFill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3" fontId="3" fillId="32" borderId="22" xfId="43" applyNumberFormat="1" applyFont="1" applyFill="1" applyBorder="1" applyAlignment="1">
      <alignment horizontal="right"/>
    </xf>
    <xf numFmtId="0" fontId="3" fillId="0" borderId="0" xfId="43" applyFont="1"/>
    <xf numFmtId="0" fontId="5" fillId="0" borderId="0" xfId="43" applyFont="1" applyAlignment="1">
      <alignment horizontal="center" vertical="center"/>
    </xf>
    <xf numFmtId="0" fontId="71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1" borderId="1" xfId="43" applyNumberFormat="1" applyFont="1" applyFill="1" applyBorder="1"/>
    <xf numFmtId="3" fontId="5" fillId="0" borderId="1" xfId="43" applyNumberFormat="1" applyFont="1" applyFill="1" applyBorder="1"/>
    <xf numFmtId="3" fontId="3" fillId="32" borderId="19" xfId="43" applyNumberFormat="1" applyFont="1" applyFill="1" applyBorder="1"/>
    <xf numFmtId="0" fontId="57" fillId="0" borderId="0" xfId="43"/>
    <xf numFmtId="0" fontId="57" fillId="0" borderId="37" xfId="43" applyBorder="1"/>
    <xf numFmtId="0" fontId="76" fillId="0" borderId="1" xfId="43" applyFont="1" applyBorder="1"/>
    <xf numFmtId="0" fontId="75" fillId="0" borderId="1" xfId="43" applyFont="1" applyBorder="1" applyAlignment="1">
      <alignment horizontal="center" wrapText="1"/>
    </xf>
    <xf numFmtId="0" fontId="75" fillId="0" borderId="1" xfId="43" applyFont="1" applyBorder="1" applyAlignment="1">
      <alignment horizontal="center"/>
    </xf>
    <xf numFmtId="0" fontId="75" fillId="31" borderId="1" xfId="43" applyFont="1" applyFill="1" applyBorder="1" applyAlignment="1">
      <alignment horizontal="center" wrapText="1"/>
    </xf>
    <xf numFmtId="0" fontId="75" fillId="31" borderId="19" xfId="43" applyFont="1" applyFill="1" applyBorder="1" applyAlignment="1">
      <alignment horizontal="center" wrapText="1"/>
    </xf>
    <xf numFmtId="3" fontId="57" fillId="0" borderId="1" xfId="43" applyNumberFormat="1" applyFont="1" applyBorder="1" applyAlignment="1">
      <alignment horizontal="right"/>
    </xf>
    <xf numFmtId="49" fontId="57" fillId="0" borderId="20" xfId="43" applyNumberFormat="1" applyBorder="1" applyAlignment="1">
      <alignment horizontal="center"/>
    </xf>
    <xf numFmtId="0" fontId="77" fillId="0" borderId="21" xfId="43" applyFont="1" applyBorder="1"/>
    <xf numFmtId="0" fontId="57" fillId="0" borderId="21" xfId="43" applyBorder="1"/>
    <xf numFmtId="3" fontId="77" fillId="0" borderId="21" xfId="43" applyNumberFormat="1" applyFont="1" applyBorder="1"/>
    <xf numFmtId="3" fontId="77" fillId="0" borderId="22" xfId="43" applyNumberFormat="1" applyFont="1" applyBorder="1"/>
    <xf numFmtId="3" fontId="77" fillId="0" borderId="39" xfId="43" applyNumberFormat="1" applyFont="1" applyBorder="1"/>
    <xf numFmtId="0" fontId="57" fillId="0" borderId="0" xfId="43" applyBorder="1"/>
    <xf numFmtId="3" fontId="78" fillId="33" borderId="0" xfId="0" applyNumberFormat="1" applyFont="1" applyFill="1" applyBorder="1" applyAlignment="1" applyProtection="1">
      <alignment horizontal="right" vertical="center" wrapText="1" shrinkToFit="1"/>
    </xf>
    <xf numFmtId="3" fontId="57" fillId="0" borderId="0" xfId="43" applyNumberFormat="1" applyBorder="1"/>
    <xf numFmtId="0" fontId="77" fillId="0" borderId="0" xfId="43" applyFont="1"/>
    <xf numFmtId="0" fontId="3" fillId="0" borderId="1" xfId="43" applyFont="1" applyBorder="1"/>
    <xf numFmtId="3" fontId="3" fillId="0" borderId="1" xfId="43" applyNumberFormat="1" applyFont="1" applyBorder="1"/>
    <xf numFmtId="3" fontId="3" fillId="0" borderId="1" xfId="43" applyNumberFormat="1" applyFont="1" applyFill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5" fillId="0" borderId="20" xfId="43" applyFont="1" applyBorder="1"/>
    <xf numFmtId="3" fontId="3" fillId="34" borderId="21" xfId="43" applyNumberFormat="1" applyFont="1" applyFill="1" applyBorder="1"/>
    <xf numFmtId="1" fontId="36" fillId="0" borderId="1" xfId="0" applyNumberFormat="1" applyFont="1" applyBorder="1"/>
    <xf numFmtId="0" fontId="38" fillId="0" borderId="3" xfId="0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39" fillId="0" borderId="4" xfId="0" applyFont="1" applyBorder="1" applyAlignment="1">
      <alignment horizontal="left" vertical="center" wrapText="1"/>
    </xf>
    <xf numFmtId="3" fontId="36" fillId="0" borderId="13" xfId="98" applyNumberFormat="1" applyFont="1" applyFill="1" applyBorder="1" applyAlignment="1">
      <alignment horizontal="right" vertical="center"/>
    </xf>
    <xf numFmtId="0" fontId="36" fillId="0" borderId="4" xfId="0" applyFont="1" applyBorder="1"/>
    <xf numFmtId="0" fontId="36" fillId="0" borderId="3" xfId="0" applyFont="1" applyBorder="1"/>
    <xf numFmtId="0" fontId="36" fillId="0" borderId="8" xfId="0" applyFont="1" applyBorder="1"/>
    <xf numFmtId="0" fontId="74" fillId="0" borderId="0" xfId="43" applyFont="1" applyAlignment="1">
      <alignment horizontal="center"/>
    </xf>
    <xf numFmtId="0" fontId="75" fillId="0" borderId="26" xfId="4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/>
    </xf>
    <xf numFmtId="3" fontId="3" fillId="34" borderId="22" xfId="43" applyNumberFormat="1" applyFont="1" applyFill="1" applyBorder="1"/>
    <xf numFmtId="0" fontId="71" fillId="0" borderId="1" xfId="43" applyFont="1" applyBorder="1" applyAlignment="1">
      <alignment horizontal="center" vertical="center" wrapText="1"/>
    </xf>
    <xf numFmtId="0" fontId="76" fillId="0" borderId="1" xfId="43" applyFont="1" applyBorder="1" applyAlignment="1">
      <alignment horizontal="center" vertical="center" wrapText="1"/>
    </xf>
    <xf numFmtId="0" fontId="75" fillId="0" borderId="16" xfId="43" applyFont="1" applyBorder="1" applyAlignment="1">
      <alignment horizontal="center" vertical="center"/>
    </xf>
    <xf numFmtId="0" fontId="39" fillId="0" borderId="1" xfId="0" applyFont="1" applyBorder="1"/>
    <xf numFmtId="0" fontId="7" fillId="0" borderId="1" xfId="1" applyFont="1" applyFill="1" applyBorder="1" applyAlignment="1">
      <alignment horizontal="left" vertical="center" wrapText="1"/>
    </xf>
    <xf numFmtId="3" fontId="5" fillId="0" borderId="87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5" fillId="0" borderId="98" xfId="0" applyNumberFormat="1" applyFont="1" applyBorder="1" applyAlignment="1">
      <alignment horizontal="right" vertical="center" wrapText="1"/>
    </xf>
    <xf numFmtId="3" fontId="5" fillId="0" borderId="98" xfId="0" applyNumberFormat="1" applyFont="1" applyBorder="1" applyAlignment="1">
      <alignment horizontal="center" vertical="center" wrapText="1"/>
    </xf>
    <xf numFmtId="3" fontId="3" fillId="0" borderId="99" xfId="0" applyNumberFormat="1" applyFont="1" applyBorder="1" applyAlignment="1">
      <alignment horizontal="right" vertical="center"/>
    </xf>
    <xf numFmtId="0" fontId="5" fillId="0" borderId="1" xfId="43" applyFont="1" applyFill="1" applyBorder="1"/>
    <xf numFmtId="0" fontId="31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1" borderId="21" xfId="43" applyNumberFormat="1" applyFont="1" applyFill="1" applyBorder="1"/>
    <xf numFmtId="3" fontId="3" fillId="32" borderId="22" xfId="43" applyNumberFormat="1" applyFont="1" applyFill="1" applyBorder="1"/>
    <xf numFmtId="49" fontId="57" fillId="0" borderId="18" xfId="43" applyNumberFormat="1" applyFont="1" applyBorder="1" applyAlignment="1">
      <alignment horizontal="center"/>
    </xf>
    <xf numFmtId="0" fontId="57" fillId="0" borderId="1" xfId="43" applyFont="1" applyBorder="1" applyAlignment="1">
      <alignment horizontal="left"/>
    </xf>
    <xf numFmtId="0" fontId="57" fillId="0" borderId="1" xfId="43" applyBorder="1"/>
    <xf numFmtId="0" fontId="57" fillId="31" borderId="1" xfId="43" applyFont="1" applyFill="1" applyBorder="1" applyAlignment="1">
      <alignment horizontal="right" wrapText="1"/>
    </xf>
    <xf numFmtId="3" fontId="57" fillId="31" borderId="19" xfId="43" applyNumberFormat="1" applyFont="1" applyFill="1" applyBorder="1" applyAlignment="1">
      <alignment horizontal="right"/>
    </xf>
    <xf numFmtId="3" fontId="57" fillId="31" borderId="1" xfId="43" applyNumberFormat="1" applyFont="1" applyFill="1" applyBorder="1" applyAlignment="1">
      <alignment horizontal="right"/>
    </xf>
    <xf numFmtId="0" fontId="3" fillId="34" borderId="21" xfId="43" applyFont="1" applyFill="1" applyBorder="1"/>
    <xf numFmtId="3" fontId="31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/>
    </xf>
    <xf numFmtId="0" fontId="36" fillId="0" borderId="50" xfId="0" applyFont="1" applyBorder="1" applyAlignment="1">
      <alignment vertical="center"/>
    </xf>
    <xf numFmtId="3" fontId="36" fillId="0" borderId="50" xfId="0" applyNumberFormat="1" applyFont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167" fontId="31" fillId="0" borderId="1" xfId="98" applyNumberFormat="1" applyFont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167" fontId="31" fillId="0" borderId="1" xfId="98" applyNumberFormat="1" applyFont="1" applyFill="1" applyBorder="1" applyAlignment="1">
      <alignment horizontal="right" vertical="center"/>
    </xf>
    <xf numFmtId="167" fontId="31" fillId="0" borderId="1" xfId="0" applyNumberFormat="1" applyFont="1" applyBorder="1" applyAlignment="1">
      <alignment vertical="center"/>
    </xf>
    <xf numFmtId="167" fontId="31" fillId="0" borderId="2" xfId="98" applyNumberFormat="1" applyFont="1" applyBorder="1" applyAlignment="1">
      <alignment horizontal="right" vertical="center"/>
    </xf>
    <xf numFmtId="0" fontId="32" fillId="0" borderId="4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167" fontId="31" fillId="0" borderId="1" xfId="98" applyNumberFormat="1" applyFont="1" applyBorder="1" applyAlignment="1">
      <alignment vertical="center"/>
    </xf>
    <xf numFmtId="0" fontId="32" fillId="0" borderId="6" xfId="0" applyFont="1" applyBorder="1" applyAlignment="1">
      <alignment horizontal="left" vertical="center"/>
    </xf>
    <xf numFmtId="167" fontId="32" fillId="0" borderId="6" xfId="98" applyNumberFormat="1" applyFont="1" applyBorder="1" applyAlignment="1">
      <alignment vertical="center"/>
    </xf>
    <xf numFmtId="0" fontId="32" fillId="0" borderId="36" xfId="0" applyFont="1" applyBorder="1" applyAlignment="1">
      <alignment vertical="center"/>
    </xf>
    <xf numFmtId="167" fontId="32" fillId="0" borderId="5" xfId="98" applyNumberFormat="1" applyFont="1" applyBorder="1" applyAlignment="1">
      <alignment vertical="center"/>
    </xf>
    <xf numFmtId="167" fontId="32" fillId="0" borderId="1" xfId="0" applyNumberFormat="1" applyFont="1" applyBorder="1" applyAlignment="1">
      <alignment vertical="center"/>
    </xf>
    <xf numFmtId="167" fontId="32" fillId="0" borderId="1" xfId="98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7" fontId="31" fillId="0" borderId="2" xfId="98" applyNumberFormat="1" applyFont="1" applyBorder="1" applyAlignment="1">
      <alignment vertical="center"/>
    </xf>
    <xf numFmtId="167" fontId="32" fillId="0" borderId="4" xfId="98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67" fontId="32" fillId="0" borderId="11" xfId="98" applyNumberFormat="1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167" fontId="31" fillId="0" borderId="13" xfId="98" applyNumberFormat="1" applyFont="1" applyBorder="1" applyAlignment="1">
      <alignment vertical="center"/>
    </xf>
    <xf numFmtId="3" fontId="31" fillId="0" borderId="14" xfId="0" applyNumberFormat="1" applyFont="1" applyBorder="1" applyAlignment="1">
      <alignment vertical="center"/>
    </xf>
    <xf numFmtId="0" fontId="17" fillId="0" borderId="19" xfId="0" applyFont="1" applyFill="1" applyBorder="1" applyAlignment="1">
      <alignment horizontal="right"/>
    </xf>
    <xf numFmtId="0" fontId="17" fillId="0" borderId="21" xfId="0" applyFont="1" applyFill="1" applyBorder="1"/>
    <xf numFmtId="0" fontId="17" fillId="0" borderId="22" xfId="0" applyFont="1" applyFill="1" applyBorder="1" applyAlignment="1">
      <alignment horizontal="right"/>
    </xf>
    <xf numFmtId="3" fontId="15" fillId="0" borderId="48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 applyProtection="1">
      <alignment vertical="center" wrapText="1"/>
      <protection locked="0"/>
    </xf>
    <xf numFmtId="3" fontId="15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8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165" fontId="32" fillId="0" borderId="0" xfId="0" applyNumberFormat="1" applyFont="1" applyFill="1" applyBorder="1" applyAlignment="1">
      <alignment vertical="center" wrapText="1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3" fontId="3" fillId="0" borderId="14" xfId="0" applyNumberFormat="1" applyFont="1" applyFill="1" applyBorder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3" fontId="3" fillId="0" borderId="39" xfId="1" applyNumberFormat="1" applyFont="1" applyBorder="1" applyAlignment="1">
      <alignment horizontal="center" vertical="center" wrapText="1"/>
    </xf>
    <xf numFmtId="49" fontId="57" fillId="0" borderId="23" xfId="43" applyNumberFormat="1" applyFont="1" applyBorder="1" applyAlignment="1">
      <alignment horizontal="center"/>
    </xf>
    <xf numFmtId="0" fontId="57" fillId="0" borderId="2" xfId="43" applyFont="1" applyBorder="1" applyAlignment="1">
      <alignment horizontal="left"/>
    </xf>
    <xf numFmtId="0" fontId="57" fillId="0" borderId="2" xfId="43" applyBorder="1"/>
    <xf numFmtId="3" fontId="57" fillId="0" borderId="2" xfId="43" applyNumberFormat="1" applyFont="1" applyBorder="1" applyAlignment="1">
      <alignment horizontal="right"/>
    </xf>
    <xf numFmtId="3" fontId="57" fillId="0" borderId="10" xfId="43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left" vertical="center" wrapText="1"/>
    </xf>
    <xf numFmtId="0" fontId="78" fillId="0" borderId="0" xfId="43" applyFont="1"/>
    <xf numFmtId="0" fontId="78" fillId="0" borderId="1" xfId="43" applyFont="1" applyBorder="1" applyAlignment="1">
      <alignment horizontal="center" vertical="center" wrapText="1"/>
    </xf>
    <xf numFmtId="0" fontId="5" fillId="0" borderId="1" xfId="43" applyFont="1" applyFill="1" applyBorder="1" applyAlignment="1">
      <alignment shrinkToFit="1"/>
    </xf>
    <xf numFmtId="0" fontId="32" fillId="21" borderId="1" xfId="0" applyFont="1" applyFill="1" applyBorder="1" applyAlignment="1" applyProtection="1">
      <alignment shrinkToFit="1"/>
    </xf>
    <xf numFmtId="0" fontId="4" fillId="0" borderId="18" xfId="42" applyFont="1" applyBorder="1"/>
    <xf numFmtId="3" fontId="4" fillId="0" borderId="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0" fontId="5" fillId="0" borderId="82" xfId="50" applyFont="1" applyBorder="1" applyAlignment="1">
      <alignment vertical="center"/>
    </xf>
    <xf numFmtId="3" fontId="5" fillId="0" borderId="61" xfId="50" applyNumberFormat="1" applyFont="1" applyBorder="1" applyAlignment="1">
      <alignment vertical="center"/>
    </xf>
    <xf numFmtId="3" fontId="5" fillId="0" borderId="100" xfId="50" applyNumberFormat="1" applyFont="1" applyBorder="1" applyAlignment="1">
      <alignment vertical="center"/>
    </xf>
    <xf numFmtId="3" fontId="5" fillId="0" borderId="16" xfId="50" applyNumberFormat="1" applyFont="1" applyBorder="1" applyAlignment="1">
      <alignment vertical="center"/>
    </xf>
    <xf numFmtId="3" fontId="5" fillId="0" borderId="7" xfId="50" applyNumberFormat="1" applyFont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3" fontId="13" fillId="0" borderId="6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3" fillId="0" borderId="15" xfId="42" applyFont="1" applyBorder="1" applyAlignment="1">
      <alignment horizontal="center" vertical="center"/>
    </xf>
    <xf numFmtId="0" fontId="3" fillId="0" borderId="62" xfId="42" applyFont="1" applyBorder="1" applyAlignment="1">
      <alignment horizontal="center" vertical="center"/>
    </xf>
    <xf numFmtId="0" fontId="3" fillId="0" borderId="16" xfId="42" applyFont="1" applyBorder="1" applyAlignment="1">
      <alignment horizontal="center" vertical="center"/>
    </xf>
    <xf numFmtId="0" fontId="3" fillId="0" borderId="17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0" fontId="3" fillId="0" borderId="51" xfId="42" applyFont="1" applyBorder="1" applyAlignment="1">
      <alignment horizontal="center" vertical="center"/>
    </xf>
    <xf numFmtId="0" fontId="3" fillId="0" borderId="60" xfId="42" applyFont="1" applyBorder="1" applyAlignment="1">
      <alignment horizontal="center" vertical="center"/>
    </xf>
    <xf numFmtId="0" fontId="5" fillId="0" borderId="37" xfId="50" applyFont="1" applyBorder="1" applyAlignment="1">
      <alignment horizontal="right" vertical="center" wrapText="1"/>
    </xf>
    <xf numFmtId="0" fontId="3" fillId="0" borderId="9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2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2" fillId="0" borderId="15" xfId="0" applyNumberFormat="1" applyFont="1" applyBorder="1" applyAlignment="1">
      <alignment horizontal="center" vertical="center" wrapText="1"/>
    </xf>
    <xf numFmtId="3" fontId="32" fillId="0" borderId="16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62" xfId="0" applyNumberFormat="1" applyFont="1" applyBorder="1" applyAlignment="1">
      <alignment horizontal="center" vertical="center" wrapText="1"/>
    </xf>
    <xf numFmtId="3" fontId="32" fillId="0" borderId="46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righ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right"/>
    </xf>
    <xf numFmtId="0" fontId="3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/>
    </xf>
    <xf numFmtId="49" fontId="31" fillId="0" borderId="57" xfId="0" applyNumberFormat="1" applyFont="1" applyBorder="1" applyAlignment="1">
      <alignment horizontal="center"/>
    </xf>
    <xf numFmtId="0" fontId="32" fillId="0" borderId="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49" fontId="32" fillId="0" borderId="3" xfId="0" applyNumberFormat="1" applyFont="1" applyBorder="1" applyAlignment="1">
      <alignment horizontal="left" vertical="center" wrapText="1"/>
    </xf>
    <xf numFmtId="49" fontId="32" fillId="0" borderId="8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31" fillId="0" borderId="3" xfId="0" applyFont="1" applyBorder="1" applyAlignment="1"/>
    <xf numFmtId="0" fontId="31" fillId="0" borderId="8" xfId="0" applyFont="1" applyBorder="1" applyAlignment="1"/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7" fillId="0" borderId="3" xfId="0" applyFont="1" applyFill="1" applyBorder="1" applyAlignment="1">
      <alignment horizontal="left" vertical="center" wrapText="1" indent="5"/>
    </xf>
    <xf numFmtId="0" fontId="7" fillId="0" borderId="8" xfId="0" applyFont="1" applyFill="1" applyBorder="1" applyAlignment="1">
      <alignment horizontal="left" vertical="center" wrapText="1" indent="5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right" vertical="center"/>
    </xf>
    <xf numFmtId="0" fontId="36" fillId="0" borderId="43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right"/>
    </xf>
    <xf numFmtId="0" fontId="38" fillId="0" borderId="3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0" fontId="32" fillId="0" borderId="37" xfId="0" applyFont="1" applyBorder="1" applyAlignment="1">
      <alignment horizontal="right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/>
    </xf>
    <xf numFmtId="3" fontId="23" fillId="0" borderId="13" xfId="0" applyNumberFormat="1" applyFont="1" applyFill="1" applyBorder="1" applyAlignment="1">
      <alignment horizontal="center" vertical="center"/>
    </xf>
    <xf numFmtId="3" fontId="23" fillId="0" borderId="43" xfId="0" applyNumberFormat="1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3" fillId="0" borderId="40" xfId="0" applyNumberFormat="1" applyFont="1" applyFill="1" applyBorder="1" applyAlignment="1">
      <alignment horizontal="center" vertical="center" wrapText="1"/>
    </xf>
    <xf numFmtId="3" fontId="23" fillId="0" borderId="33" xfId="0" applyNumberFormat="1" applyFont="1" applyFill="1" applyBorder="1" applyAlignment="1">
      <alignment horizontal="center" vertical="center" wrapText="1"/>
    </xf>
    <xf numFmtId="3" fontId="23" fillId="0" borderId="60" xfId="0" applyNumberFormat="1" applyFont="1" applyFill="1" applyBorder="1" applyAlignment="1">
      <alignment horizontal="center" vertical="center"/>
    </xf>
    <xf numFmtId="3" fontId="23" fillId="0" borderId="54" xfId="0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 applyProtection="1">
      <alignment horizontal="left" vertical="center" indent="1"/>
    </xf>
    <xf numFmtId="3" fontId="3" fillId="0" borderId="19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78" fillId="0" borderId="1" xfId="43" applyFont="1" applyBorder="1" applyAlignment="1">
      <alignment horizontal="center" vertical="center" wrapText="1"/>
    </xf>
    <xf numFmtId="0" fontId="38" fillId="0" borderId="37" xfId="0" applyFont="1" applyBorder="1" applyAlignment="1">
      <alignment horizontal="right"/>
    </xf>
    <xf numFmtId="0" fontId="78" fillId="0" borderId="15" xfId="43" applyFont="1" applyBorder="1" applyAlignment="1">
      <alignment vertical="center"/>
    </xf>
    <xf numFmtId="0" fontId="78" fillId="0" borderId="18" xfId="43" applyFont="1" applyBorder="1" applyAlignment="1">
      <alignment vertical="center"/>
    </xf>
    <xf numFmtId="0" fontId="81" fillId="0" borderId="16" xfId="43" applyFont="1" applyBorder="1" applyAlignment="1">
      <alignment horizontal="center" vertical="center" wrapText="1"/>
    </xf>
    <xf numFmtId="0" fontId="81" fillId="0" borderId="1" xfId="43" applyFont="1" applyBorder="1" applyAlignment="1">
      <alignment horizontal="center" vertical="center" wrapText="1"/>
    </xf>
    <xf numFmtId="0" fontId="81" fillId="0" borderId="16" xfId="43" applyFont="1" applyBorder="1" applyAlignment="1">
      <alignment horizontal="center" vertical="center"/>
    </xf>
    <xf numFmtId="0" fontId="82" fillId="0" borderId="16" xfId="0" applyFont="1" applyBorder="1" applyAlignment="1">
      <alignment horizontal="center" vertical="center"/>
    </xf>
    <xf numFmtId="0" fontId="81" fillId="31" borderId="16" xfId="43" applyFont="1" applyFill="1" applyBorder="1" applyAlignment="1">
      <alignment horizontal="center" vertical="center" wrapText="1"/>
    </xf>
    <xf numFmtId="0" fontId="81" fillId="31" borderId="1" xfId="43" applyFont="1" applyFill="1" applyBorder="1" applyAlignment="1">
      <alignment horizontal="center" vertical="center" wrapText="1"/>
    </xf>
    <xf numFmtId="0" fontId="81" fillId="31" borderId="17" xfId="43" applyFont="1" applyFill="1" applyBorder="1" applyAlignment="1">
      <alignment horizontal="center" vertical="center" wrapText="1"/>
    </xf>
    <xf numFmtId="0" fontId="81" fillId="31" borderId="19" xfId="43" applyFont="1" applyFill="1" applyBorder="1" applyAlignment="1">
      <alignment horizontal="center" vertical="center" wrapText="1"/>
    </xf>
    <xf numFmtId="0" fontId="78" fillId="0" borderId="1" xfId="44" applyFont="1" applyBorder="1" applyAlignment="1">
      <alignment horizontal="center" vertical="center" wrapText="1"/>
    </xf>
    <xf numFmtId="0" fontId="78" fillId="0" borderId="1" xfId="43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0" fontId="69" fillId="0" borderId="16" xfId="43" applyFont="1" applyBorder="1" applyAlignment="1">
      <alignment horizontal="center" vertical="center" wrapText="1"/>
    </xf>
    <xf numFmtId="0" fontId="71" fillId="0" borderId="1" xfId="43" applyFont="1" applyBorder="1" applyAlignment="1">
      <alignment horizontal="center" vertical="center" wrapText="1"/>
    </xf>
    <xf numFmtId="0" fontId="69" fillId="0" borderId="1" xfId="43" applyFont="1" applyBorder="1" applyAlignment="1">
      <alignment horizontal="center" vertical="center" wrapText="1"/>
    </xf>
    <xf numFmtId="0" fontId="69" fillId="0" borderId="16" xfId="43" applyFont="1" applyBorder="1" applyAlignment="1">
      <alignment horizontal="center" vertical="center"/>
    </xf>
    <xf numFmtId="0" fontId="69" fillId="31" borderId="16" xfId="43" applyFont="1" applyFill="1" applyBorder="1" applyAlignment="1">
      <alignment horizontal="center" vertical="center" wrapText="1"/>
    </xf>
    <xf numFmtId="0" fontId="69" fillId="31" borderId="1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/>
    </xf>
    <xf numFmtId="0" fontId="69" fillId="32" borderId="17" xfId="43" applyFont="1" applyFill="1" applyBorder="1" applyAlignment="1">
      <alignment horizontal="center" vertical="center" wrapText="1"/>
    </xf>
    <xf numFmtId="0" fontId="69" fillId="32" borderId="19" xfId="43" applyFont="1" applyFill="1" applyBorder="1" applyAlignment="1">
      <alignment horizontal="center" vertical="center" wrapText="1"/>
    </xf>
    <xf numFmtId="0" fontId="71" fillId="0" borderId="1" xfId="44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5" fillId="0" borderId="95" xfId="43" applyFont="1" applyBorder="1" applyAlignment="1">
      <alignment horizontal="center" vertical="center" wrapText="1"/>
    </xf>
    <xf numFmtId="0" fontId="75" fillId="0" borderId="26" xfId="43" applyFont="1" applyBorder="1" applyAlignment="1">
      <alignment horizontal="center" vertical="center" wrapText="1"/>
    </xf>
    <xf numFmtId="0" fontId="75" fillId="0" borderId="96" xfId="43" applyFont="1" applyBorder="1" applyAlignment="1">
      <alignment horizontal="center" vertical="center" wrapText="1"/>
    </xf>
    <xf numFmtId="0" fontId="76" fillId="0" borderId="1" xfId="43" applyFont="1" applyBorder="1" applyAlignment="1">
      <alignment horizontal="center" vertical="center" wrapText="1"/>
    </xf>
    <xf numFmtId="0" fontId="16" fillId="0" borderId="1" xfId="44" applyBorder="1" applyAlignment="1">
      <alignment horizontal="center" vertical="center" wrapText="1"/>
    </xf>
    <xf numFmtId="0" fontId="76" fillId="0" borderId="1" xfId="43" applyFont="1" applyBorder="1" applyAlignment="1">
      <alignment vertical="center" wrapText="1"/>
    </xf>
    <xf numFmtId="0" fontId="57" fillId="0" borderId="15" xfId="43" applyFont="1" applyBorder="1" applyAlignment="1">
      <alignment vertical="center"/>
    </xf>
    <xf numFmtId="0" fontId="57" fillId="0" borderId="18" xfId="43" applyBorder="1" applyAlignment="1">
      <alignment vertical="center"/>
    </xf>
    <xf numFmtId="0" fontId="75" fillId="0" borderId="16" xfId="43" applyFont="1" applyBorder="1" applyAlignment="1">
      <alignment horizontal="center" vertical="center" wrapText="1"/>
    </xf>
    <xf numFmtId="0" fontId="75" fillId="0" borderId="1" xfId="43" applyFont="1" applyBorder="1" applyAlignment="1">
      <alignment horizontal="center" vertical="center" wrapText="1"/>
    </xf>
    <xf numFmtId="0" fontId="75" fillId="0" borderId="16" xfId="43" applyFont="1" applyBorder="1" applyAlignment="1">
      <alignment horizontal="center" vertical="center"/>
    </xf>
    <xf numFmtId="0" fontId="76" fillId="0" borderId="1" xfId="44" applyFont="1" applyBorder="1" applyAlignment="1">
      <alignment horizontal="center" vertical="center" wrapText="1"/>
    </xf>
    <xf numFmtId="0" fontId="75" fillId="31" borderId="16" xfId="43" applyFont="1" applyFill="1" applyBorder="1" applyAlignment="1">
      <alignment horizontal="center" vertical="center" wrapText="1"/>
    </xf>
    <xf numFmtId="0" fontId="75" fillId="31" borderId="1" xfId="43" applyFont="1" applyFill="1" applyBorder="1" applyAlignment="1">
      <alignment horizontal="center" vertical="center" wrapText="1"/>
    </xf>
    <xf numFmtId="0" fontId="75" fillId="31" borderId="17" xfId="43" applyFont="1" applyFill="1" applyBorder="1" applyAlignment="1">
      <alignment horizontal="center" vertical="center" wrapText="1"/>
    </xf>
    <xf numFmtId="0" fontId="75" fillId="31" borderId="19" xfId="43" applyFont="1" applyFill="1" applyBorder="1" applyAlignment="1">
      <alignment horizontal="center" vertical="center" wrapText="1"/>
    </xf>
    <xf numFmtId="0" fontId="18" fillId="0" borderId="1" xfId="44" applyFont="1" applyBorder="1" applyAlignment="1">
      <alignment horizontal="center" vertical="center" wrapText="1"/>
    </xf>
    <xf numFmtId="0" fontId="57" fillId="0" borderId="18" xfId="43" applyFont="1" applyBorder="1" applyAlignment="1">
      <alignment vertical="center"/>
    </xf>
    <xf numFmtId="0" fontId="69" fillId="0" borderId="16" xfId="43" applyFont="1" applyFill="1" applyBorder="1" applyAlignment="1">
      <alignment horizontal="center" vertical="center" wrapText="1"/>
    </xf>
    <xf numFmtId="0" fontId="69" fillId="0" borderId="1" xfId="43" applyFont="1" applyFill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/>
    </xf>
    <xf numFmtId="0" fontId="69" fillId="0" borderId="17" xfId="43" applyFont="1" applyFill="1" applyBorder="1" applyAlignment="1">
      <alignment horizontal="center" vertical="center" wrapText="1"/>
    </xf>
    <xf numFmtId="0" fontId="69" fillId="0" borderId="19" xfId="43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1" xfId="43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left" vertical="center" wrapText="1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1" fillId="0" borderId="1" xfId="0" applyNumberFormat="1" applyFont="1" applyFill="1" applyBorder="1" applyAlignment="1">
      <alignment horizontal="center" vertical="center" wrapText="1"/>
    </xf>
    <xf numFmtId="165" fontId="32" fillId="0" borderId="2" xfId="0" applyNumberFormat="1" applyFont="1" applyFill="1" applyBorder="1" applyAlignment="1">
      <alignment horizontal="center" vertical="center" wrapText="1"/>
    </xf>
    <xf numFmtId="165" fontId="32" fillId="0" borderId="5" xfId="0" applyNumberFormat="1" applyFont="1" applyFill="1" applyBorder="1" applyAlignment="1">
      <alignment horizontal="center" vertical="center" wrapText="1"/>
    </xf>
    <xf numFmtId="165" fontId="31" fillId="0" borderId="13" xfId="0" applyNumberFormat="1" applyFont="1" applyFill="1" applyBorder="1" applyAlignment="1">
      <alignment horizontal="center" vertical="center" wrapText="1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9525</xdr:colOff>
      <xdr:row>21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/Documents/K&#214;LTS&#201;GVET&#201;S/K&#246;lts&#233;gvet&#233;s%202016/2016.&#233;vi%20m&#243;dos&#237;t&#225;s/2016.I.m&#243;d/2016%20I%20kv%20m&#243;dos&#237;t&#225;s_v&#233;gleg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rt."/>
      <sheetName val="1.mell. Mérleg"/>
      <sheetName val="2.mell. Mérleg"/>
      <sheetName val="3.mell. Bevétel"/>
      <sheetName val="3.a átvett pe."/>
      <sheetName val="3.b mell. Működési bevételek"/>
      <sheetName val="3.c. mell. Közhatalmi bevételek"/>
      <sheetName val="4.mell. Normatíva"/>
      <sheetName val="5. mell. Önk.össz kiadás"/>
      <sheetName val="5.a. mell. Jogalkotás"/>
      <sheetName val="5.b. mell. VF saját forrásból"/>
      <sheetName val="5.c. mell. VF Eu forrásból"/>
      <sheetName val="5.d. mell. Védőnő, EÜ"/>
      <sheetName val="5.e. mell. Szociális ellátások"/>
      <sheetName val="5.f. mell. Átadott pénzeszk."/>
      <sheetName val="5.g. mell. Egyéb tev."/>
      <sheetName val="6. mell. Int.összesen"/>
      <sheetName val="6.a. mell. PH"/>
      <sheetName val="6.b. mell. Óvoda"/>
      <sheetName val="6.c. mell. BBKP"/>
      <sheetName val="7.mell. Beruházás"/>
      <sheetName val="8.mell. Felújítás"/>
      <sheetName val="9.mell. Létszámok"/>
      <sheetName val="10. mell. Több éves kihat"/>
      <sheetName val="11.mell. Ei felhaszn."/>
      <sheetName val="12.a Tételes mód ÖNK"/>
      <sheetName val="12.b Tételes mód PH"/>
      <sheetName val="12.c Tételes mód. Óvoda "/>
      <sheetName val="12.d Tételes mód. BBK"/>
      <sheetName val="12.e Konszolidált módosítás"/>
      <sheetName val="Munka1"/>
    </sheetNames>
    <sheetDataSet>
      <sheetData sheetId="0"/>
      <sheetData sheetId="1"/>
      <sheetData sheetId="2"/>
      <sheetData sheetId="3">
        <row r="5">
          <cell r="E5">
            <v>121631</v>
          </cell>
        </row>
        <row r="6">
          <cell r="E6">
            <v>301826</v>
          </cell>
        </row>
        <row r="7">
          <cell r="E7">
            <v>166483</v>
          </cell>
        </row>
        <row r="8">
          <cell r="E8">
            <v>6424</v>
          </cell>
        </row>
        <row r="9">
          <cell r="E9">
            <v>2176</v>
          </cell>
        </row>
        <row r="10">
          <cell r="E10">
            <v>0</v>
          </cell>
        </row>
        <row r="13">
          <cell r="E13">
            <v>4777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14130</v>
          </cell>
        </row>
        <row r="17">
          <cell r="E17">
            <v>13100</v>
          </cell>
        </row>
        <row r="18">
          <cell r="E18">
            <v>0</v>
          </cell>
        </row>
        <row r="19">
          <cell r="E19">
            <v>1177</v>
          </cell>
        </row>
        <row r="20">
          <cell r="E20">
            <v>5179</v>
          </cell>
        </row>
        <row r="21">
          <cell r="E21">
            <v>0</v>
          </cell>
        </row>
        <row r="22">
          <cell r="E22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44">
          <cell r="E44">
            <v>19000</v>
          </cell>
        </row>
        <row r="45">
          <cell r="E45">
            <v>76900</v>
          </cell>
        </row>
        <row r="46">
          <cell r="E46">
            <v>51900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18000</v>
          </cell>
        </row>
        <row r="51">
          <cell r="E51">
            <v>2000</v>
          </cell>
        </row>
        <row r="53">
          <cell r="E53">
            <v>1700</v>
          </cell>
        </row>
        <row r="55">
          <cell r="E55">
            <v>0</v>
          </cell>
        </row>
        <row r="56">
          <cell r="E56">
            <v>2495</v>
          </cell>
        </row>
        <row r="57">
          <cell r="E57">
            <v>2800</v>
          </cell>
        </row>
        <row r="58">
          <cell r="E58">
            <v>17343</v>
          </cell>
        </row>
        <row r="59">
          <cell r="E59">
            <v>0</v>
          </cell>
        </row>
        <row r="60">
          <cell r="E60">
            <v>5631</v>
          </cell>
        </row>
        <row r="61">
          <cell r="E61">
            <v>4846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7">
          <cell r="E67">
            <v>15000</v>
          </cell>
        </row>
        <row r="68">
          <cell r="E68">
            <v>42</v>
          </cell>
        </row>
        <row r="76">
          <cell r="E76">
            <v>55952</v>
          </cell>
        </row>
        <row r="77">
          <cell r="E77">
            <v>355806</v>
          </cell>
        </row>
      </sheetData>
      <sheetData sheetId="4"/>
      <sheetData sheetId="5">
        <row r="3">
          <cell r="D3">
            <v>1495300</v>
          </cell>
        </row>
        <row r="4">
          <cell r="D4">
            <v>1000000</v>
          </cell>
        </row>
        <row r="5">
          <cell r="D5">
            <v>15150000</v>
          </cell>
        </row>
        <row r="6">
          <cell r="D6">
            <v>4847000</v>
          </cell>
        </row>
        <row r="7">
          <cell r="D7">
            <v>2800000</v>
          </cell>
        </row>
        <row r="8">
          <cell r="D8">
            <v>0</v>
          </cell>
        </row>
        <row r="9">
          <cell r="D9">
            <v>2192000</v>
          </cell>
        </row>
        <row r="10">
          <cell r="D10">
            <v>5631000</v>
          </cell>
        </row>
        <row r="11">
          <cell r="D11">
            <v>388750</v>
          </cell>
        </row>
        <row r="12">
          <cell r="D12">
            <v>52800</v>
          </cell>
        </row>
        <row r="13">
          <cell r="D13">
            <v>40000</v>
          </cell>
        </row>
        <row r="14">
          <cell r="D14">
            <v>123200</v>
          </cell>
        </row>
        <row r="15">
          <cell r="D15">
            <v>100000</v>
          </cell>
        </row>
        <row r="16">
          <cell r="D16">
            <v>1000000</v>
          </cell>
        </row>
        <row r="17">
          <cell r="D17">
            <v>162780</v>
          </cell>
        </row>
        <row r="18">
          <cell r="D18">
            <v>765178</v>
          </cell>
        </row>
        <row r="19">
          <cell r="D19">
            <v>156456</v>
          </cell>
        </row>
        <row r="20">
          <cell r="D20">
            <v>40000</v>
          </cell>
        </row>
        <row r="21">
          <cell r="D21">
            <v>348800</v>
          </cell>
        </row>
        <row r="22">
          <cell r="D22">
            <v>338000</v>
          </cell>
        </row>
      </sheetData>
      <sheetData sheetId="6"/>
      <sheetData sheetId="7">
        <row r="43">
          <cell r="D43">
            <v>974143</v>
          </cell>
          <cell r="G43">
            <v>1615186</v>
          </cell>
        </row>
      </sheetData>
      <sheetData sheetId="8"/>
      <sheetData sheetId="9">
        <row r="11">
          <cell r="F11">
            <v>10</v>
          </cell>
        </row>
        <row r="12">
          <cell r="F12">
            <v>240</v>
          </cell>
        </row>
        <row r="13">
          <cell r="F13">
            <v>0</v>
          </cell>
        </row>
        <row r="15">
          <cell r="F15">
            <v>2688</v>
          </cell>
        </row>
        <row r="16">
          <cell r="F16">
            <v>600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118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2062</v>
          </cell>
        </row>
        <row r="24">
          <cell r="F24">
            <v>4678</v>
          </cell>
        </row>
        <row r="26">
          <cell r="F26">
            <v>1350</v>
          </cell>
        </row>
        <row r="29">
          <cell r="F29">
            <v>927</v>
          </cell>
        </row>
        <row r="33">
          <cell r="F33">
            <v>11115</v>
          </cell>
        </row>
      </sheetData>
      <sheetData sheetId="10">
        <row r="46">
          <cell r="I46">
            <v>750</v>
          </cell>
          <cell r="L46">
            <v>1000</v>
          </cell>
          <cell r="R46">
            <v>1700</v>
          </cell>
          <cell r="U46">
            <v>8995</v>
          </cell>
          <cell r="X46">
            <v>1180</v>
          </cell>
          <cell r="AA46">
            <v>24994</v>
          </cell>
          <cell r="AD46">
            <v>0</v>
          </cell>
        </row>
        <row r="47">
          <cell r="I47">
            <v>15979</v>
          </cell>
          <cell r="L47">
            <v>0</v>
          </cell>
          <cell r="R47">
            <v>355</v>
          </cell>
          <cell r="U47">
            <v>4724</v>
          </cell>
          <cell r="X47">
            <v>0</v>
          </cell>
          <cell r="AA47">
            <v>220</v>
          </cell>
          <cell r="AD47">
            <v>0</v>
          </cell>
        </row>
        <row r="48">
          <cell r="I48">
            <v>0</v>
          </cell>
          <cell r="L48">
            <v>388</v>
          </cell>
          <cell r="R48">
            <v>0</v>
          </cell>
          <cell r="U48">
            <v>0</v>
          </cell>
          <cell r="X48">
            <v>0</v>
          </cell>
          <cell r="AA48">
            <v>0</v>
          </cell>
          <cell r="AD48">
            <v>0</v>
          </cell>
        </row>
        <row r="49">
          <cell r="I49">
            <v>0</v>
          </cell>
          <cell r="L49">
            <v>0</v>
          </cell>
          <cell r="R49">
            <v>0</v>
          </cell>
          <cell r="U49">
            <v>2585</v>
          </cell>
          <cell r="X49">
            <v>0</v>
          </cell>
          <cell r="AA49">
            <v>0</v>
          </cell>
          <cell r="AD49">
            <v>453</v>
          </cell>
        </row>
        <row r="50">
          <cell r="I50">
            <v>0</v>
          </cell>
          <cell r="L50">
            <v>0</v>
          </cell>
          <cell r="R50">
            <v>0</v>
          </cell>
          <cell r="U50">
            <v>0</v>
          </cell>
          <cell r="X50">
            <v>0</v>
          </cell>
          <cell r="AA50">
            <v>0</v>
          </cell>
          <cell r="AD50">
            <v>0</v>
          </cell>
        </row>
        <row r="51">
          <cell r="I51">
            <v>0</v>
          </cell>
          <cell r="L51">
            <v>0</v>
          </cell>
          <cell r="R51">
            <v>0</v>
          </cell>
          <cell r="U51">
            <v>0</v>
          </cell>
          <cell r="X51">
            <v>0</v>
          </cell>
          <cell r="AA51">
            <v>0</v>
          </cell>
          <cell r="AD51">
            <v>0</v>
          </cell>
        </row>
        <row r="52">
          <cell r="I52">
            <v>441</v>
          </cell>
          <cell r="L52">
            <v>375</v>
          </cell>
          <cell r="R52">
            <v>540</v>
          </cell>
          <cell r="U52">
            <v>4362</v>
          </cell>
          <cell r="X52">
            <v>319</v>
          </cell>
          <cell r="AA52">
            <v>6807</v>
          </cell>
          <cell r="AD52">
            <v>122</v>
          </cell>
        </row>
        <row r="55">
          <cell r="I55">
            <v>193</v>
          </cell>
          <cell r="L55">
            <v>0</v>
          </cell>
          <cell r="O55">
            <v>4266</v>
          </cell>
          <cell r="U55">
            <v>0</v>
          </cell>
          <cell r="X55">
            <v>0</v>
          </cell>
          <cell r="AA55">
            <v>0</v>
          </cell>
        </row>
        <row r="56">
          <cell r="I56">
            <v>0</v>
          </cell>
          <cell r="L56">
            <v>0</v>
          </cell>
          <cell r="O56">
            <v>0</v>
          </cell>
          <cell r="U56">
            <v>0</v>
          </cell>
          <cell r="X56">
            <v>0</v>
          </cell>
          <cell r="AA56">
            <v>0</v>
          </cell>
        </row>
        <row r="57">
          <cell r="I57">
            <v>0</v>
          </cell>
          <cell r="L57">
            <v>0</v>
          </cell>
          <cell r="O57">
            <v>0</v>
          </cell>
          <cell r="U57">
            <v>0</v>
          </cell>
          <cell r="X57">
            <v>0</v>
          </cell>
          <cell r="AA57">
            <v>0</v>
          </cell>
        </row>
        <row r="58">
          <cell r="I58">
            <v>52</v>
          </cell>
          <cell r="L58">
            <v>0</v>
          </cell>
          <cell r="O58">
            <v>1152</v>
          </cell>
          <cell r="U58">
            <v>0</v>
          </cell>
          <cell r="X58">
            <v>0</v>
          </cell>
          <cell r="AA58">
            <v>0</v>
          </cell>
        </row>
      </sheetData>
      <sheetData sheetId="11"/>
      <sheetData sheetId="12">
        <row r="5">
          <cell r="L5">
            <v>1224</v>
          </cell>
        </row>
        <row r="6">
          <cell r="L6">
            <v>1204</v>
          </cell>
        </row>
      </sheetData>
      <sheetData sheetId="13">
        <row r="6">
          <cell r="E6">
            <v>20520</v>
          </cell>
        </row>
      </sheetData>
      <sheetData sheetId="14">
        <row r="4">
          <cell r="H4">
            <v>3200</v>
          </cell>
        </row>
        <row r="8">
          <cell r="E8">
            <v>346</v>
          </cell>
        </row>
        <row r="9">
          <cell r="E9">
            <v>1996</v>
          </cell>
        </row>
        <row r="10">
          <cell r="E10">
            <v>2286</v>
          </cell>
        </row>
        <row r="11">
          <cell r="E11">
            <v>3020</v>
          </cell>
        </row>
        <row r="12">
          <cell r="E12">
            <v>963</v>
          </cell>
        </row>
        <row r="13">
          <cell r="E13">
            <v>695</v>
          </cell>
        </row>
        <row r="14">
          <cell r="E14">
            <v>11137</v>
          </cell>
        </row>
        <row r="16">
          <cell r="E16">
            <v>155601</v>
          </cell>
        </row>
        <row r="17">
          <cell r="E17">
            <v>3886</v>
          </cell>
        </row>
        <row r="18">
          <cell r="E18">
            <v>15000</v>
          </cell>
        </row>
        <row r="19">
          <cell r="E19">
            <v>9900</v>
          </cell>
        </row>
        <row r="20">
          <cell r="E20">
            <v>996</v>
          </cell>
        </row>
        <row r="21">
          <cell r="E21">
            <v>20358</v>
          </cell>
        </row>
        <row r="22">
          <cell r="E22">
            <v>1145</v>
          </cell>
        </row>
        <row r="23">
          <cell r="E23">
            <v>2500</v>
          </cell>
        </row>
        <row r="24">
          <cell r="E24">
            <v>1743</v>
          </cell>
        </row>
        <row r="25">
          <cell r="E25">
            <v>8940</v>
          </cell>
        </row>
        <row r="27">
          <cell r="H27">
            <v>6825</v>
          </cell>
        </row>
        <row r="28">
          <cell r="H28">
            <v>2583</v>
          </cell>
        </row>
        <row r="30">
          <cell r="K30">
            <v>4834</v>
          </cell>
        </row>
        <row r="31">
          <cell r="K31">
            <v>2139</v>
          </cell>
        </row>
        <row r="45">
          <cell r="K45">
            <v>3644</v>
          </cell>
        </row>
      </sheetData>
      <sheetData sheetId="15">
        <row r="6">
          <cell r="X6">
            <v>11150</v>
          </cell>
        </row>
        <row r="13">
          <cell r="I13">
            <v>790</v>
          </cell>
        </row>
        <row r="20">
          <cell r="L20">
            <v>27188</v>
          </cell>
          <cell r="O20">
            <v>12397</v>
          </cell>
          <cell r="AD20">
            <v>101</v>
          </cell>
        </row>
        <row r="21">
          <cell r="I21">
            <v>610</v>
          </cell>
        </row>
        <row r="22">
          <cell r="I22">
            <v>429</v>
          </cell>
          <cell r="R22">
            <v>992</v>
          </cell>
        </row>
        <row r="23">
          <cell r="I23">
            <v>2800</v>
          </cell>
        </row>
        <row r="25">
          <cell r="I25">
            <v>4880</v>
          </cell>
          <cell r="U25">
            <v>75</v>
          </cell>
          <cell r="AA25">
            <v>4574</v>
          </cell>
        </row>
        <row r="30">
          <cell r="I30">
            <v>1546</v>
          </cell>
          <cell r="L30">
            <v>7341</v>
          </cell>
          <cell r="O30">
            <v>3348</v>
          </cell>
          <cell r="R30">
            <v>268</v>
          </cell>
          <cell r="U30">
            <v>236</v>
          </cell>
        </row>
        <row r="31">
          <cell r="I31">
            <v>1299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3810</v>
          </cell>
          <cell r="X34">
            <v>34</v>
          </cell>
        </row>
        <row r="58">
          <cell r="AD58">
            <v>5347</v>
          </cell>
        </row>
        <row r="64">
          <cell r="AD64">
            <v>9084</v>
          </cell>
        </row>
        <row r="65">
          <cell r="AD65">
            <v>14526</v>
          </cell>
        </row>
        <row r="66">
          <cell r="AD66">
            <v>79749</v>
          </cell>
        </row>
        <row r="67">
          <cell r="AD67">
            <v>156331</v>
          </cell>
        </row>
        <row r="68">
          <cell r="AD68">
            <v>18000</v>
          </cell>
        </row>
        <row r="69">
          <cell r="AD69">
            <v>17984</v>
          </cell>
        </row>
        <row r="70">
          <cell r="AD70">
            <v>53992</v>
          </cell>
        </row>
        <row r="100">
          <cell r="AD100">
            <v>19584</v>
          </cell>
        </row>
        <row r="101">
          <cell r="AD101">
            <v>380710</v>
          </cell>
        </row>
      </sheetData>
      <sheetData sheetId="16">
        <row r="29">
          <cell r="I29">
            <v>442</v>
          </cell>
          <cell r="L29">
            <v>123</v>
          </cell>
          <cell r="O29">
            <v>1706</v>
          </cell>
        </row>
        <row r="30">
          <cell r="I30">
            <v>40</v>
          </cell>
          <cell r="O30">
            <v>40</v>
          </cell>
        </row>
        <row r="31">
          <cell r="O31">
            <v>478</v>
          </cell>
        </row>
        <row r="32">
          <cell r="O32">
            <v>349</v>
          </cell>
        </row>
        <row r="33">
          <cell r="O33">
            <v>338</v>
          </cell>
        </row>
        <row r="44">
          <cell r="I44">
            <v>492</v>
          </cell>
          <cell r="L44">
            <v>58</v>
          </cell>
          <cell r="O44">
            <v>338</v>
          </cell>
        </row>
        <row r="47">
          <cell r="I47">
            <v>154296</v>
          </cell>
          <cell r="L47">
            <v>172511</v>
          </cell>
          <cell r="O47">
            <v>53903</v>
          </cell>
        </row>
      </sheetData>
      <sheetData sheetId="17">
        <row r="5">
          <cell r="F5">
            <v>81994</v>
          </cell>
        </row>
        <row r="6">
          <cell r="F6">
            <v>141</v>
          </cell>
        </row>
        <row r="7">
          <cell r="F7">
            <v>5776</v>
          </cell>
        </row>
        <row r="8">
          <cell r="F8">
            <v>976</v>
          </cell>
        </row>
        <row r="9">
          <cell r="F9">
            <v>0</v>
          </cell>
        </row>
        <row r="10">
          <cell r="F10">
            <v>1851</v>
          </cell>
        </row>
        <row r="11">
          <cell r="F11">
            <v>3893</v>
          </cell>
        </row>
        <row r="12">
          <cell r="F12">
            <v>0</v>
          </cell>
        </row>
        <row r="13">
          <cell r="F13">
            <v>2836</v>
          </cell>
        </row>
        <row r="14">
          <cell r="F14">
            <v>153</v>
          </cell>
        </row>
        <row r="15">
          <cell r="F15">
            <v>0</v>
          </cell>
        </row>
        <row r="16">
          <cell r="F16">
            <v>200</v>
          </cell>
        </row>
        <row r="17">
          <cell r="F17">
            <v>1013</v>
          </cell>
        </row>
        <row r="18">
          <cell r="F18">
            <v>0</v>
          </cell>
        </row>
        <row r="21">
          <cell r="F21">
            <v>700</v>
          </cell>
        </row>
        <row r="22">
          <cell r="F22">
            <v>77</v>
          </cell>
        </row>
        <row r="27">
          <cell r="F27">
            <v>24962</v>
          </cell>
        </row>
        <row r="28">
          <cell r="F28">
            <v>1929</v>
          </cell>
        </row>
        <row r="29">
          <cell r="F29">
            <v>722</v>
          </cell>
        </row>
        <row r="30">
          <cell r="F30">
            <v>0</v>
          </cell>
        </row>
        <row r="31">
          <cell r="F31">
            <v>737</v>
          </cell>
        </row>
        <row r="33">
          <cell r="F33">
            <v>232</v>
          </cell>
        </row>
        <row r="34">
          <cell r="F34">
            <v>1708</v>
          </cell>
        </row>
        <row r="35">
          <cell r="F35">
            <v>0</v>
          </cell>
        </row>
        <row r="37">
          <cell r="F37">
            <v>1250</v>
          </cell>
        </row>
        <row r="38">
          <cell r="F38">
            <v>1250</v>
          </cell>
        </row>
        <row r="42">
          <cell r="F42">
            <v>132</v>
          </cell>
        </row>
        <row r="43">
          <cell r="F43">
            <v>1710</v>
          </cell>
        </row>
        <row r="44">
          <cell r="F44">
            <v>40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1158</v>
          </cell>
        </row>
        <row r="48">
          <cell r="F48">
            <v>5300</v>
          </cell>
        </row>
        <row r="50">
          <cell r="F50">
            <v>350</v>
          </cell>
        </row>
        <row r="53">
          <cell r="F53">
            <v>1736</v>
          </cell>
        </row>
        <row r="57">
          <cell r="F57">
            <v>100</v>
          </cell>
        </row>
        <row r="61">
          <cell r="F61">
            <v>499</v>
          </cell>
        </row>
        <row r="62">
          <cell r="F62">
            <v>499</v>
          </cell>
        </row>
        <row r="64">
          <cell r="F64">
            <v>8646</v>
          </cell>
        </row>
        <row r="71">
          <cell r="F71">
            <v>2519</v>
          </cell>
        </row>
        <row r="74">
          <cell r="F74">
            <v>680</v>
          </cell>
        </row>
      </sheetData>
      <sheetData sheetId="18">
        <row r="5">
          <cell r="I5">
            <v>96248</v>
          </cell>
        </row>
        <row r="17">
          <cell r="I17">
            <v>1154</v>
          </cell>
        </row>
        <row r="21">
          <cell r="O21">
            <v>1795</v>
          </cell>
        </row>
        <row r="22">
          <cell r="I22">
            <v>10</v>
          </cell>
        </row>
        <row r="27">
          <cell r="I27">
            <v>27889</v>
          </cell>
        </row>
        <row r="28">
          <cell r="I28">
            <v>965</v>
          </cell>
        </row>
        <row r="29">
          <cell r="I29">
            <v>350</v>
          </cell>
        </row>
        <row r="30">
          <cell r="I30">
            <v>169</v>
          </cell>
        </row>
        <row r="31">
          <cell r="I31">
            <v>375</v>
          </cell>
        </row>
        <row r="33">
          <cell r="I33">
            <v>750</v>
          </cell>
        </row>
        <row r="34">
          <cell r="I34">
            <v>1200</v>
          </cell>
          <cell r="L34">
            <v>7</v>
          </cell>
        </row>
        <row r="37">
          <cell r="L37">
            <v>0</v>
          </cell>
        </row>
        <row r="38">
          <cell r="L38">
            <v>250</v>
          </cell>
        </row>
        <row r="47">
          <cell r="I47">
            <v>200</v>
          </cell>
          <cell r="O47">
            <v>200</v>
          </cell>
        </row>
        <row r="48">
          <cell r="I48">
            <v>410</v>
          </cell>
        </row>
        <row r="53">
          <cell r="I53">
            <v>433</v>
          </cell>
          <cell r="L53">
            <v>102</v>
          </cell>
        </row>
        <row r="61">
          <cell r="I61">
            <v>58</v>
          </cell>
          <cell r="L61">
            <v>37</v>
          </cell>
        </row>
        <row r="62">
          <cell r="I62">
            <v>58</v>
          </cell>
          <cell r="L62">
            <v>37</v>
          </cell>
        </row>
        <row r="63">
          <cell r="L63">
            <v>11152</v>
          </cell>
        </row>
        <row r="64">
          <cell r="L64">
            <v>11152</v>
          </cell>
        </row>
        <row r="72">
          <cell r="I72">
            <v>13</v>
          </cell>
        </row>
        <row r="75">
          <cell r="I75">
            <v>4</v>
          </cell>
        </row>
      </sheetData>
      <sheetData sheetId="19">
        <row r="5">
          <cell r="O5">
            <v>1732</v>
          </cell>
          <cell r="R5">
            <v>1502</v>
          </cell>
        </row>
        <row r="17">
          <cell r="L17">
            <v>17</v>
          </cell>
          <cell r="O17">
            <v>5</v>
          </cell>
          <cell r="R17">
            <v>9</v>
          </cell>
        </row>
        <row r="22">
          <cell r="I22">
            <v>18</v>
          </cell>
          <cell r="L22">
            <v>2</v>
          </cell>
        </row>
        <row r="27">
          <cell r="L27">
            <v>1037</v>
          </cell>
        </row>
        <row r="34">
          <cell r="L34">
            <v>13</v>
          </cell>
        </row>
        <row r="35">
          <cell r="I35">
            <v>1279</v>
          </cell>
          <cell r="L35">
            <v>300</v>
          </cell>
          <cell r="R35">
            <v>78</v>
          </cell>
        </row>
        <row r="42">
          <cell r="I42">
            <v>157</v>
          </cell>
        </row>
        <row r="44">
          <cell r="R44">
            <v>164</v>
          </cell>
        </row>
        <row r="45">
          <cell r="I45">
            <v>40</v>
          </cell>
        </row>
        <row r="47">
          <cell r="I47">
            <v>40</v>
          </cell>
        </row>
        <row r="49">
          <cell r="I49">
            <v>3160</v>
          </cell>
          <cell r="L49">
            <v>351</v>
          </cell>
          <cell r="R49">
            <v>156</v>
          </cell>
        </row>
        <row r="51">
          <cell r="L51">
            <v>11</v>
          </cell>
        </row>
        <row r="54">
          <cell r="I54">
            <v>1296</v>
          </cell>
          <cell r="L54">
            <v>183</v>
          </cell>
          <cell r="R54">
            <v>166</v>
          </cell>
        </row>
        <row r="55">
          <cell r="I55">
            <v>456</v>
          </cell>
        </row>
        <row r="62">
          <cell r="I62">
            <v>584</v>
          </cell>
        </row>
        <row r="63">
          <cell r="I63">
            <v>584</v>
          </cell>
        </row>
        <row r="64">
          <cell r="I64">
            <v>12260</v>
          </cell>
        </row>
        <row r="65">
          <cell r="I65">
            <v>12260</v>
          </cell>
        </row>
        <row r="73">
          <cell r="I73">
            <v>1653</v>
          </cell>
          <cell r="L73">
            <v>866</v>
          </cell>
        </row>
        <row r="74">
          <cell r="L74">
            <v>0</v>
          </cell>
        </row>
        <row r="75">
          <cell r="L75">
            <v>0</v>
          </cell>
        </row>
        <row r="76">
          <cell r="I76">
            <v>447</v>
          </cell>
          <cell r="L76">
            <v>234</v>
          </cell>
        </row>
      </sheetData>
      <sheetData sheetId="20">
        <row r="12">
          <cell r="E12">
            <v>320</v>
          </cell>
        </row>
        <row r="13">
          <cell r="E13">
            <v>953</v>
          </cell>
        </row>
        <row r="14">
          <cell r="E14">
            <v>1270</v>
          </cell>
        </row>
        <row r="15">
          <cell r="E15">
            <v>2159</v>
          </cell>
        </row>
        <row r="16">
          <cell r="E16">
            <v>1499</v>
          </cell>
        </row>
        <row r="17">
          <cell r="E17">
            <v>1499</v>
          </cell>
        </row>
        <row r="18">
          <cell r="E18">
            <v>3175</v>
          </cell>
        </row>
        <row r="19">
          <cell r="E19">
            <v>6750</v>
          </cell>
        </row>
        <row r="20">
          <cell r="E20">
            <v>31742</v>
          </cell>
        </row>
        <row r="21">
          <cell r="E21">
            <v>152</v>
          </cell>
        </row>
        <row r="22">
          <cell r="E22">
            <v>381</v>
          </cell>
        </row>
        <row r="23">
          <cell r="E23">
            <v>15000</v>
          </cell>
        </row>
        <row r="24">
          <cell r="E24">
            <v>665</v>
          </cell>
        </row>
        <row r="25">
          <cell r="E25">
            <v>100</v>
          </cell>
        </row>
        <row r="26">
          <cell r="E26">
            <v>1346</v>
          </cell>
        </row>
        <row r="27">
          <cell r="E27">
            <v>53</v>
          </cell>
        </row>
        <row r="28">
          <cell r="E28">
            <v>279</v>
          </cell>
        </row>
        <row r="29">
          <cell r="E29">
            <v>300</v>
          </cell>
        </row>
        <row r="30">
          <cell r="E30">
            <v>1600</v>
          </cell>
        </row>
        <row r="31">
          <cell r="E31">
            <v>3000</v>
          </cell>
        </row>
        <row r="32">
          <cell r="E32">
            <v>55</v>
          </cell>
        </row>
        <row r="33">
          <cell r="E33">
            <v>493</v>
          </cell>
        </row>
        <row r="34">
          <cell r="E34">
            <v>953</v>
          </cell>
        </row>
        <row r="35">
          <cell r="E35">
            <v>150</v>
          </cell>
        </row>
        <row r="36">
          <cell r="E36">
            <v>10</v>
          </cell>
        </row>
        <row r="37">
          <cell r="E37">
            <v>494</v>
          </cell>
        </row>
        <row r="38">
          <cell r="E38">
            <v>565</v>
          </cell>
        </row>
        <row r="39">
          <cell r="E39">
            <v>1632</v>
          </cell>
        </row>
        <row r="40">
          <cell r="E40">
            <v>14</v>
          </cell>
        </row>
        <row r="51">
          <cell r="E51">
            <v>3200</v>
          </cell>
        </row>
        <row r="53">
          <cell r="E53">
            <v>17</v>
          </cell>
        </row>
        <row r="55">
          <cell r="E55">
            <v>466</v>
          </cell>
        </row>
        <row r="56">
          <cell r="E56">
            <v>2733</v>
          </cell>
        </row>
      </sheetData>
      <sheetData sheetId="21">
        <row r="13">
          <cell r="E13">
            <v>5418</v>
          </cell>
        </row>
        <row r="14">
          <cell r="E14">
            <v>245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B24" sqref="B24:C24"/>
    </sheetView>
  </sheetViews>
  <sheetFormatPr defaultRowHeight="14.4"/>
  <cols>
    <col min="1" max="1" width="14.5546875" customWidth="1"/>
    <col min="2" max="2" width="82" customWidth="1"/>
    <col min="3" max="3" width="47.6640625" customWidth="1"/>
  </cols>
  <sheetData>
    <row r="1" spans="1:2" ht="33.75" customHeight="1">
      <c r="A1" s="947" t="s">
        <v>734</v>
      </c>
      <c r="B1" s="947"/>
    </row>
    <row r="2" spans="1:2">
      <c r="A2" s="462"/>
      <c r="B2" s="616"/>
    </row>
    <row r="3" spans="1:2">
      <c r="A3" s="617" t="s">
        <v>632</v>
      </c>
      <c r="B3" s="618" t="s">
        <v>676</v>
      </c>
    </row>
    <row r="4" spans="1:2">
      <c r="A4" s="617" t="s">
        <v>633</v>
      </c>
      <c r="B4" s="618" t="s">
        <v>677</v>
      </c>
    </row>
    <row r="5" spans="1:2">
      <c r="A5" s="617" t="s">
        <v>634</v>
      </c>
      <c r="B5" s="618" t="s">
        <v>659</v>
      </c>
    </row>
    <row r="6" spans="1:2">
      <c r="A6" s="617" t="s">
        <v>656</v>
      </c>
      <c r="B6" s="618" t="s">
        <v>675</v>
      </c>
    </row>
    <row r="7" spans="1:2">
      <c r="A7" s="617" t="s">
        <v>657</v>
      </c>
      <c r="B7" s="618" t="s">
        <v>660</v>
      </c>
    </row>
    <row r="8" spans="1:2">
      <c r="A8" s="617" t="s">
        <v>658</v>
      </c>
      <c r="B8" s="618" t="s">
        <v>661</v>
      </c>
    </row>
    <row r="9" spans="1:2">
      <c r="A9" s="617" t="s">
        <v>635</v>
      </c>
      <c r="B9" s="618" t="s">
        <v>662</v>
      </c>
    </row>
    <row r="10" spans="1:2">
      <c r="A10" s="617" t="s">
        <v>636</v>
      </c>
      <c r="B10" s="618" t="s">
        <v>663</v>
      </c>
    </row>
    <row r="11" spans="1:2" ht="26.4">
      <c r="A11" s="617" t="s">
        <v>637</v>
      </c>
      <c r="B11" s="618" t="s">
        <v>664</v>
      </c>
    </row>
    <row r="12" spans="1:2" ht="26.4">
      <c r="A12" s="617" t="s">
        <v>638</v>
      </c>
      <c r="B12" s="618" t="s">
        <v>669</v>
      </c>
    </row>
    <row r="13" spans="1:2" ht="26.4">
      <c r="A13" s="617" t="s">
        <v>639</v>
      </c>
      <c r="B13" s="618" t="s">
        <v>668</v>
      </c>
    </row>
    <row r="14" spans="1:2">
      <c r="A14" s="617" t="s">
        <v>640</v>
      </c>
      <c r="B14" s="618" t="s">
        <v>667</v>
      </c>
    </row>
    <row r="15" spans="1:2">
      <c r="A15" s="617" t="s">
        <v>641</v>
      </c>
      <c r="B15" s="618" t="s">
        <v>665</v>
      </c>
    </row>
    <row r="16" spans="1:2">
      <c r="A16" s="617" t="s">
        <v>642</v>
      </c>
      <c r="B16" s="618" t="s">
        <v>666</v>
      </c>
    </row>
    <row r="17" spans="1:5">
      <c r="A17" s="617" t="s">
        <v>643</v>
      </c>
      <c r="B17" s="618" t="s">
        <v>674</v>
      </c>
    </row>
    <row r="18" spans="1:5">
      <c r="A18" s="617" t="s">
        <v>644</v>
      </c>
      <c r="B18" s="618" t="s">
        <v>645</v>
      </c>
    </row>
    <row r="19" spans="1:5">
      <c r="A19" s="617" t="s">
        <v>646</v>
      </c>
      <c r="B19" s="618" t="s">
        <v>670</v>
      </c>
    </row>
    <row r="20" spans="1:5">
      <c r="A20" s="617" t="s">
        <v>647</v>
      </c>
      <c r="B20" s="618" t="s">
        <v>671</v>
      </c>
    </row>
    <row r="21" spans="1:5">
      <c r="A21" s="617" t="s">
        <v>648</v>
      </c>
      <c r="B21" s="618" t="s">
        <v>672</v>
      </c>
    </row>
    <row r="22" spans="1:5">
      <c r="A22" s="617" t="s">
        <v>649</v>
      </c>
      <c r="B22" s="618" t="s">
        <v>650</v>
      </c>
    </row>
    <row r="23" spans="1:5">
      <c r="A23" s="617" t="s">
        <v>651</v>
      </c>
      <c r="B23" s="618" t="s">
        <v>652</v>
      </c>
    </row>
    <row r="24" spans="1:5" ht="17.25" customHeight="1">
      <c r="A24" s="617" t="s">
        <v>653</v>
      </c>
      <c r="B24" s="618" t="s">
        <v>631</v>
      </c>
    </row>
    <row r="25" spans="1:5" ht="17.25" customHeight="1">
      <c r="A25" s="617" t="s">
        <v>654</v>
      </c>
      <c r="B25" s="618" t="s">
        <v>490</v>
      </c>
    </row>
    <row r="26" spans="1:5">
      <c r="A26" s="617" t="s">
        <v>655</v>
      </c>
      <c r="B26" s="618" t="s">
        <v>673</v>
      </c>
    </row>
    <row r="27" spans="1:5">
      <c r="A27" s="78" t="s">
        <v>735</v>
      </c>
      <c r="B27" s="78" t="s">
        <v>736</v>
      </c>
    </row>
    <row r="28" spans="1:5">
      <c r="A28" s="78" t="s">
        <v>737</v>
      </c>
      <c r="B28" s="78" t="s">
        <v>738</v>
      </c>
      <c r="C28" s="618"/>
      <c r="D28" s="618"/>
      <c r="E28" s="618"/>
    </row>
    <row r="29" spans="1:5">
      <c r="A29" s="78" t="s">
        <v>739</v>
      </c>
      <c r="B29" s="78" t="s">
        <v>740</v>
      </c>
    </row>
    <row r="30" spans="1:5">
      <c r="A30" s="78" t="s">
        <v>741</v>
      </c>
      <c r="B30" s="78" t="s">
        <v>742</v>
      </c>
    </row>
    <row r="31" spans="1:5">
      <c r="A31" s="78" t="s">
        <v>743</v>
      </c>
      <c r="B31" s="78" t="s">
        <v>744</v>
      </c>
    </row>
  </sheetData>
  <mergeCells count="1">
    <mergeCell ref="A1:B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workbookViewId="0">
      <selection activeCell="E27" sqref="E27"/>
    </sheetView>
  </sheetViews>
  <sheetFormatPr defaultColWidth="9.109375" defaultRowHeight="14.4"/>
  <cols>
    <col min="1" max="1" width="13" style="881" customWidth="1"/>
    <col min="2" max="3" width="13" style="882" customWidth="1"/>
    <col min="4" max="4" width="11" style="41" customWidth="1"/>
    <col min="5" max="5" width="11" style="755" customWidth="1"/>
    <col min="6" max="6" width="11" style="41" customWidth="1"/>
    <col min="7" max="16384" width="9.109375" style="866"/>
  </cols>
  <sheetData>
    <row r="1" spans="1:6" ht="15.75" customHeight="1">
      <c r="D1" s="1012" t="s">
        <v>406</v>
      </c>
      <c r="E1" s="1012"/>
      <c r="F1" s="1012"/>
    </row>
    <row r="2" spans="1:6" ht="24.75" customHeight="1">
      <c r="A2" s="1005" t="s">
        <v>0</v>
      </c>
      <c r="B2" s="1005" t="s">
        <v>180</v>
      </c>
      <c r="C2" s="1005"/>
      <c r="D2" s="1013" t="s">
        <v>177</v>
      </c>
      <c r="E2" s="1014"/>
      <c r="F2" s="1015"/>
    </row>
    <row r="3" spans="1:6" s="2" customFormat="1">
      <c r="A3" s="1005"/>
      <c r="B3" s="1005"/>
      <c r="C3" s="1005"/>
      <c r="D3" s="921" t="s">
        <v>747</v>
      </c>
      <c r="E3" s="867" t="s">
        <v>745</v>
      </c>
      <c r="F3" s="921" t="s">
        <v>912</v>
      </c>
    </row>
    <row r="4" spans="1:6" s="2" customFormat="1">
      <c r="A4" s="1005"/>
      <c r="B4" s="1005"/>
      <c r="C4" s="1005"/>
      <c r="D4" s="1016" t="s">
        <v>187</v>
      </c>
      <c r="E4" s="1016"/>
      <c r="F4" s="1016"/>
    </row>
    <row r="5" spans="1:6" ht="12" customHeight="1">
      <c r="A5" s="5" t="s">
        <v>27</v>
      </c>
      <c r="B5" s="1006" t="s">
        <v>175</v>
      </c>
      <c r="C5" s="1006"/>
      <c r="D5" s="883"/>
      <c r="E5" s="870"/>
      <c r="F5" s="884"/>
    </row>
    <row r="6" spans="1:6" ht="12" customHeight="1">
      <c r="A6" s="5" t="s">
        <v>34</v>
      </c>
      <c r="B6" s="1006" t="s">
        <v>174</v>
      </c>
      <c r="C6" s="1006"/>
      <c r="D6" s="885">
        <v>17783</v>
      </c>
      <c r="E6" s="749">
        <f>113+1115+500</f>
        <v>1728</v>
      </c>
      <c r="F6" s="886">
        <f>+D6+E6</f>
        <v>19511</v>
      </c>
    </row>
    <row r="7" spans="1:6" ht="12" customHeight="1">
      <c r="A7" s="6" t="s">
        <v>35</v>
      </c>
      <c r="B7" s="1003" t="s">
        <v>173</v>
      </c>
      <c r="C7" s="1003"/>
      <c r="D7" s="887">
        <f>SUM(D5:D6)</f>
        <v>17783</v>
      </c>
      <c r="E7" s="750">
        <f t="shared" ref="E7:F7" si="0">SUM(E5:E6)</f>
        <v>1728</v>
      </c>
      <c r="F7" s="887">
        <f t="shared" si="0"/>
        <v>19511</v>
      </c>
    </row>
    <row r="8" spans="1:6" ht="12" customHeight="1">
      <c r="A8" s="7"/>
      <c r="B8" s="8"/>
      <c r="C8" s="8"/>
      <c r="D8" s="888"/>
      <c r="E8" s="751"/>
      <c r="F8" s="889"/>
    </row>
    <row r="9" spans="1:6" ht="12" customHeight="1">
      <c r="A9" s="5" t="s">
        <v>36</v>
      </c>
      <c r="B9" s="1006" t="s">
        <v>172</v>
      </c>
      <c r="C9" s="1006"/>
      <c r="D9" s="890">
        <v>4904</v>
      </c>
      <c r="E9" s="749">
        <f>27+271</f>
        <v>298</v>
      </c>
      <c r="F9" s="886">
        <f>+D9+E9</f>
        <v>5202</v>
      </c>
    </row>
    <row r="10" spans="1:6" ht="12" customHeight="1">
      <c r="A10" s="202"/>
      <c r="B10" s="891"/>
      <c r="C10" s="11"/>
      <c r="D10" s="892"/>
      <c r="E10" s="869"/>
      <c r="F10" s="893"/>
    </row>
    <row r="11" spans="1:6" ht="12" customHeight="1">
      <c r="A11" s="12" t="s">
        <v>43</v>
      </c>
      <c r="B11" s="1004" t="s">
        <v>42</v>
      </c>
      <c r="C11" s="1004"/>
      <c r="D11" s="894">
        <f>+'[4]5.a. mell. Jogalkotás'!$F11</f>
        <v>10</v>
      </c>
      <c r="E11" s="752">
        <v>68</v>
      </c>
      <c r="F11" s="895">
        <f t="shared" ref="F11:F13" si="1">+D11+E11</f>
        <v>78</v>
      </c>
    </row>
    <row r="12" spans="1:6" ht="12" customHeight="1">
      <c r="A12" s="3" t="s">
        <v>45</v>
      </c>
      <c r="B12" s="1007" t="s">
        <v>44</v>
      </c>
      <c r="C12" s="1007"/>
      <c r="D12" s="894">
        <f>+'[4]5.a. mell. Jogalkotás'!$F12</f>
        <v>240</v>
      </c>
      <c r="E12" s="752">
        <f>115+79</f>
        <v>194</v>
      </c>
      <c r="F12" s="895">
        <f t="shared" si="1"/>
        <v>434</v>
      </c>
    </row>
    <row r="13" spans="1:6" ht="12" customHeight="1">
      <c r="A13" s="3" t="s">
        <v>47</v>
      </c>
      <c r="B13" s="1007" t="s">
        <v>46</v>
      </c>
      <c r="C13" s="1007"/>
      <c r="D13" s="894">
        <f>+'[4]5.a. mell. Jogalkotás'!$F13</f>
        <v>0</v>
      </c>
      <c r="E13" s="870"/>
      <c r="F13" s="895">
        <f t="shared" si="1"/>
        <v>0</v>
      </c>
    </row>
    <row r="14" spans="1:6" s="897" customFormat="1" ht="12" customHeight="1">
      <c r="A14" s="5" t="s">
        <v>48</v>
      </c>
      <c r="B14" s="1006" t="s">
        <v>171</v>
      </c>
      <c r="C14" s="1006"/>
      <c r="D14" s="890">
        <f>SUM(D11:D13)</f>
        <v>250</v>
      </c>
      <c r="E14" s="890">
        <f t="shared" ref="E14:F14" si="2">SUM(E11:E13)</f>
        <v>262</v>
      </c>
      <c r="F14" s="890">
        <f t="shared" si="2"/>
        <v>512</v>
      </c>
    </row>
    <row r="15" spans="1:6" ht="12" customHeight="1">
      <c r="A15" s="3" t="s">
        <v>50</v>
      </c>
      <c r="B15" s="1007" t="s">
        <v>49</v>
      </c>
      <c r="C15" s="1007"/>
      <c r="D15" s="894">
        <f>+'[4]5.a. mell. Jogalkotás'!$F15</f>
        <v>2688</v>
      </c>
      <c r="E15" s="752"/>
      <c r="F15" s="895">
        <f>+D15+E15</f>
        <v>2688</v>
      </c>
    </row>
    <row r="16" spans="1:6" ht="12" customHeight="1">
      <c r="A16" s="3" t="s">
        <v>52</v>
      </c>
      <c r="B16" s="1007" t="s">
        <v>51</v>
      </c>
      <c r="C16" s="1007"/>
      <c r="D16" s="894">
        <f>+'[4]5.a. mell. Jogalkotás'!$F16</f>
        <v>600</v>
      </c>
      <c r="E16" s="752"/>
      <c r="F16" s="895">
        <f>+D16+E16</f>
        <v>600</v>
      </c>
    </row>
    <row r="17" spans="1:6" s="897" customFormat="1" ht="12" customHeight="1">
      <c r="A17" s="5" t="s">
        <v>53</v>
      </c>
      <c r="B17" s="1006" t="s">
        <v>170</v>
      </c>
      <c r="C17" s="1006"/>
      <c r="D17" s="890">
        <f>SUM(D15:D16)</f>
        <v>3288</v>
      </c>
      <c r="E17" s="753">
        <f t="shared" ref="E17:F17" si="3">SUM(E15:E16)</f>
        <v>0</v>
      </c>
      <c r="F17" s="890">
        <f t="shared" si="3"/>
        <v>3288</v>
      </c>
    </row>
    <row r="18" spans="1:6" ht="12" customHeight="1">
      <c r="A18" s="3" t="s">
        <v>55</v>
      </c>
      <c r="B18" s="1007" t="s">
        <v>54</v>
      </c>
      <c r="C18" s="1007"/>
      <c r="D18" s="894">
        <f>+'[4]5.a. mell. Jogalkotás'!$F18</f>
        <v>0</v>
      </c>
      <c r="E18" s="870"/>
      <c r="F18" s="895">
        <f t="shared" ref="F18:F22" si="4">+D18+E18</f>
        <v>0</v>
      </c>
    </row>
    <row r="19" spans="1:6" ht="12" customHeight="1">
      <c r="A19" s="3" t="s">
        <v>57</v>
      </c>
      <c r="B19" s="1007" t="s">
        <v>56</v>
      </c>
      <c r="C19" s="1007"/>
      <c r="D19" s="894">
        <f>+'[4]5.a. mell. Jogalkotás'!$F19</f>
        <v>0</v>
      </c>
      <c r="E19" s="870"/>
      <c r="F19" s="895">
        <f t="shared" si="4"/>
        <v>0</v>
      </c>
    </row>
    <row r="20" spans="1:6" ht="12" customHeight="1">
      <c r="A20" s="3" t="s">
        <v>58</v>
      </c>
      <c r="B20" s="1007" t="s">
        <v>168</v>
      </c>
      <c r="C20" s="1007"/>
      <c r="D20" s="894">
        <f>+'[4]5.a. mell. Jogalkotás'!$F20</f>
        <v>118</v>
      </c>
      <c r="E20" s="870">
        <v>48</v>
      </c>
      <c r="F20" s="895">
        <f t="shared" si="4"/>
        <v>166</v>
      </c>
    </row>
    <row r="21" spans="1:6" ht="12" customHeight="1">
      <c r="A21" s="3" t="s">
        <v>60</v>
      </c>
      <c r="B21" s="1007" t="s">
        <v>59</v>
      </c>
      <c r="C21" s="1007"/>
      <c r="D21" s="894">
        <f>+'[4]5.a. mell. Jogalkotás'!$F21</f>
        <v>0</v>
      </c>
      <c r="E21" s="870"/>
      <c r="F21" s="895">
        <f t="shared" si="4"/>
        <v>0</v>
      </c>
    </row>
    <row r="22" spans="1:6" ht="12" customHeight="1">
      <c r="A22" s="3" t="s">
        <v>61</v>
      </c>
      <c r="B22" s="1007" t="s">
        <v>167</v>
      </c>
      <c r="C22" s="1007"/>
      <c r="D22" s="894">
        <f>+'[4]5.a. mell. Jogalkotás'!$F22</f>
        <v>0</v>
      </c>
      <c r="E22" s="870"/>
      <c r="F22" s="895">
        <f t="shared" si="4"/>
        <v>0</v>
      </c>
    </row>
    <row r="23" spans="1:6" ht="12" customHeight="1">
      <c r="A23" s="3" t="s">
        <v>64</v>
      </c>
      <c r="B23" s="1007" t="s">
        <v>63</v>
      </c>
      <c r="C23" s="1007"/>
      <c r="D23" s="894">
        <f>+'[4]5.a. mell. Jogalkotás'!$F23</f>
        <v>2062</v>
      </c>
      <c r="E23" s="870">
        <f>138+600</f>
        <v>738</v>
      </c>
      <c r="F23" s="895">
        <f>+D23+E23</f>
        <v>2800</v>
      </c>
    </row>
    <row r="24" spans="1:6" ht="12" customHeight="1">
      <c r="A24" s="3" t="s">
        <v>66</v>
      </c>
      <c r="B24" s="1007" t="s">
        <v>65</v>
      </c>
      <c r="C24" s="1007"/>
      <c r="D24" s="894">
        <f>+'[4]5.a. mell. Jogalkotás'!$F24</f>
        <v>4678</v>
      </c>
      <c r="E24" s="870">
        <f>1507+128</f>
        <v>1635</v>
      </c>
      <c r="F24" s="895">
        <f>+D24+E24</f>
        <v>6313</v>
      </c>
    </row>
    <row r="25" spans="1:6" s="897" customFormat="1" ht="12" customHeight="1">
      <c r="A25" s="5" t="s">
        <v>67</v>
      </c>
      <c r="B25" s="1006" t="s">
        <v>157</v>
      </c>
      <c r="C25" s="1006"/>
      <c r="D25" s="890">
        <f>+D24+D23+D22+D21+D20+D19+D18</f>
        <v>6858</v>
      </c>
      <c r="E25" s="753">
        <f t="shared" ref="E25:F25" si="5">+E24+E23+E22+E21+E20+E19+E18</f>
        <v>2421</v>
      </c>
      <c r="F25" s="890">
        <f t="shared" si="5"/>
        <v>9279</v>
      </c>
    </row>
    <row r="26" spans="1:6" ht="12" customHeight="1">
      <c r="A26" s="3" t="s">
        <v>69</v>
      </c>
      <c r="B26" s="1007" t="s">
        <v>68</v>
      </c>
      <c r="C26" s="1007"/>
      <c r="D26" s="894">
        <f>+'[4]5.a. mell. Jogalkotás'!$F26</f>
        <v>1350</v>
      </c>
      <c r="E26" s="870">
        <f>-24-500-150</f>
        <v>-674</v>
      </c>
      <c r="F26" s="895">
        <f>+D26+E26</f>
        <v>676</v>
      </c>
    </row>
    <row r="27" spans="1:6" ht="12" customHeight="1">
      <c r="A27" s="3" t="s">
        <v>71</v>
      </c>
      <c r="B27" s="1007" t="s">
        <v>70</v>
      </c>
      <c r="C27" s="1007"/>
      <c r="D27" s="894">
        <f>+'[4]5.a. mell. Jogalkotás'!$F27</f>
        <v>0</v>
      </c>
      <c r="E27" s="870"/>
      <c r="F27" s="884"/>
    </row>
    <row r="28" spans="1:6" ht="12" customHeight="1">
      <c r="A28" s="5" t="s">
        <v>72</v>
      </c>
      <c r="B28" s="1006" t="s">
        <v>156</v>
      </c>
      <c r="C28" s="1006"/>
      <c r="D28" s="890">
        <f>SUM(D26:D27)</f>
        <v>1350</v>
      </c>
      <c r="E28" s="753">
        <f t="shared" ref="E28:F28" si="6">SUM(E26:E27)</f>
        <v>-674</v>
      </c>
      <c r="F28" s="890">
        <f t="shared" si="6"/>
        <v>676</v>
      </c>
    </row>
    <row r="29" spans="1:6" ht="12" customHeight="1">
      <c r="A29" s="3" t="s">
        <v>74</v>
      </c>
      <c r="B29" s="1007" t="s">
        <v>73</v>
      </c>
      <c r="C29" s="1007"/>
      <c r="D29" s="894">
        <f>+'[4]5.a. mell. Jogalkotás'!$F29</f>
        <v>927</v>
      </c>
      <c r="E29" s="870">
        <f>19+31+21+37+135+35+13</f>
        <v>291</v>
      </c>
      <c r="F29" s="895">
        <f>+D29+E29</f>
        <v>1218</v>
      </c>
    </row>
    <row r="30" spans="1:6" ht="12" customHeight="1">
      <c r="A30" s="3" t="s">
        <v>76</v>
      </c>
      <c r="B30" s="1007" t="s">
        <v>75</v>
      </c>
      <c r="C30" s="1007"/>
      <c r="D30" s="894">
        <f>+'[4]5.a. mell. Jogalkotás'!$F30</f>
        <v>0</v>
      </c>
      <c r="E30" s="870"/>
      <c r="F30" s="884"/>
    </row>
    <row r="31" spans="1:6" ht="12" customHeight="1">
      <c r="A31" s="3" t="s">
        <v>77</v>
      </c>
      <c r="B31" s="1007" t="s">
        <v>155</v>
      </c>
      <c r="C31" s="1007"/>
      <c r="D31" s="894">
        <f>+'[4]5.a. mell. Jogalkotás'!$F31</f>
        <v>0</v>
      </c>
      <c r="E31" s="870"/>
      <c r="F31" s="884"/>
    </row>
    <row r="32" spans="1:6" ht="12" customHeight="1">
      <c r="A32" s="3" t="s">
        <v>78</v>
      </c>
      <c r="B32" s="1007" t="s">
        <v>154</v>
      </c>
      <c r="C32" s="1007"/>
      <c r="D32" s="894">
        <f>+'[4]5.a. mell. Jogalkotás'!$F32</f>
        <v>0</v>
      </c>
      <c r="E32" s="870"/>
      <c r="F32" s="884"/>
    </row>
    <row r="33" spans="1:6" ht="12" customHeight="1">
      <c r="A33" s="3" t="s">
        <v>80</v>
      </c>
      <c r="B33" s="1007" t="s">
        <v>79</v>
      </c>
      <c r="C33" s="1007"/>
      <c r="D33" s="894">
        <f>+'[4]5.a. mell. Jogalkotás'!$F33</f>
        <v>11115</v>
      </c>
      <c r="E33" s="870"/>
      <c r="F33" s="895">
        <f>+D33+E33</f>
        <v>11115</v>
      </c>
    </row>
    <row r="34" spans="1:6" ht="12" customHeight="1">
      <c r="A34" s="5" t="s">
        <v>81</v>
      </c>
      <c r="B34" s="1006" t="s">
        <v>153</v>
      </c>
      <c r="C34" s="1006"/>
      <c r="D34" s="890">
        <f>SUM(D29:D33)</f>
        <v>12042</v>
      </c>
      <c r="E34" s="753">
        <f t="shared" ref="E34:F34" si="7">SUM(E29:E33)</f>
        <v>291</v>
      </c>
      <c r="F34" s="890">
        <f t="shared" si="7"/>
        <v>12333</v>
      </c>
    </row>
    <row r="35" spans="1:6" ht="12" customHeight="1">
      <c r="A35" s="6" t="s">
        <v>82</v>
      </c>
      <c r="B35" s="1003" t="s">
        <v>152</v>
      </c>
      <c r="C35" s="1003"/>
      <c r="D35" s="898">
        <f>+D34+D28+D25+D17+D14</f>
        <v>23788</v>
      </c>
      <c r="E35" s="750">
        <f t="shared" ref="E35:F35" si="8">+E34+E28+E25+E17+E14</f>
        <v>2300</v>
      </c>
      <c r="F35" s="898">
        <f t="shared" si="8"/>
        <v>26088</v>
      </c>
    </row>
    <row r="36" spans="1:6" ht="12" customHeight="1">
      <c r="A36" s="7"/>
      <c r="B36" s="8"/>
      <c r="C36" s="8"/>
      <c r="D36" s="899"/>
      <c r="E36" s="751"/>
      <c r="F36" s="889"/>
    </row>
    <row r="37" spans="1:6" ht="12" hidden="1" customHeight="1">
      <c r="A37" s="3" t="s">
        <v>97</v>
      </c>
      <c r="B37" s="1002" t="s">
        <v>96</v>
      </c>
      <c r="C37" s="1002"/>
      <c r="D37" s="896"/>
      <c r="E37" s="870"/>
      <c r="F37" s="884"/>
    </row>
    <row r="38" spans="1:6" ht="12" hidden="1" customHeight="1">
      <c r="A38" s="3" t="s">
        <v>99</v>
      </c>
      <c r="B38" s="1002" t="s">
        <v>182</v>
      </c>
      <c r="C38" s="1002"/>
      <c r="D38" s="896"/>
      <c r="E38" s="870"/>
      <c r="F38" s="884"/>
    </row>
    <row r="39" spans="1:6" ht="12" hidden="1" customHeight="1">
      <c r="A39" s="3" t="s">
        <v>102</v>
      </c>
      <c r="B39" s="1002" t="s">
        <v>166</v>
      </c>
      <c r="C39" s="1002"/>
      <c r="D39" s="896"/>
      <c r="E39" s="870"/>
      <c r="F39" s="884"/>
    </row>
    <row r="40" spans="1:6" ht="12" hidden="1" customHeight="1">
      <c r="A40" s="3" t="s">
        <v>104</v>
      </c>
      <c r="B40" s="1002" t="s">
        <v>181</v>
      </c>
      <c r="C40" s="1002"/>
      <c r="D40" s="896"/>
      <c r="E40" s="870"/>
      <c r="F40" s="884"/>
    </row>
    <row r="41" spans="1:6" ht="12" hidden="1" customHeight="1">
      <c r="A41" s="3" t="s">
        <v>108</v>
      </c>
      <c r="B41" s="1002" t="s">
        <v>165</v>
      </c>
      <c r="C41" s="1002"/>
      <c r="D41" s="896"/>
      <c r="E41" s="870"/>
      <c r="F41" s="884"/>
    </row>
    <row r="42" spans="1:6" ht="12" hidden="1" customHeight="1">
      <c r="A42" s="3" t="s">
        <v>711</v>
      </c>
      <c r="B42" s="1007" t="s">
        <v>107</v>
      </c>
      <c r="C42" s="1007"/>
      <c r="D42" s="896"/>
      <c r="E42" s="870"/>
      <c r="F42" s="884"/>
    </row>
    <row r="43" spans="1:6" ht="12" customHeight="1">
      <c r="A43" s="6" t="s">
        <v>109</v>
      </c>
      <c r="B43" s="1003" t="s">
        <v>164</v>
      </c>
      <c r="C43" s="1003"/>
      <c r="D43" s="898">
        <f>+D42+D41+D40+D39+D38+D37</f>
        <v>0</v>
      </c>
      <c r="E43" s="754"/>
      <c r="F43" s="900"/>
    </row>
    <row r="44" spans="1:6" ht="12" customHeight="1">
      <c r="A44" s="7"/>
      <c r="B44" s="8"/>
      <c r="C44" s="8"/>
      <c r="D44" s="899"/>
      <c r="E44" s="751"/>
      <c r="F44" s="889"/>
    </row>
    <row r="45" spans="1:6" ht="12" hidden="1" customHeight="1">
      <c r="A45" s="12" t="s">
        <v>111</v>
      </c>
      <c r="B45" s="1004" t="s">
        <v>110</v>
      </c>
      <c r="C45" s="1004"/>
      <c r="D45" s="894"/>
      <c r="E45" s="752"/>
      <c r="F45" s="901"/>
    </row>
    <row r="46" spans="1:6" ht="12" hidden="1" customHeight="1">
      <c r="A46" s="3" t="s">
        <v>112</v>
      </c>
      <c r="B46" s="1007" t="s">
        <v>163</v>
      </c>
      <c r="C46" s="1007"/>
      <c r="D46" s="896"/>
      <c r="E46" s="870"/>
      <c r="F46" s="884"/>
    </row>
    <row r="47" spans="1:6" ht="12" hidden="1" customHeight="1">
      <c r="A47" s="3" t="s">
        <v>115</v>
      </c>
      <c r="B47" s="1007" t="s">
        <v>114</v>
      </c>
      <c r="C47" s="1007"/>
      <c r="D47" s="896"/>
      <c r="E47" s="870"/>
      <c r="F47" s="884"/>
    </row>
    <row r="48" spans="1:6" ht="12" hidden="1" customHeight="1">
      <c r="A48" s="3" t="s">
        <v>117</v>
      </c>
      <c r="B48" s="1007" t="s">
        <v>116</v>
      </c>
      <c r="C48" s="1007"/>
      <c r="D48" s="896"/>
      <c r="E48" s="870"/>
      <c r="F48" s="884"/>
    </row>
    <row r="49" spans="1:6" ht="12" hidden="1" customHeight="1">
      <c r="A49" s="3" t="s">
        <v>119</v>
      </c>
      <c r="B49" s="1007" t="s">
        <v>118</v>
      </c>
      <c r="C49" s="1007"/>
      <c r="D49" s="896"/>
      <c r="E49" s="870"/>
      <c r="F49" s="884"/>
    </row>
    <row r="50" spans="1:6" ht="12" hidden="1" customHeight="1">
      <c r="A50" s="3" t="s">
        <v>121</v>
      </c>
      <c r="B50" s="1007" t="s">
        <v>120</v>
      </c>
      <c r="C50" s="1007"/>
      <c r="D50" s="896"/>
      <c r="E50" s="870"/>
      <c r="F50" s="884"/>
    </row>
    <row r="51" spans="1:6" ht="12" hidden="1" customHeight="1">
      <c r="A51" s="3" t="s">
        <v>123</v>
      </c>
      <c r="B51" s="1007" t="s">
        <v>122</v>
      </c>
      <c r="C51" s="1007"/>
      <c r="D51" s="896"/>
      <c r="E51" s="870"/>
      <c r="F51" s="884"/>
    </row>
    <row r="52" spans="1:6" ht="12" customHeight="1">
      <c r="A52" s="6" t="s">
        <v>124</v>
      </c>
      <c r="B52" s="1003" t="s">
        <v>162</v>
      </c>
      <c r="C52" s="1003"/>
      <c r="D52" s="898">
        <f>+D51+D50+D49+D48+D47+D46+D45</f>
        <v>0</v>
      </c>
      <c r="E52" s="754">
        <f>+E51+E50+E49+E48+E47+E46+E45</f>
        <v>0</v>
      </c>
      <c r="F52" s="900">
        <f>+F51+F50+F49+F48+F47+F46+F45</f>
        <v>0</v>
      </c>
    </row>
    <row r="53" spans="1:6" ht="12" customHeight="1">
      <c r="A53" s="7"/>
      <c r="B53" s="8"/>
      <c r="C53" s="8"/>
      <c r="D53" s="899"/>
      <c r="E53" s="751"/>
      <c r="F53" s="889"/>
    </row>
    <row r="54" spans="1:6" ht="12" hidden="1" customHeight="1">
      <c r="A54" s="12" t="s">
        <v>126</v>
      </c>
      <c r="B54" s="1004" t="s">
        <v>125</v>
      </c>
      <c r="C54" s="1004"/>
      <c r="D54" s="894"/>
      <c r="E54" s="752"/>
      <c r="F54" s="901"/>
    </row>
    <row r="55" spans="1:6" ht="12" hidden="1" customHeight="1">
      <c r="A55" s="3" t="s">
        <v>128</v>
      </c>
      <c r="B55" s="1007" t="s">
        <v>127</v>
      </c>
      <c r="C55" s="1007"/>
      <c r="D55" s="896"/>
      <c r="E55" s="870"/>
      <c r="F55" s="884"/>
    </row>
    <row r="56" spans="1:6" ht="12" hidden="1" customHeight="1">
      <c r="A56" s="3" t="s">
        <v>130</v>
      </c>
      <c r="B56" s="1007" t="s">
        <v>129</v>
      </c>
      <c r="C56" s="1007"/>
      <c r="D56" s="896"/>
      <c r="E56" s="870"/>
      <c r="F56" s="884"/>
    </row>
    <row r="57" spans="1:6" ht="12" hidden="1" customHeight="1">
      <c r="A57" s="3" t="s">
        <v>132</v>
      </c>
      <c r="B57" s="1007" t="s">
        <v>131</v>
      </c>
      <c r="C57" s="1007"/>
      <c r="D57" s="896"/>
      <c r="E57" s="870"/>
      <c r="F57" s="884"/>
    </row>
    <row r="58" spans="1:6" ht="12" customHeight="1">
      <c r="A58" s="5" t="s">
        <v>133</v>
      </c>
      <c r="B58" s="1006" t="s">
        <v>161</v>
      </c>
      <c r="C58" s="1006"/>
      <c r="D58" s="896"/>
      <c r="E58" s="870"/>
      <c r="F58" s="884"/>
    </row>
    <row r="59" spans="1:6" ht="12" customHeight="1">
      <c r="A59" s="7"/>
      <c r="B59" s="16"/>
      <c r="C59" s="16"/>
      <c r="D59" s="899"/>
      <c r="E59" s="751"/>
      <c r="F59" s="889"/>
    </row>
    <row r="60" spans="1:6" ht="12" hidden="1" customHeight="1">
      <c r="A60" s="202" t="s">
        <v>391</v>
      </c>
      <c r="B60" s="1004" t="s">
        <v>392</v>
      </c>
      <c r="C60" s="1004"/>
      <c r="D60" s="896"/>
      <c r="E60" s="870"/>
      <c r="F60" s="884"/>
    </row>
    <row r="61" spans="1:6" ht="12" hidden="1" customHeight="1">
      <c r="A61" s="202" t="s">
        <v>407</v>
      </c>
      <c r="B61" s="1010" t="s">
        <v>408</v>
      </c>
      <c r="C61" s="1011"/>
      <c r="D61" s="894"/>
      <c r="E61" s="752"/>
      <c r="F61" s="901"/>
    </row>
    <row r="62" spans="1:6" ht="12" hidden="1" customHeight="1">
      <c r="A62" s="12" t="s">
        <v>712</v>
      </c>
      <c r="B62" s="1004" t="s">
        <v>160</v>
      </c>
      <c r="C62" s="1004"/>
      <c r="D62" s="894"/>
      <c r="E62" s="752"/>
      <c r="F62" s="901"/>
    </row>
    <row r="63" spans="1:6" ht="12" customHeight="1">
      <c r="A63" s="15" t="s">
        <v>135</v>
      </c>
      <c r="B63" s="1008" t="s">
        <v>159</v>
      </c>
      <c r="C63" s="1008"/>
      <c r="D63" s="890">
        <f>+D62+D60</f>
        <v>0</v>
      </c>
      <c r="E63" s="749"/>
      <c r="F63" s="902"/>
    </row>
    <row r="64" spans="1:6" ht="12" customHeight="1" thickBot="1">
      <c r="A64" s="51"/>
      <c r="B64" s="52"/>
      <c r="C64" s="52"/>
      <c r="D64" s="903"/>
      <c r="E64" s="868"/>
      <c r="F64" s="904"/>
    </row>
    <row r="65" spans="1:6" ht="12" customHeight="1" thickBot="1">
      <c r="A65" s="54" t="s">
        <v>136</v>
      </c>
      <c r="B65" s="1009" t="s">
        <v>158</v>
      </c>
      <c r="C65" s="1009"/>
      <c r="D65" s="905">
        <f>+D63+D58+D52+D43+D35+D9+D7</f>
        <v>46475</v>
      </c>
      <c r="E65" s="865">
        <f t="shared" ref="E65:F65" si="9">+E63+E58+E52+E43+E35+E9+E7</f>
        <v>4326</v>
      </c>
      <c r="F65" s="906">
        <f t="shared" si="9"/>
        <v>50801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88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2016.
Önkormányzati jogalkotás kormányzati funkció&amp;R&amp;"Times New Roman,Félkövér"&amp;12 
5/a.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J66"/>
  <sheetViews>
    <sheetView workbookViewId="0">
      <pane xSplit="3" ySplit="4" topLeftCell="D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AF53" sqref="AF53"/>
    </sheetView>
  </sheetViews>
  <sheetFormatPr defaultColWidth="9.109375" defaultRowHeight="14.4"/>
  <cols>
    <col min="1" max="1" width="8.109375" style="465" customWidth="1"/>
    <col min="2" max="2" width="7.109375" style="28" customWidth="1"/>
    <col min="3" max="3" width="31" style="28" customWidth="1"/>
    <col min="4" max="4" width="8.109375" style="19" customWidth="1"/>
    <col min="5" max="5" width="8.44140625" style="19" customWidth="1"/>
    <col min="6" max="6" width="8.109375" style="19" customWidth="1"/>
    <col min="7" max="7" width="7.5546875" style="19" customWidth="1"/>
    <col min="8" max="8" width="7.109375" style="19" customWidth="1"/>
    <col min="9" max="9" width="8.109375" style="19" customWidth="1"/>
    <col min="10" max="10" width="7.88671875" style="19" customWidth="1"/>
    <col min="11" max="11" width="7.6640625" style="19" customWidth="1"/>
    <col min="12" max="13" width="7.88671875" style="19" customWidth="1"/>
    <col min="14" max="14" width="7.6640625" style="19" customWidth="1"/>
    <col min="15" max="15" width="7.88671875" style="19" customWidth="1"/>
    <col min="16" max="16" width="7.109375" style="19" customWidth="1"/>
    <col min="17" max="17" width="8" style="19" customWidth="1"/>
    <col min="18" max="18" width="7.5546875" style="19" customWidth="1"/>
    <col min="19" max="19" width="7.109375" style="19" customWidth="1"/>
    <col min="20" max="20" width="8" style="19" customWidth="1"/>
    <col min="21" max="21" width="7.5546875" style="19" customWidth="1"/>
    <col min="22" max="22" width="7.109375" style="19" customWidth="1"/>
    <col min="23" max="23" width="8" style="19" customWidth="1"/>
    <col min="24" max="24" width="7.5546875" style="19" customWidth="1"/>
    <col min="25" max="25" width="7.109375" style="19" customWidth="1"/>
    <col min="26" max="26" width="8" style="19" customWidth="1"/>
    <col min="27" max="27" width="7.5546875" style="19" customWidth="1"/>
    <col min="28" max="28" width="7.109375" style="19" customWidth="1"/>
    <col min="29" max="29" width="8" style="19" customWidth="1"/>
    <col min="30" max="30" width="7.5546875" style="19" customWidth="1"/>
    <col min="31" max="31" width="8" style="19" customWidth="1"/>
    <col min="32" max="32" width="7.88671875" style="19" customWidth="1"/>
    <col min="33" max="33" width="7.33203125" style="19" customWidth="1"/>
    <col min="34" max="36" width="8.88671875" customWidth="1"/>
    <col min="37" max="16384" width="9.109375" style="19"/>
  </cols>
  <sheetData>
    <row r="1" spans="1:33" s="1" customFormat="1" ht="13.2" customHeight="1">
      <c r="A1" s="465"/>
      <c r="B1" s="28"/>
      <c r="C1" s="28"/>
      <c r="AE1" s="1017" t="s">
        <v>406</v>
      </c>
      <c r="AF1" s="1017"/>
      <c r="AG1" s="1017"/>
    </row>
    <row r="2" spans="1:33" s="34" customFormat="1" ht="28.5" customHeight="1">
      <c r="A2" s="1005" t="s">
        <v>0</v>
      </c>
      <c r="B2" s="1005" t="s">
        <v>180</v>
      </c>
      <c r="C2" s="1005"/>
      <c r="D2" s="1021" t="s">
        <v>178</v>
      </c>
      <c r="E2" s="1021"/>
      <c r="F2" s="1021"/>
      <c r="G2" s="1021" t="s">
        <v>605</v>
      </c>
      <c r="H2" s="1021"/>
      <c r="I2" s="1021"/>
      <c r="J2" s="1025" t="s">
        <v>177</v>
      </c>
      <c r="K2" s="1026"/>
      <c r="L2" s="1027"/>
      <c r="M2" s="1021" t="s">
        <v>756</v>
      </c>
      <c r="N2" s="1021"/>
      <c r="O2" s="1021"/>
      <c r="P2" s="1021" t="s">
        <v>863</v>
      </c>
      <c r="Q2" s="1021"/>
      <c r="R2" s="1021"/>
      <c r="S2" s="1021" t="s">
        <v>757</v>
      </c>
      <c r="T2" s="1021"/>
      <c r="U2" s="1021"/>
      <c r="V2" s="1021" t="s">
        <v>866</v>
      </c>
      <c r="W2" s="1021"/>
      <c r="X2" s="1021"/>
      <c r="Y2" s="1021" t="s">
        <v>867</v>
      </c>
      <c r="Z2" s="1021"/>
      <c r="AA2" s="1021"/>
      <c r="AB2" s="1022" t="s">
        <v>191</v>
      </c>
      <c r="AC2" s="1023"/>
      <c r="AD2" s="1024"/>
      <c r="AE2" s="1022" t="s">
        <v>532</v>
      </c>
      <c r="AF2" s="1023"/>
      <c r="AG2" s="1024"/>
    </row>
    <row r="3" spans="1:33" s="34" customFormat="1" ht="12.75" customHeight="1">
      <c r="A3" s="1005"/>
      <c r="B3" s="1005"/>
      <c r="C3" s="1005"/>
      <c r="D3" s="1021"/>
      <c r="E3" s="1021"/>
      <c r="F3" s="1021"/>
      <c r="G3" s="1021" t="s">
        <v>187</v>
      </c>
      <c r="H3" s="1021"/>
      <c r="I3" s="1021"/>
      <c r="J3" s="1021" t="s">
        <v>187</v>
      </c>
      <c r="K3" s="1021"/>
      <c r="L3" s="1021"/>
      <c r="M3" s="1021" t="s">
        <v>187</v>
      </c>
      <c r="N3" s="1021"/>
      <c r="O3" s="1021"/>
      <c r="P3" s="1021" t="s">
        <v>187</v>
      </c>
      <c r="Q3" s="1021"/>
      <c r="R3" s="1021"/>
      <c r="S3" s="1021" t="s">
        <v>187</v>
      </c>
      <c r="T3" s="1021"/>
      <c r="U3" s="1021"/>
      <c r="V3" s="1021" t="s">
        <v>187</v>
      </c>
      <c r="W3" s="1021"/>
      <c r="X3" s="1021"/>
      <c r="Y3" s="1021" t="s">
        <v>187</v>
      </c>
      <c r="Z3" s="1021"/>
      <c r="AA3" s="1021"/>
      <c r="AB3" s="1021" t="s">
        <v>187</v>
      </c>
      <c r="AC3" s="1021"/>
      <c r="AD3" s="1021"/>
      <c r="AE3" s="1021" t="s">
        <v>187</v>
      </c>
      <c r="AF3" s="1021"/>
      <c r="AG3" s="1021"/>
    </row>
    <row r="4" spans="1:33" s="18" customFormat="1" ht="26.4">
      <c r="A4" s="1005"/>
      <c r="B4" s="1005"/>
      <c r="C4" s="1005"/>
      <c r="D4" s="921" t="s">
        <v>747</v>
      </c>
      <c r="E4" s="664" t="s">
        <v>745</v>
      </c>
      <c r="F4" s="921" t="s">
        <v>912</v>
      </c>
      <c r="G4" s="921" t="s">
        <v>747</v>
      </c>
      <c r="H4" s="921" t="s">
        <v>745</v>
      </c>
      <c r="I4" s="921" t="s">
        <v>912</v>
      </c>
      <c r="J4" s="921" t="s">
        <v>747</v>
      </c>
      <c r="K4" s="921" t="s">
        <v>745</v>
      </c>
      <c r="L4" s="921" t="s">
        <v>912</v>
      </c>
      <c r="M4" s="921" t="s">
        <v>747</v>
      </c>
      <c r="N4" s="921" t="s">
        <v>745</v>
      </c>
      <c r="O4" s="921" t="s">
        <v>912</v>
      </c>
      <c r="P4" s="921" t="s">
        <v>747</v>
      </c>
      <c r="Q4" s="921" t="s">
        <v>745</v>
      </c>
      <c r="R4" s="921" t="s">
        <v>912</v>
      </c>
      <c r="S4" s="921" t="s">
        <v>747</v>
      </c>
      <c r="T4" s="921" t="s">
        <v>745</v>
      </c>
      <c r="U4" s="921" t="s">
        <v>912</v>
      </c>
      <c r="V4" s="921" t="s">
        <v>747</v>
      </c>
      <c r="W4" s="921" t="s">
        <v>745</v>
      </c>
      <c r="X4" s="921" t="s">
        <v>912</v>
      </c>
      <c r="Y4" s="921" t="s">
        <v>747</v>
      </c>
      <c r="Z4" s="921" t="s">
        <v>745</v>
      </c>
      <c r="AA4" s="921" t="s">
        <v>912</v>
      </c>
      <c r="AB4" s="930" t="s">
        <v>747</v>
      </c>
      <c r="AC4" s="930" t="s">
        <v>745</v>
      </c>
      <c r="AD4" s="930" t="s">
        <v>912</v>
      </c>
      <c r="AE4" s="921" t="s">
        <v>747</v>
      </c>
      <c r="AF4" s="921" t="s">
        <v>745</v>
      </c>
      <c r="AG4" s="921" t="s">
        <v>912</v>
      </c>
    </row>
    <row r="5" spans="1:33" s="47" customFormat="1" ht="12.75" customHeight="1">
      <c r="A5" s="5" t="s">
        <v>27</v>
      </c>
      <c r="B5" s="1006" t="s">
        <v>175</v>
      </c>
      <c r="C5" s="1006"/>
      <c r="D5" s="105">
        <f t="shared" ref="D5:D9" si="0">+G5+M5+Y5+AE5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s="47" customFormat="1" ht="12.75" customHeight="1">
      <c r="A6" s="5" t="s">
        <v>34</v>
      </c>
      <c r="B6" s="1006" t="s">
        <v>174</v>
      </c>
      <c r="C6" s="1006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33" s="47" customFormat="1" ht="12.75" customHeight="1">
      <c r="A7" s="6" t="s">
        <v>35</v>
      </c>
      <c r="B7" s="1003" t="s">
        <v>173</v>
      </c>
      <c r="C7" s="1003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spans="1:33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  <c r="S8" s="31"/>
      <c r="T8" s="31"/>
      <c r="U8" s="32"/>
      <c r="V8" s="31"/>
      <c r="W8" s="31"/>
      <c r="X8" s="32"/>
      <c r="Y8" s="31"/>
      <c r="Z8" s="31"/>
      <c r="AA8" s="32"/>
      <c r="AB8" s="31"/>
      <c r="AC8" s="31"/>
      <c r="AD8" s="32"/>
      <c r="AE8" s="31"/>
      <c r="AF8" s="31"/>
      <c r="AG8" s="31"/>
    </row>
    <row r="9" spans="1:33" s="47" customFormat="1" ht="12.75" customHeight="1">
      <c r="A9" s="5" t="s">
        <v>36</v>
      </c>
      <c r="B9" s="1006" t="s">
        <v>172</v>
      </c>
      <c r="C9" s="1006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33" ht="11.25" customHeight="1">
      <c r="A10" s="202"/>
      <c r="B10" s="26"/>
      <c r="C10" s="11"/>
      <c r="D10" s="346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2"/>
      <c r="S10" s="31"/>
      <c r="T10" s="31"/>
      <c r="U10" s="32"/>
      <c r="V10" s="31"/>
      <c r="W10" s="31"/>
      <c r="X10" s="32"/>
      <c r="Y10" s="31"/>
      <c r="Z10" s="31"/>
      <c r="AA10" s="32"/>
      <c r="AB10" s="31"/>
      <c r="AC10" s="31"/>
      <c r="AD10" s="32"/>
      <c r="AE10" s="31"/>
      <c r="AF10" s="31"/>
      <c r="AG10" s="31"/>
    </row>
    <row r="11" spans="1:33" ht="12.75" hidden="1" customHeight="1">
      <c r="A11" s="12" t="s">
        <v>43</v>
      </c>
      <c r="B11" s="1004" t="s">
        <v>42</v>
      </c>
      <c r="C11" s="1004"/>
      <c r="D11" s="29">
        <f t="shared" ref="D11:D28" si="1">+G11+M11+Y11+AE11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</row>
    <row r="12" spans="1:33" ht="12.75" hidden="1" customHeight="1">
      <c r="A12" s="3" t="s">
        <v>45</v>
      </c>
      <c r="B12" s="1007" t="s">
        <v>44</v>
      </c>
      <c r="C12" s="1007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ht="12.75" hidden="1" customHeight="1">
      <c r="A13" s="3" t="s">
        <v>47</v>
      </c>
      <c r="B13" s="1007" t="s">
        <v>46</v>
      </c>
      <c r="C13" s="1007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47" customFormat="1" ht="12.75" customHeight="1">
      <c r="A14" s="5" t="s">
        <v>48</v>
      </c>
      <c r="B14" s="1006" t="s">
        <v>171</v>
      </c>
      <c r="C14" s="1006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AA14" si="2">SUM(H11:H13)</f>
        <v>0</v>
      </c>
      <c r="I14" s="62">
        <f t="shared" si="2"/>
        <v>0</v>
      </c>
      <c r="J14" s="62">
        <f t="shared" ref="J14:L14" si="3">SUM(J11:J13)</f>
        <v>0</v>
      </c>
      <c r="K14" s="62">
        <f t="shared" si="3"/>
        <v>0</v>
      </c>
      <c r="L14" s="62">
        <f t="shared" si="3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 t="shared" ref="P14:X14" si="4">SUM(P11:P13)</f>
        <v>0</v>
      </c>
      <c r="Q14" s="62">
        <f t="shared" si="4"/>
        <v>0</v>
      </c>
      <c r="R14" s="62">
        <f t="shared" si="4"/>
        <v>0</v>
      </c>
      <c r="S14" s="62">
        <f t="shared" si="4"/>
        <v>0</v>
      </c>
      <c r="T14" s="62">
        <f t="shared" si="4"/>
        <v>0</v>
      </c>
      <c r="U14" s="62">
        <f t="shared" si="4"/>
        <v>0</v>
      </c>
      <c r="V14" s="62">
        <f t="shared" si="4"/>
        <v>0</v>
      </c>
      <c r="W14" s="62">
        <f t="shared" si="4"/>
        <v>0</v>
      </c>
      <c r="X14" s="62">
        <f t="shared" si="4"/>
        <v>0</v>
      </c>
      <c r="Y14" s="62">
        <f t="shared" si="2"/>
        <v>0</v>
      </c>
      <c r="Z14" s="62">
        <f t="shared" si="2"/>
        <v>0</v>
      </c>
      <c r="AA14" s="62">
        <f t="shared" si="2"/>
        <v>0</v>
      </c>
      <c r="AB14" s="62">
        <f t="shared" ref="AB14:AD14" si="5">SUM(AB11:AB13)</f>
        <v>0</v>
      </c>
      <c r="AC14" s="62">
        <f t="shared" si="5"/>
        <v>0</v>
      </c>
      <c r="AD14" s="62">
        <f t="shared" si="5"/>
        <v>0</v>
      </c>
      <c r="AE14" s="62">
        <f>SUM(AE11:AE13)</f>
        <v>0</v>
      </c>
      <c r="AF14" s="62">
        <f>SUM(AF11:AF13)</f>
        <v>0</v>
      </c>
      <c r="AG14" s="62">
        <f>SUM(AG11:AG13)</f>
        <v>0</v>
      </c>
    </row>
    <row r="15" spans="1:33" ht="12.75" hidden="1" customHeight="1">
      <c r="A15" s="3" t="s">
        <v>50</v>
      </c>
      <c r="B15" s="1007" t="s">
        <v>49</v>
      </c>
      <c r="C15" s="1007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ht="12.75" hidden="1" customHeight="1">
      <c r="A16" s="3" t="s">
        <v>52</v>
      </c>
      <c r="B16" s="1007" t="s">
        <v>51</v>
      </c>
      <c r="C16" s="1007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47" customFormat="1" ht="12.75" customHeight="1">
      <c r="A17" s="5" t="s">
        <v>53</v>
      </c>
      <c r="B17" s="1006" t="s">
        <v>170</v>
      </c>
      <c r="C17" s="1006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AA17" si="6">+H15+H16</f>
        <v>0</v>
      </c>
      <c r="I17" s="62">
        <f t="shared" si="6"/>
        <v>0</v>
      </c>
      <c r="J17" s="62">
        <f t="shared" ref="J17:L17" si="7">+J15+J16</f>
        <v>0</v>
      </c>
      <c r="K17" s="62">
        <f t="shared" si="7"/>
        <v>0</v>
      </c>
      <c r="L17" s="62">
        <f t="shared" si="7"/>
        <v>0</v>
      </c>
      <c r="M17" s="62">
        <f t="shared" si="6"/>
        <v>0</v>
      </c>
      <c r="N17" s="62">
        <f t="shared" si="6"/>
        <v>0</v>
      </c>
      <c r="O17" s="62">
        <f t="shared" si="6"/>
        <v>0</v>
      </c>
      <c r="P17" s="62">
        <f t="shared" ref="P17:X17" si="8">+P15+P16</f>
        <v>0</v>
      </c>
      <c r="Q17" s="62">
        <f t="shared" si="8"/>
        <v>0</v>
      </c>
      <c r="R17" s="62">
        <f t="shared" si="8"/>
        <v>0</v>
      </c>
      <c r="S17" s="62">
        <f t="shared" si="8"/>
        <v>0</v>
      </c>
      <c r="T17" s="62">
        <f t="shared" si="8"/>
        <v>0</v>
      </c>
      <c r="U17" s="62">
        <f t="shared" si="8"/>
        <v>0</v>
      </c>
      <c r="V17" s="62">
        <f t="shared" si="8"/>
        <v>0</v>
      </c>
      <c r="W17" s="62">
        <f t="shared" si="8"/>
        <v>0</v>
      </c>
      <c r="X17" s="62">
        <f t="shared" si="8"/>
        <v>0</v>
      </c>
      <c r="Y17" s="62">
        <f t="shared" si="6"/>
        <v>0</v>
      </c>
      <c r="Z17" s="62">
        <f t="shared" si="6"/>
        <v>0</v>
      </c>
      <c r="AA17" s="62">
        <f t="shared" si="6"/>
        <v>0</v>
      </c>
      <c r="AB17" s="62">
        <f t="shared" ref="AB17:AD17" si="9">+AB15+AB16</f>
        <v>0</v>
      </c>
      <c r="AC17" s="62">
        <f t="shared" si="9"/>
        <v>0</v>
      </c>
      <c r="AD17" s="62">
        <f t="shared" si="9"/>
        <v>0</v>
      </c>
      <c r="AE17" s="62">
        <f>+AE15+AE16</f>
        <v>0</v>
      </c>
      <c r="AF17" s="62">
        <f>+AF15+AF16</f>
        <v>0</v>
      </c>
      <c r="AG17" s="62">
        <f>+AG15+AG16</f>
        <v>0</v>
      </c>
    </row>
    <row r="18" spans="1:33" ht="12.75" hidden="1" customHeight="1">
      <c r="A18" s="3" t="s">
        <v>55</v>
      </c>
      <c r="B18" s="1007" t="s">
        <v>54</v>
      </c>
      <c r="C18" s="1007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ht="12.75" hidden="1" customHeight="1">
      <c r="A19" s="3" t="s">
        <v>57</v>
      </c>
      <c r="B19" s="1007" t="s">
        <v>56</v>
      </c>
      <c r="C19" s="1007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ht="12.75" hidden="1" customHeight="1">
      <c r="A20" s="3" t="s">
        <v>58</v>
      </c>
      <c r="B20" s="1007" t="s">
        <v>168</v>
      </c>
      <c r="C20" s="1007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ht="12.75" hidden="1" customHeight="1">
      <c r="A21" s="3" t="s">
        <v>60</v>
      </c>
      <c r="B21" s="1007" t="s">
        <v>59</v>
      </c>
      <c r="C21" s="1007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ht="12.75" hidden="1" customHeight="1">
      <c r="A22" s="3" t="s">
        <v>61</v>
      </c>
      <c r="B22" s="1020" t="s">
        <v>167</v>
      </c>
      <c r="C22" s="1020"/>
      <c r="D22" s="29">
        <f t="shared" si="1"/>
        <v>0</v>
      </c>
      <c r="E22" s="29">
        <f>+H22+N22+Z22+AF22</f>
        <v>0</v>
      </c>
      <c r="F22" s="29">
        <f>+I22+O22+AA22+AG22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ht="12.75" hidden="1" customHeight="1">
      <c r="A23" s="3" t="s">
        <v>64</v>
      </c>
      <c r="B23" s="1004" t="s">
        <v>63</v>
      </c>
      <c r="C23" s="1004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ht="12.75" hidden="1" customHeight="1">
      <c r="A24" s="3" t="s">
        <v>66</v>
      </c>
      <c r="B24" s="1007" t="s">
        <v>65</v>
      </c>
      <c r="C24" s="1007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47" customFormat="1" ht="12.75" customHeight="1">
      <c r="A25" s="5" t="s">
        <v>67</v>
      </c>
      <c r="B25" s="1006" t="s">
        <v>157</v>
      </c>
      <c r="C25" s="1006"/>
      <c r="D25" s="105">
        <f t="shared" si="1"/>
        <v>0</v>
      </c>
      <c r="E25" s="62">
        <f t="shared" ref="E25:AG25" si="10">+E24+E23+E22+E21+E20+E19+E18</f>
        <v>0</v>
      </c>
      <c r="F25" s="62">
        <f t="shared" si="10"/>
        <v>0</v>
      </c>
      <c r="G25" s="62">
        <f t="shared" si="10"/>
        <v>0</v>
      </c>
      <c r="H25" s="62">
        <f t="shared" si="10"/>
        <v>0</v>
      </c>
      <c r="I25" s="62">
        <f t="shared" si="10"/>
        <v>0</v>
      </c>
      <c r="J25" s="62">
        <f t="shared" ref="J25:L25" si="11">+J24+J23+J22+J21+J20+J19+J18</f>
        <v>0</v>
      </c>
      <c r="K25" s="62">
        <f t="shared" si="11"/>
        <v>0</v>
      </c>
      <c r="L25" s="62">
        <f t="shared" si="11"/>
        <v>0</v>
      </c>
      <c r="M25" s="62">
        <f t="shared" si="10"/>
        <v>0</v>
      </c>
      <c r="N25" s="62">
        <f t="shared" si="10"/>
        <v>0</v>
      </c>
      <c r="O25" s="62">
        <f t="shared" si="10"/>
        <v>0</v>
      </c>
      <c r="P25" s="62">
        <f t="shared" ref="P25:X25" si="12">+P24+P23+P22+P21+P20+P19+P18</f>
        <v>0</v>
      </c>
      <c r="Q25" s="62">
        <f t="shared" si="12"/>
        <v>0</v>
      </c>
      <c r="R25" s="62">
        <f t="shared" si="12"/>
        <v>0</v>
      </c>
      <c r="S25" s="62">
        <f t="shared" si="12"/>
        <v>0</v>
      </c>
      <c r="T25" s="62">
        <f t="shared" si="12"/>
        <v>0</v>
      </c>
      <c r="U25" s="62">
        <f t="shared" si="12"/>
        <v>0</v>
      </c>
      <c r="V25" s="62">
        <f t="shared" si="12"/>
        <v>0</v>
      </c>
      <c r="W25" s="62">
        <f t="shared" si="12"/>
        <v>0</v>
      </c>
      <c r="X25" s="62">
        <f t="shared" si="12"/>
        <v>0</v>
      </c>
      <c r="Y25" s="62">
        <f t="shared" si="10"/>
        <v>0</v>
      </c>
      <c r="Z25" s="62">
        <f t="shared" si="10"/>
        <v>0</v>
      </c>
      <c r="AA25" s="62">
        <f t="shared" si="10"/>
        <v>0</v>
      </c>
      <c r="AB25" s="62">
        <f t="shared" ref="AB25:AD25" si="13">+AB24+AB23+AB22+AB21+AB20+AB19+AB18</f>
        <v>0</v>
      </c>
      <c r="AC25" s="62">
        <f t="shared" si="13"/>
        <v>0</v>
      </c>
      <c r="AD25" s="62">
        <f t="shared" si="13"/>
        <v>0</v>
      </c>
      <c r="AE25" s="62">
        <f t="shared" si="10"/>
        <v>0</v>
      </c>
      <c r="AF25" s="62">
        <f t="shared" si="10"/>
        <v>0</v>
      </c>
      <c r="AG25" s="62">
        <f t="shared" si="10"/>
        <v>0</v>
      </c>
    </row>
    <row r="26" spans="1:33" ht="12.75" hidden="1" customHeight="1">
      <c r="A26" s="3" t="s">
        <v>69</v>
      </c>
      <c r="B26" s="1007" t="s">
        <v>68</v>
      </c>
      <c r="C26" s="1007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ht="12.75" hidden="1" customHeight="1">
      <c r="A27" s="3" t="s">
        <v>71</v>
      </c>
      <c r="B27" s="1007" t="s">
        <v>70</v>
      </c>
      <c r="C27" s="1007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47" customFormat="1" ht="12.75" customHeight="1">
      <c r="A28" s="5" t="s">
        <v>72</v>
      </c>
      <c r="B28" s="1006" t="s">
        <v>156</v>
      </c>
      <c r="C28" s="1006"/>
      <c r="D28" s="105">
        <f t="shared" si="1"/>
        <v>0</v>
      </c>
      <c r="E28" s="62"/>
      <c r="F28" s="62"/>
      <c r="G28" s="62">
        <f>SUM(G26:G27)</f>
        <v>0</v>
      </c>
      <c r="H28" s="62">
        <f t="shared" ref="H28:AA28" si="14">SUM(H26:H27)</f>
        <v>0</v>
      </c>
      <c r="I28" s="62">
        <f t="shared" si="14"/>
        <v>0</v>
      </c>
      <c r="J28" s="62">
        <f t="shared" ref="J28:L28" si="15">SUM(J26:J27)</f>
        <v>0</v>
      </c>
      <c r="K28" s="62">
        <f t="shared" si="15"/>
        <v>0</v>
      </c>
      <c r="L28" s="62">
        <f t="shared" si="15"/>
        <v>0</v>
      </c>
      <c r="M28" s="62">
        <f t="shared" si="14"/>
        <v>0</v>
      </c>
      <c r="N28" s="62">
        <f t="shared" si="14"/>
        <v>0</v>
      </c>
      <c r="O28" s="62">
        <f t="shared" si="14"/>
        <v>0</v>
      </c>
      <c r="P28" s="62">
        <f t="shared" ref="P28:X28" si="16">SUM(P26:P27)</f>
        <v>0</v>
      </c>
      <c r="Q28" s="62">
        <f t="shared" si="16"/>
        <v>0</v>
      </c>
      <c r="R28" s="62">
        <f t="shared" si="16"/>
        <v>0</v>
      </c>
      <c r="S28" s="62">
        <f t="shared" si="16"/>
        <v>0</v>
      </c>
      <c r="T28" s="62">
        <f t="shared" si="16"/>
        <v>0</v>
      </c>
      <c r="U28" s="62">
        <f t="shared" si="16"/>
        <v>0</v>
      </c>
      <c r="V28" s="62">
        <f t="shared" si="16"/>
        <v>0</v>
      </c>
      <c r="W28" s="62">
        <f t="shared" si="16"/>
        <v>0</v>
      </c>
      <c r="X28" s="62">
        <f t="shared" si="16"/>
        <v>0</v>
      </c>
      <c r="Y28" s="62">
        <f t="shared" si="14"/>
        <v>0</v>
      </c>
      <c r="Z28" s="62">
        <f t="shared" si="14"/>
        <v>0</v>
      </c>
      <c r="AA28" s="62">
        <f t="shared" si="14"/>
        <v>0</v>
      </c>
      <c r="AB28" s="62">
        <f t="shared" ref="AB28:AD28" si="17">SUM(AB26:AB27)</f>
        <v>0</v>
      </c>
      <c r="AC28" s="62">
        <f t="shared" si="17"/>
        <v>0</v>
      </c>
      <c r="AD28" s="62">
        <f t="shared" si="17"/>
        <v>0</v>
      </c>
      <c r="AE28" s="62">
        <f>SUM(AE26:AE27)</f>
        <v>0</v>
      </c>
      <c r="AF28" s="62">
        <f>SUM(AF26:AF27)</f>
        <v>0</v>
      </c>
      <c r="AG28" s="62">
        <f>SUM(AG26:AG27)</f>
        <v>0</v>
      </c>
    </row>
    <row r="29" spans="1:33" ht="12.75" customHeight="1">
      <c r="A29" s="3" t="s">
        <v>74</v>
      </c>
      <c r="B29" s="1007" t="s">
        <v>73</v>
      </c>
      <c r="C29" s="1007"/>
      <c r="D29" s="29">
        <f t="shared" ref="D29:D33" si="18">+G29+M29+Y29+AE29+P29+J29+S29+V29</f>
        <v>0</v>
      </c>
      <c r="E29" s="29">
        <f t="shared" ref="E29:E33" si="19">+H29+N29+Z29+AF29+Q29+K29+T29+W29</f>
        <v>0</v>
      </c>
      <c r="F29" s="29">
        <f t="shared" ref="F29:F33" si="20">+I29+O29+AA29+AG29+R29+L29+U29+X29</f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ht="12.75" customHeight="1">
      <c r="A30" s="3" t="s">
        <v>76</v>
      </c>
      <c r="B30" s="1007" t="s">
        <v>75</v>
      </c>
      <c r="C30" s="1007"/>
      <c r="D30" s="29">
        <f t="shared" si="18"/>
        <v>0</v>
      </c>
      <c r="E30" s="29">
        <f t="shared" si="19"/>
        <v>2696</v>
      </c>
      <c r="F30" s="29">
        <f t="shared" si="20"/>
        <v>2696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>
        <v>2696</v>
      </c>
      <c r="R30" s="33">
        <f>+P30+Q30</f>
        <v>2696</v>
      </c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ht="12.75" customHeight="1">
      <c r="A31" s="3" t="s">
        <v>77</v>
      </c>
      <c r="B31" s="1007" t="s">
        <v>155</v>
      </c>
      <c r="C31" s="1007"/>
      <c r="D31" s="29">
        <f t="shared" si="18"/>
        <v>0</v>
      </c>
      <c r="E31" s="29">
        <f t="shared" si="19"/>
        <v>0</v>
      </c>
      <c r="F31" s="29">
        <f t="shared" si="20"/>
        <v>0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ht="12.75" customHeight="1">
      <c r="A32" s="3" t="s">
        <v>78</v>
      </c>
      <c r="B32" s="1007" t="s">
        <v>154</v>
      </c>
      <c r="C32" s="1007"/>
      <c r="D32" s="29">
        <f t="shared" si="18"/>
        <v>0</v>
      </c>
      <c r="E32" s="29">
        <f t="shared" si="19"/>
        <v>0</v>
      </c>
      <c r="F32" s="29">
        <f t="shared" si="20"/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ht="12.75" customHeight="1">
      <c r="A33" s="3" t="s">
        <v>80</v>
      </c>
      <c r="B33" s="1007" t="s">
        <v>79</v>
      </c>
      <c r="C33" s="1007"/>
      <c r="D33" s="29">
        <f t="shared" si="18"/>
        <v>0</v>
      </c>
      <c r="E33" s="29">
        <f t="shared" si="19"/>
        <v>0</v>
      </c>
      <c r="F33" s="29">
        <f t="shared" si="20"/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s="47" customFormat="1" ht="12.75" customHeight="1">
      <c r="A34" s="5" t="s">
        <v>81</v>
      </c>
      <c r="B34" s="1006" t="s">
        <v>153</v>
      </c>
      <c r="C34" s="1006"/>
      <c r="D34" s="105">
        <f t="shared" ref="D34:D35" si="21">+G34+M34+Y34+AE34+P34+J34+S34+V34</f>
        <v>0</v>
      </c>
      <c r="E34" s="105">
        <f t="shared" ref="E34:E35" si="22">+H34+N34+Z34+AF34+Q34+K34+T34+W34</f>
        <v>2696</v>
      </c>
      <c r="F34" s="105">
        <f t="shared" ref="F34:F35" si="23">+I34+O34+AA34+AG34+R34+L34+U34+X34</f>
        <v>2696</v>
      </c>
      <c r="G34" s="62">
        <f>SUM(G29:G33)</f>
        <v>0</v>
      </c>
      <c r="H34" s="62">
        <f t="shared" ref="H34:AA34" si="24">SUM(H29:H33)</f>
        <v>0</v>
      </c>
      <c r="I34" s="62">
        <f t="shared" si="24"/>
        <v>0</v>
      </c>
      <c r="J34" s="62">
        <f t="shared" ref="J34:L34" si="25">SUM(J29:J33)</f>
        <v>0</v>
      </c>
      <c r="K34" s="62">
        <f t="shared" si="25"/>
        <v>0</v>
      </c>
      <c r="L34" s="62">
        <f t="shared" si="25"/>
        <v>0</v>
      </c>
      <c r="M34" s="62">
        <f t="shared" si="24"/>
        <v>0</v>
      </c>
      <c r="N34" s="62">
        <f t="shared" si="24"/>
        <v>0</v>
      </c>
      <c r="O34" s="62">
        <f t="shared" si="24"/>
        <v>0</v>
      </c>
      <c r="P34" s="62">
        <f t="shared" ref="P34:X34" si="26">SUM(P29:P33)</f>
        <v>0</v>
      </c>
      <c r="Q34" s="62">
        <f t="shared" si="26"/>
        <v>2696</v>
      </c>
      <c r="R34" s="62">
        <f t="shared" si="26"/>
        <v>2696</v>
      </c>
      <c r="S34" s="62">
        <f t="shared" si="26"/>
        <v>0</v>
      </c>
      <c r="T34" s="62">
        <f t="shared" si="26"/>
        <v>0</v>
      </c>
      <c r="U34" s="62">
        <f t="shared" si="26"/>
        <v>0</v>
      </c>
      <c r="V34" s="62">
        <f t="shared" si="26"/>
        <v>0</v>
      </c>
      <c r="W34" s="62">
        <f t="shared" si="26"/>
        <v>0</v>
      </c>
      <c r="X34" s="62">
        <f t="shared" si="26"/>
        <v>0</v>
      </c>
      <c r="Y34" s="62">
        <f t="shared" si="24"/>
        <v>0</v>
      </c>
      <c r="Z34" s="62">
        <f t="shared" si="24"/>
        <v>0</v>
      </c>
      <c r="AA34" s="62">
        <f t="shared" si="24"/>
        <v>0</v>
      </c>
      <c r="AB34" s="62">
        <f t="shared" ref="AB34:AD34" si="27">SUM(AB29:AB33)</f>
        <v>0</v>
      </c>
      <c r="AC34" s="62">
        <f t="shared" si="27"/>
        <v>0</v>
      </c>
      <c r="AD34" s="62">
        <f t="shared" si="27"/>
        <v>0</v>
      </c>
      <c r="AE34" s="62">
        <f>SUM(AE29:AE33)</f>
        <v>0</v>
      </c>
      <c r="AF34" s="62">
        <f>SUM(AF29:AF33)</f>
        <v>0</v>
      </c>
      <c r="AG34" s="62">
        <f>SUM(AG29:AG33)</f>
        <v>0</v>
      </c>
    </row>
    <row r="35" spans="1:33" s="47" customFormat="1" ht="12.75" customHeight="1">
      <c r="A35" s="6" t="s">
        <v>82</v>
      </c>
      <c r="B35" s="1003" t="s">
        <v>152</v>
      </c>
      <c r="C35" s="1003"/>
      <c r="D35" s="105">
        <f t="shared" si="21"/>
        <v>0</v>
      </c>
      <c r="E35" s="105">
        <f t="shared" si="22"/>
        <v>2696</v>
      </c>
      <c r="F35" s="105">
        <f t="shared" si="23"/>
        <v>2696</v>
      </c>
      <c r="G35" s="59">
        <f t="shared" ref="G35:AG35" si="28">+G34+G28+G25+G17+G14</f>
        <v>0</v>
      </c>
      <c r="H35" s="59">
        <f t="shared" si="28"/>
        <v>0</v>
      </c>
      <c r="I35" s="59">
        <f t="shared" si="28"/>
        <v>0</v>
      </c>
      <c r="J35" s="59">
        <f t="shared" ref="J35:L35" si="29">+J34+J28+J25+J17+J14</f>
        <v>0</v>
      </c>
      <c r="K35" s="59">
        <f t="shared" si="29"/>
        <v>0</v>
      </c>
      <c r="L35" s="59">
        <f t="shared" si="29"/>
        <v>0</v>
      </c>
      <c r="M35" s="59">
        <f t="shared" si="28"/>
        <v>0</v>
      </c>
      <c r="N35" s="59">
        <f t="shared" si="28"/>
        <v>0</v>
      </c>
      <c r="O35" s="59">
        <f t="shared" si="28"/>
        <v>0</v>
      </c>
      <c r="P35" s="59">
        <f t="shared" ref="P35:X35" si="30">+P34+P28+P25+P17+P14</f>
        <v>0</v>
      </c>
      <c r="Q35" s="59">
        <f t="shared" si="30"/>
        <v>2696</v>
      </c>
      <c r="R35" s="59">
        <f t="shared" si="30"/>
        <v>2696</v>
      </c>
      <c r="S35" s="59">
        <f t="shared" si="30"/>
        <v>0</v>
      </c>
      <c r="T35" s="59">
        <f t="shared" si="30"/>
        <v>0</v>
      </c>
      <c r="U35" s="59">
        <f t="shared" si="30"/>
        <v>0</v>
      </c>
      <c r="V35" s="59">
        <f t="shared" si="30"/>
        <v>0</v>
      </c>
      <c r="W35" s="59">
        <f t="shared" si="30"/>
        <v>0</v>
      </c>
      <c r="X35" s="59">
        <f t="shared" si="30"/>
        <v>0</v>
      </c>
      <c r="Y35" s="59">
        <f t="shared" si="28"/>
        <v>0</v>
      </c>
      <c r="Z35" s="59">
        <f t="shared" si="28"/>
        <v>0</v>
      </c>
      <c r="AA35" s="59">
        <f t="shared" si="28"/>
        <v>0</v>
      </c>
      <c r="AB35" s="59">
        <f t="shared" ref="AB35:AD35" si="31">+AB34+AB28+AB25+AB17+AB14</f>
        <v>0</v>
      </c>
      <c r="AC35" s="59">
        <f t="shared" si="31"/>
        <v>0</v>
      </c>
      <c r="AD35" s="59">
        <f t="shared" si="31"/>
        <v>0</v>
      </c>
      <c r="AE35" s="59">
        <f t="shared" si="28"/>
        <v>0</v>
      </c>
      <c r="AF35" s="59">
        <f t="shared" si="28"/>
        <v>0</v>
      </c>
      <c r="AG35" s="59">
        <f t="shared" si="28"/>
        <v>0</v>
      </c>
    </row>
    <row r="36" spans="1:33" ht="11.25" customHeight="1">
      <c r="A36" s="347"/>
      <c r="B36" s="348"/>
      <c r="C36" s="348"/>
      <c r="D36" s="349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</row>
    <row r="37" spans="1:33" ht="12" customHeight="1">
      <c r="A37" s="7"/>
      <c r="B37" s="1018"/>
      <c r="C37" s="1018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2"/>
      <c r="S37" s="31"/>
      <c r="T37" s="31"/>
      <c r="U37" s="32"/>
      <c r="V37" s="31"/>
      <c r="W37" s="31"/>
      <c r="X37" s="32"/>
      <c r="Y37" s="31"/>
      <c r="Z37" s="31"/>
      <c r="AA37" s="32"/>
      <c r="AB37" s="31"/>
      <c r="AC37" s="31"/>
      <c r="AD37" s="32"/>
      <c r="AE37" s="31"/>
      <c r="AF37" s="31"/>
      <c r="AG37" s="31"/>
    </row>
    <row r="38" spans="1:33" ht="12.75" hidden="1" customHeight="1">
      <c r="A38" s="3" t="s">
        <v>97</v>
      </c>
      <c r="B38" s="1002" t="s">
        <v>96</v>
      </c>
      <c r="C38" s="1002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ht="12.75" hidden="1" customHeight="1">
      <c r="A39" s="3" t="s">
        <v>99</v>
      </c>
      <c r="B39" s="1002" t="s">
        <v>98</v>
      </c>
      <c r="C39" s="1002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ht="23.25" hidden="1" customHeight="1">
      <c r="A40" s="3" t="s">
        <v>102</v>
      </c>
      <c r="B40" s="1002" t="s">
        <v>166</v>
      </c>
      <c r="C40" s="1002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ht="25.5" hidden="1" customHeight="1">
      <c r="A41" s="3" t="s">
        <v>104</v>
      </c>
      <c r="B41" s="1002" t="s">
        <v>103</v>
      </c>
      <c r="C41" s="1002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27" hidden="1" customHeight="1">
      <c r="A42" s="3" t="s">
        <v>108</v>
      </c>
      <c r="B42" s="1002" t="s">
        <v>165</v>
      </c>
      <c r="C42" s="1002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ht="12.75" hidden="1" customHeight="1">
      <c r="A43" s="3" t="s">
        <v>711</v>
      </c>
      <c r="B43" s="1007" t="s">
        <v>107</v>
      </c>
      <c r="C43" s="1007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s="47" customFormat="1" ht="12.75" customHeight="1">
      <c r="A44" s="5" t="s">
        <v>109</v>
      </c>
      <c r="B44" s="1006" t="s">
        <v>164</v>
      </c>
      <c r="C44" s="1006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</row>
    <row r="45" spans="1:33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2"/>
      <c r="S45" s="31"/>
      <c r="T45" s="31"/>
      <c r="U45" s="32"/>
      <c r="V45" s="31"/>
      <c r="W45" s="31"/>
      <c r="X45" s="32"/>
      <c r="Y45" s="31"/>
      <c r="Z45" s="31"/>
      <c r="AA45" s="32"/>
      <c r="AB45" s="31"/>
      <c r="AC45" s="31"/>
      <c r="AD45" s="32"/>
      <c r="AE45" s="31"/>
      <c r="AF45" s="31"/>
      <c r="AG45" s="31"/>
    </row>
    <row r="46" spans="1:33" ht="12.75" customHeight="1">
      <c r="A46" s="12" t="s">
        <v>111</v>
      </c>
      <c r="B46" s="1004" t="s">
        <v>110</v>
      </c>
      <c r="C46" s="1004"/>
      <c r="D46" s="29">
        <f>+G46+M46+Y46+AE46+P46+J46+S46+V46+AB46</f>
        <v>38619</v>
      </c>
      <c r="E46" s="29">
        <f t="shared" ref="E46:F46" si="32">+H46+N46+Z46+AF46+Q46+K46+T46+W46+AC46</f>
        <v>1659</v>
      </c>
      <c r="F46" s="29">
        <f t="shared" si="32"/>
        <v>40278</v>
      </c>
      <c r="G46" s="33">
        <f>+'[4]5.b. mell. VF saját forrásból'!$I46</f>
        <v>750</v>
      </c>
      <c r="H46" s="33"/>
      <c r="I46" s="33">
        <f>+G46+H46</f>
        <v>750</v>
      </c>
      <c r="J46" s="33">
        <f>+'[4]5.b. mell. VF saját forrásból'!$L46</f>
        <v>1000</v>
      </c>
      <c r="K46" s="33"/>
      <c r="L46" s="33">
        <f>+J46+K46</f>
        <v>1000</v>
      </c>
      <c r="M46" s="33"/>
      <c r="N46" s="33"/>
      <c r="O46" s="33">
        <f>+M46+N46</f>
        <v>0</v>
      </c>
      <c r="P46" s="33">
        <f>+'[4]5.b. mell. VF saját forrásból'!$R46</f>
        <v>1700</v>
      </c>
      <c r="Q46" s="33"/>
      <c r="R46" s="33">
        <f>+P46+Q46</f>
        <v>1700</v>
      </c>
      <c r="S46" s="33">
        <f>+'[4]5.b. mell. VF saját forrásból'!$U46</f>
        <v>8995</v>
      </c>
      <c r="T46" s="33">
        <v>980</v>
      </c>
      <c r="U46" s="33">
        <f>+S46+T46</f>
        <v>9975</v>
      </c>
      <c r="V46" s="33">
        <f>+'[4]5.b. mell. VF saját forrásból'!$X46</f>
        <v>1180</v>
      </c>
      <c r="W46" s="33"/>
      <c r="X46" s="33">
        <f>+V46+W46</f>
        <v>1180</v>
      </c>
      <c r="Y46" s="33">
        <f>+'[4]5.b. mell. VF saját forrásból'!$AA46</f>
        <v>24994</v>
      </c>
      <c r="Z46" s="33">
        <v>679</v>
      </c>
      <c r="AA46" s="33">
        <f>+Y46+Z46</f>
        <v>25673</v>
      </c>
      <c r="AB46" s="33"/>
      <c r="AC46" s="33"/>
      <c r="AD46" s="33">
        <f>+AB46+AC46</f>
        <v>0</v>
      </c>
      <c r="AE46" s="33">
        <f>+'[4]5.b. mell. VF saját forrásból'!$AD46</f>
        <v>0</v>
      </c>
      <c r="AF46" s="33"/>
      <c r="AG46" s="33">
        <f>+AE46+AF46</f>
        <v>0</v>
      </c>
    </row>
    <row r="47" spans="1:33" ht="12.75" customHeight="1">
      <c r="A47" s="3" t="s">
        <v>112</v>
      </c>
      <c r="B47" s="1007" t="s">
        <v>163</v>
      </c>
      <c r="C47" s="1007"/>
      <c r="D47" s="29">
        <f t="shared" ref="D47:D52" si="33">+G47+M47+Y47+AE47+P47+J47+S47+V47+AB47</f>
        <v>21278</v>
      </c>
      <c r="E47" s="29">
        <f t="shared" ref="E47:E52" si="34">+H47+N47+Z47+AF47+Q47+K47+T47+W47+AC47</f>
        <v>63686</v>
      </c>
      <c r="F47" s="29">
        <f t="shared" ref="F47:F52" si="35">+I47+O47+AA47+AG47+R47+L47+U47+X47+AD47</f>
        <v>84964</v>
      </c>
      <c r="G47" s="33">
        <f>+'[4]5.b. mell. VF saját forrásból'!$I47</f>
        <v>15979</v>
      </c>
      <c r="H47" s="30">
        <f>573+554+7000</f>
        <v>8127</v>
      </c>
      <c r="I47" s="33">
        <f t="shared" ref="I47:I52" si="36">+G47+H47</f>
        <v>24106</v>
      </c>
      <c r="J47" s="33">
        <f>+'[4]5.b. mell. VF saját forrásból'!$L47</f>
        <v>0</v>
      </c>
      <c r="K47" s="30"/>
      <c r="L47" s="33">
        <f t="shared" ref="L47:L52" si="37">+J47+K47</f>
        <v>0</v>
      </c>
      <c r="M47" s="30"/>
      <c r="N47" s="30">
        <v>2480</v>
      </c>
      <c r="O47" s="33">
        <f t="shared" ref="O47:O52" si="38">+M47+N47</f>
        <v>2480</v>
      </c>
      <c r="P47" s="33">
        <f>+'[4]5.b. mell. VF saját forrásból'!$R47</f>
        <v>355</v>
      </c>
      <c r="Q47" s="30">
        <f>9986+1200+7720</f>
        <v>18906</v>
      </c>
      <c r="R47" s="33">
        <f t="shared" ref="R47:R52" si="39">+P47+Q47</f>
        <v>19261</v>
      </c>
      <c r="S47" s="33">
        <f>+'[4]5.b. mell. VF saját forrásból'!$U47</f>
        <v>4724</v>
      </c>
      <c r="T47" s="30">
        <f>33366+669</f>
        <v>34035</v>
      </c>
      <c r="U47" s="33">
        <f t="shared" ref="U47:U52" si="40">+S47+T47</f>
        <v>38759</v>
      </c>
      <c r="V47" s="33">
        <f>+'[4]5.b. mell. VF saját forrásból'!$X47</f>
        <v>0</v>
      </c>
      <c r="W47" s="30"/>
      <c r="X47" s="33">
        <f t="shared" ref="X47:X52" si="41">+V47+W47</f>
        <v>0</v>
      </c>
      <c r="Y47" s="33">
        <f>+'[4]5.b. mell. VF saját forrásból'!$AA47</f>
        <v>220</v>
      </c>
      <c r="Z47" s="30">
        <v>138</v>
      </c>
      <c r="AA47" s="33">
        <f t="shared" ref="AA47:AA52" si="42">+Y47+Z47</f>
        <v>358</v>
      </c>
      <c r="AB47" s="33"/>
      <c r="AC47" s="30"/>
      <c r="AD47" s="33">
        <f t="shared" ref="AD47:AD52" si="43">+AB47+AC47</f>
        <v>0</v>
      </c>
      <c r="AE47" s="33">
        <f>+'[4]5.b. mell. VF saját forrásból'!$AD47</f>
        <v>0</v>
      </c>
      <c r="AF47" s="33"/>
      <c r="AG47" s="33">
        <f t="shared" ref="AG47:AG52" si="44">+AE47+AF47</f>
        <v>0</v>
      </c>
    </row>
    <row r="48" spans="1:33" ht="12.75" customHeight="1">
      <c r="A48" s="3" t="s">
        <v>115</v>
      </c>
      <c r="B48" s="1007" t="s">
        <v>114</v>
      </c>
      <c r="C48" s="1007"/>
      <c r="D48" s="29">
        <f t="shared" si="33"/>
        <v>388</v>
      </c>
      <c r="E48" s="29">
        <f t="shared" si="34"/>
        <v>0</v>
      </c>
      <c r="F48" s="29">
        <f t="shared" si="35"/>
        <v>388</v>
      </c>
      <c r="G48" s="33">
        <f>+'[4]5.b. mell. VF saját forrásból'!$I48</f>
        <v>0</v>
      </c>
      <c r="H48" s="30"/>
      <c r="I48" s="33">
        <f t="shared" si="36"/>
        <v>0</v>
      </c>
      <c r="J48" s="33">
        <f>+'[4]5.b. mell. VF saját forrásból'!$L48</f>
        <v>388</v>
      </c>
      <c r="K48" s="30"/>
      <c r="L48" s="33">
        <f t="shared" si="37"/>
        <v>388</v>
      </c>
      <c r="M48" s="30"/>
      <c r="N48" s="30"/>
      <c r="O48" s="33">
        <f t="shared" si="38"/>
        <v>0</v>
      </c>
      <c r="P48" s="33">
        <f>+'[4]5.b. mell. VF saját forrásból'!$R48</f>
        <v>0</v>
      </c>
      <c r="Q48" s="30"/>
      <c r="R48" s="33">
        <f t="shared" si="39"/>
        <v>0</v>
      </c>
      <c r="S48" s="33">
        <f>+'[4]5.b. mell. VF saját forrásból'!$U48</f>
        <v>0</v>
      </c>
      <c r="T48" s="30"/>
      <c r="U48" s="33">
        <f t="shared" si="40"/>
        <v>0</v>
      </c>
      <c r="V48" s="33">
        <f>+'[4]5.b. mell. VF saját forrásból'!$X48</f>
        <v>0</v>
      </c>
      <c r="W48" s="30"/>
      <c r="X48" s="33">
        <f t="shared" si="41"/>
        <v>0</v>
      </c>
      <c r="Y48" s="33">
        <f>+'[4]5.b. mell. VF saját forrásból'!$AA48</f>
        <v>0</v>
      </c>
      <c r="Z48" s="30"/>
      <c r="AA48" s="33">
        <f t="shared" si="42"/>
        <v>0</v>
      </c>
      <c r="AB48" s="33"/>
      <c r="AC48" s="30"/>
      <c r="AD48" s="33">
        <f t="shared" si="43"/>
        <v>0</v>
      </c>
      <c r="AE48" s="33">
        <f>+'[4]5.b. mell. VF saját forrásból'!$AD48</f>
        <v>0</v>
      </c>
      <c r="AF48" s="33"/>
      <c r="AG48" s="33">
        <f t="shared" si="44"/>
        <v>0</v>
      </c>
    </row>
    <row r="49" spans="1:35" ht="12.75" customHeight="1">
      <c r="A49" s="3" t="s">
        <v>117</v>
      </c>
      <c r="B49" s="1007" t="s">
        <v>116</v>
      </c>
      <c r="C49" s="1007"/>
      <c r="D49" s="29">
        <f t="shared" si="33"/>
        <v>3038</v>
      </c>
      <c r="E49" s="29">
        <f t="shared" si="34"/>
        <v>3218</v>
      </c>
      <c r="F49" s="29">
        <f t="shared" si="35"/>
        <v>6256</v>
      </c>
      <c r="G49" s="33">
        <f>+'[4]5.b. mell. VF saját forrásból'!$I49</f>
        <v>0</v>
      </c>
      <c r="H49" s="30"/>
      <c r="I49" s="33">
        <f t="shared" si="36"/>
        <v>0</v>
      </c>
      <c r="J49" s="33">
        <f>+'[4]5.b. mell. VF saját forrásból'!$L49</f>
        <v>0</v>
      </c>
      <c r="K49" s="30">
        <v>520</v>
      </c>
      <c r="L49" s="33">
        <f t="shared" si="37"/>
        <v>520</v>
      </c>
      <c r="M49" s="30"/>
      <c r="N49" s="30"/>
      <c r="O49" s="33">
        <f t="shared" si="38"/>
        <v>0</v>
      </c>
      <c r="P49" s="33">
        <f>+'[4]5.b. mell. VF saját forrásból'!$R49</f>
        <v>0</v>
      </c>
      <c r="Q49" s="30"/>
      <c r="R49" s="33">
        <f t="shared" si="39"/>
        <v>0</v>
      </c>
      <c r="S49" s="33">
        <f>+'[4]5.b. mell. VF saját forrásból'!$U49</f>
        <v>2585</v>
      </c>
      <c r="T49" s="30"/>
      <c r="U49" s="33">
        <f t="shared" si="40"/>
        <v>2585</v>
      </c>
      <c r="V49" s="33">
        <f>+'[4]5.b. mell. VF saját forrásból'!$X49</f>
        <v>0</v>
      </c>
      <c r="W49" s="30"/>
      <c r="X49" s="33">
        <f t="shared" si="41"/>
        <v>0</v>
      </c>
      <c r="Y49" s="33">
        <f>+'[4]5.b. mell. VF saját forrásból'!$AA49</f>
        <v>0</v>
      </c>
      <c r="Z49" s="30"/>
      <c r="AA49" s="33">
        <f t="shared" si="42"/>
        <v>0</v>
      </c>
      <c r="AB49" s="33"/>
      <c r="AC49" s="30">
        <v>944</v>
      </c>
      <c r="AD49" s="33">
        <f t="shared" si="43"/>
        <v>944</v>
      </c>
      <c r="AE49" s="33">
        <f>+'[4]5.b. mell. VF saját forrásból'!$AD49</f>
        <v>453</v>
      </c>
      <c r="AF49" s="33">
        <v>1754</v>
      </c>
      <c r="AG49" s="33">
        <f t="shared" si="44"/>
        <v>2207</v>
      </c>
    </row>
    <row r="50" spans="1:35" ht="12.75" customHeight="1">
      <c r="A50" s="3" t="s">
        <v>119</v>
      </c>
      <c r="B50" s="1007" t="s">
        <v>118</v>
      </c>
      <c r="C50" s="1007"/>
      <c r="D50" s="29">
        <f t="shared" si="33"/>
        <v>0</v>
      </c>
      <c r="E50" s="29">
        <f t="shared" si="34"/>
        <v>30000</v>
      </c>
      <c r="F50" s="29">
        <f t="shared" si="35"/>
        <v>30000</v>
      </c>
      <c r="G50" s="33">
        <f>+'[4]5.b. mell. VF saját forrásból'!$I50</f>
        <v>0</v>
      </c>
      <c r="H50" s="30"/>
      <c r="I50" s="33">
        <f t="shared" si="36"/>
        <v>0</v>
      </c>
      <c r="J50" s="33">
        <f>+'[4]5.b. mell. VF saját forrásból'!$L50</f>
        <v>0</v>
      </c>
      <c r="K50" s="30">
        <v>30000</v>
      </c>
      <c r="L50" s="33">
        <f t="shared" si="37"/>
        <v>30000</v>
      </c>
      <c r="M50" s="30"/>
      <c r="N50" s="30"/>
      <c r="O50" s="33">
        <f t="shared" si="38"/>
        <v>0</v>
      </c>
      <c r="P50" s="33">
        <f>+'[4]5.b. mell. VF saját forrásból'!$R50</f>
        <v>0</v>
      </c>
      <c r="Q50" s="30"/>
      <c r="R50" s="33">
        <f t="shared" si="39"/>
        <v>0</v>
      </c>
      <c r="S50" s="33">
        <f>+'[4]5.b. mell. VF saját forrásból'!$U50</f>
        <v>0</v>
      </c>
      <c r="T50" s="30"/>
      <c r="U50" s="33">
        <f t="shared" si="40"/>
        <v>0</v>
      </c>
      <c r="V50" s="33">
        <f>+'[4]5.b. mell. VF saját forrásból'!$X50</f>
        <v>0</v>
      </c>
      <c r="W50" s="30"/>
      <c r="X50" s="33">
        <f t="shared" si="41"/>
        <v>0</v>
      </c>
      <c r="Y50" s="33">
        <f>+'[4]5.b. mell. VF saját forrásból'!$AA50</f>
        <v>0</v>
      </c>
      <c r="Z50" s="30"/>
      <c r="AA50" s="33">
        <f t="shared" si="42"/>
        <v>0</v>
      </c>
      <c r="AB50" s="33"/>
      <c r="AC50" s="30"/>
      <c r="AD50" s="33">
        <f t="shared" si="43"/>
        <v>0</v>
      </c>
      <c r="AE50" s="33">
        <f>+'[4]5.b. mell. VF saját forrásból'!$AD50</f>
        <v>0</v>
      </c>
      <c r="AF50" s="33"/>
      <c r="AG50" s="33">
        <f t="shared" si="44"/>
        <v>0</v>
      </c>
    </row>
    <row r="51" spans="1:35" ht="12.75" customHeight="1">
      <c r="A51" s="3" t="s">
        <v>121</v>
      </c>
      <c r="B51" s="1007" t="s">
        <v>120</v>
      </c>
      <c r="C51" s="1007"/>
      <c r="D51" s="29">
        <f t="shared" si="33"/>
        <v>0</v>
      </c>
      <c r="E51" s="29">
        <f t="shared" si="34"/>
        <v>0</v>
      </c>
      <c r="F51" s="29">
        <f t="shared" si="35"/>
        <v>0</v>
      </c>
      <c r="G51" s="33">
        <f>+'[4]5.b. mell. VF saját forrásból'!$I51</f>
        <v>0</v>
      </c>
      <c r="H51" s="30"/>
      <c r="I51" s="33">
        <f t="shared" si="36"/>
        <v>0</v>
      </c>
      <c r="J51" s="33">
        <f>+'[4]5.b. mell. VF saját forrásból'!$L51</f>
        <v>0</v>
      </c>
      <c r="K51" s="30"/>
      <c r="L51" s="33">
        <f t="shared" si="37"/>
        <v>0</v>
      </c>
      <c r="M51" s="30"/>
      <c r="N51" s="30"/>
      <c r="O51" s="33">
        <f t="shared" si="38"/>
        <v>0</v>
      </c>
      <c r="P51" s="33">
        <f>+'[4]5.b. mell. VF saját forrásból'!$R51</f>
        <v>0</v>
      </c>
      <c r="Q51" s="30"/>
      <c r="R51" s="33">
        <f t="shared" si="39"/>
        <v>0</v>
      </c>
      <c r="S51" s="33">
        <f>+'[4]5.b. mell. VF saját forrásból'!$U51</f>
        <v>0</v>
      </c>
      <c r="T51" s="30"/>
      <c r="U51" s="33">
        <f t="shared" si="40"/>
        <v>0</v>
      </c>
      <c r="V51" s="33">
        <f>+'[4]5.b. mell. VF saját forrásból'!$X51</f>
        <v>0</v>
      </c>
      <c r="W51" s="30"/>
      <c r="X51" s="33">
        <f t="shared" si="41"/>
        <v>0</v>
      </c>
      <c r="Y51" s="33">
        <f>+'[4]5.b. mell. VF saját forrásból'!$AA51</f>
        <v>0</v>
      </c>
      <c r="Z51" s="30"/>
      <c r="AA51" s="33">
        <f t="shared" si="42"/>
        <v>0</v>
      </c>
      <c r="AB51" s="33"/>
      <c r="AC51" s="30"/>
      <c r="AD51" s="33">
        <f t="shared" si="43"/>
        <v>0</v>
      </c>
      <c r="AE51" s="33">
        <f>+'[4]5.b. mell. VF saját forrásból'!$AD51</f>
        <v>0</v>
      </c>
      <c r="AF51" s="33"/>
      <c r="AG51" s="33">
        <f t="shared" si="44"/>
        <v>0</v>
      </c>
    </row>
    <row r="52" spans="1:35" ht="12.75" customHeight="1">
      <c r="A52" s="3" t="s">
        <v>123</v>
      </c>
      <c r="B52" s="1007" t="s">
        <v>122</v>
      </c>
      <c r="C52" s="1007"/>
      <c r="D52" s="29">
        <f t="shared" si="33"/>
        <v>12966</v>
      </c>
      <c r="E52" s="29">
        <f t="shared" si="34"/>
        <v>4920</v>
      </c>
      <c r="F52" s="29">
        <f t="shared" si="35"/>
        <v>17886</v>
      </c>
      <c r="G52" s="33">
        <f>+'[4]5.b. mell. VF saját forrásból'!$I52</f>
        <v>441</v>
      </c>
      <c r="H52" s="30">
        <f>155+150</f>
        <v>305</v>
      </c>
      <c r="I52" s="33">
        <f t="shared" si="36"/>
        <v>746</v>
      </c>
      <c r="J52" s="33">
        <f>+'[4]5.b. mell. VF saját forrásból'!$L52</f>
        <v>375</v>
      </c>
      <c r="K52" s="30">
        <v>141</v>
      </c>
      <c r="L52" s="33">
        <f t="shared" si="37"/>
        <v>516</v>
      </c>
      <c r="M52" s="30"/>
      <c r="N52" s="30">
        <v>670</v>
      </c>
      <c r="O52" s="33">
        <f t="shared" si="38"/>
        <v>670</v>
      </c>
      <c r="P52" s="33">
        <f>+'[4]5.b. mell. VF saját forrásból'!$R52</f>
        <v>540</v>
      </c>
      <c r="Q52" s="30">
        <f>324+2084</f>
        <v>2408</v>
      </c>
      <c r="R52" s="33">
        <f t="shared" si="39"/>
        <v>2948</v>
      </c>
      <c r="S52" s="33">
        <f>+'[4]5.b. mell. VF saját forrásból'!$U52</f>
        <v>4362</v>
      </c>
      <c r="T52" s="30">
        <f>265+181</f>
        <v>446</v>
      </c>
      <c r="U52" s="33">
        <f t="shared" si="40"/>
        <v>4808</v>
      </c>
      <c r="V52" s="33">
        <f>+'[4]5.b. mell. VF saját forrásból'!$X52</f>
        <v>319</v>
      </c>
      <c r="W52" s="30"/>
      <c r="X52" s="33">
        <f t="shared" si="41"/>
        <v>319</v>
      </c>
      <c r="Y52" s="33">
        <f>+'[4]5.b. mell. VF saját forrásból'!$AA52</f>
        <v>6807</v>
      </c>
      <c r="Z52" s="30">
        <f>183+38</f>
        <v>221</v>
      </c>
      <c r="AA52" s="33">
        <f t="shared" si="42"/>
        <v>7028</v>
      </c>
      <c r="AB52" s="33"/>
      <c r="AC52" s="30">
        <v>255</v>
      </c>
      <c r="AD52" s="33">
        <f t="shared" si="43"/>
        <v>255</v>
      </c>
      <c r="AE52" s="33">
        <f>+'[4]5.b. mell. VF saját forrásból'!$AD52</f>
        <v>122</v>
      </c>
      <c r="AF52" s="33">
        <v>474</v>
      </c>
      <c r="AG52" s="33">
        <f t="shared" si="44"/>
        <v>596</v>
      </c>
    </row>
    <row r="53" spans="1:35" s="47" customFormat="1" ht="12.75" customHeight="1">
      <c r="A53" s="6" t="s">
        <v>124</v>
      </c>
      <c r="B53" s="1003" t="s">
        <v>162</v>
      </c>
      <c r="C53" s="1003"/>
      <c r="D53" s="59">
        <f>SUM(D46:D52)</f>
        <v>76289</v>
      </c>
      <c r="E53" s="59">
        <f t="shared" ref="E53:I53" si="45">SUM(E46:E52)</f>
        <v>103483</v>
      </c>
      <c r="F53" s="59">
        <f t="shared" si="45"/>
        <v>179772</v>
      </c>
      <c r="G53" s="59">
        <f t="shared" si="45"/>
        <v>17170</v>
      </c>
      <c r="H53" s="59">
        <f t="shared" si="45"/>
        <v>8432</v>
      </c>
      <c r="I53" s="59">
        <f t="shared" si="45"/>
        <v>25602</v>
      </c>
      <c r="J53" s="59">
        <f t="shared" ref="J53:L53" si="46">+J52+J51+J50+J49+J48+J47+J46</f>
        <v>1763</v>
      </c>
      <c r="K53" s="59">
        <f t="shared" si="46"/>
        <v>30661</v>
      </c>
      <c r="L53" s="59">
        <f t="shared" si="46"/>
        <v>32424</v>
      </c>
      <c r="M53" s="59">
        <f t="shared" ref="M53:AG53" si="47">+M52+M51+M50+M49+M48+M47+M46</f>
        <v>0</v>
      </c>
      <c r="N53" s="59">
        <f t="shared" si="47"/>
        <v>3150</v>
      </c>
      <c r="O53" s="59">
        <f t="shared" si="47"/>
        <v>3150</v>
      </c>
      <c r="P53" s="59">
        <f t="shared" ref="P53:X53" si="48">+P52+P51+P50+P49+P48+P47+P46</f>
        <v>2595</v>
      </c>
      <c r="Q53" s="59">
        <f t="shared" si="48"/>
        <v>21314</v>
      </c>
      <c r="R53" s="59">
        <f t="shared" si="48"/>
        <v>23909</v>
      </c>
      <c r="S53" s="59">
        <f t="shared" si="48"/>
        <v>20666</v>
      </c>
      <c r="T53" s="59">
        <f t="shared" si="48"/>
        <v>35461</v>
      </c>
      <c r="U53" s="59">
        <f t="shared" si="48"/>
        <v>56127</v>
      </c>
      <c r="V53" s="59">
        <f t="shared" si="48"/>
        <v>1499</v>
      </c>
      <c r="W53" s="59">
        <f t="shared" si="48"/>
        <v>0</v>
      </c>
      <c r="X53" s="59">
        <f t="shared" si="48"/>
        <v>1499</v>
      </c>
      <c r="Y53" s="59">
        <f t="shared" si="47"/>
        <v>32021</v>
      </c>
      <c r="Z53" s="59">
        <f t="shared" si="47"/>
        <v>1038</v>
      </c>
      <c r="AA53" s="59">
        <f t="shared" ref="AA53:AC53" si="49">+AA52+AA51+AA50+AA49+AA48+AA47+AA46</f>
        <v>33059</v>
      </c>
      <c r="AB53" s="59">
        <f t="shared" si="49"/>
        <v>0</v>
      </c>
      <c r="AC53" s="59">
        <f t="shared" si="49"/>
        <v>1199</v>
      </c>
      <c r="AD53" s="59">
        <f t="shared" ref="AD53" si="50">+AD52+AD51+AD50+AD49+AD48+AD47+AD46</f>
        <v>1199</v>
      </c>
      <c r="AE53" s="59">
        <f t="shared" si="47"/>
        <v>575</v>
      </c>
      <c r="AF53" s="59">
        <f t="shared" si="47"/>
        <v>2228</v>
      </c>
      <c r="AG53" s="59">
        <f t="shared" si="47"/>
        <v>2803</v>
      </c>
    </row>
    <row r="54" spans="1:35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2"/>
      <c r="S54" s="31"/>
      <c r="T54" s="31"/>
      <c r="U54" s="32"/>
      <c r="V54" s="31"/>
      <c r="W54" s="31"/>
      <c r="X54" s="32"/>
      <c r="Y54" s="31"/>
      <c r="Z54" s="31"/>
      <c r="AA54" s="32"/>
      <c r="AB54" s="31"/>
      <c r="AC54" s="31"/>
      <c r="AD54" s="32"/>
      <c r="AE54" s="31"/>
      <c r="AF54" s="31"/>
      <c r="AG54" s="31"/>
    </row>
    <row r="55" spans="1:35" ht="12.75" customHeight="1">
      <c r="A55" s="3" t="s">
        <v>126</v>
      </c>
      <c r="B55" s="1007" t="s">
        <v>125</v>
      </c>
      <c r="C55" s="1007"/>
      <c r="D55" s="29">
        <f t="shared" ref="D55:D58" si="51">+G55+M55+Y55+AE55+P55+J55+S55+V55+AB55</f>
        <v>4459</v>
      </c>
      <c r="E55" s="29">
        <f t="shared" ref="E55:E58" si="52">+H55+N55+Z55+AF55+Q55+K55+T55+W55+AC55</f>
        <v>25060</v>
      </c>
      <c r="F55" s="29">
        <f t="shared" ref="F55:F58" si="53">+I55+O55+AA55+AG55+R55+L55+U55+X55+AD55</f>
        <v>29519</v>
      </c>
      <c r="G55" s="33">
        <f>+'[4]5.b. mell. VF saját forrásból'!$I55</f>
        <v>193</v>
      </c>
      <c r="H55" s="30"/>
      <c r="I55" s="33">
        <f t="shared" ref="I55:I58" si="54">+G55+H55</f>
        <v>193</v>
      </c>
      <c r="J55" s="33">
        <f>+'[4]5.b. mell. VF saját forrásból'!$L55</f>
        <v>0</v>
      </c>
      <c r="K55" s="30"/>
      <c r="L55" s="33">
        <f t="shared" ref="L55:L58" si="55">+J55+K55</f>
        <v>0</v>
      </c>
      <c r="M55" s="30">
        <f>+'[4]5.b. mell. VF saját forrásból'!$O55</f>
        <v>4266</v>
      </c>
      <c r="N55" s="30"/>
      <c r="O55" s="33">
        <f t="shared" ref="O55:O58" si="56">+M55+N55</f>
        <v>4266</v>
      </c>
      <c r="P55" s="30"/>
      <c r="Q55" s="30">
        <v>24677</v>
      </c>
      <c r="R55" s="33">
        <f t="shared" ref="R55:R58" si="57">+P55+Q55</f>
        <v>24677</v>
      </c>
      <c r="S55" s="33">
        <f>+'[4]5.b. mell. VF saját forrásból'!$U55</f>
        <v>0</v>
      </c>
      <c r="T55" s="30"/>
      <c r="U55" s="33">
        <f t="shared" ref="U55:U58" si="58">+S55+T55</f>
        <v>0</v>
      </c>
      <c r="V55" s="33">
        <f>+'[4]5.b. mell. VF saját forrásból'!$X55</f>
        <v>0</v>
      </c>
      <c r="W55" s="30"/>
      <c r="X55" s="33">
        <f t="shared" ref="X55:X58" si="59">+V55+W55</f>
        <v>0</v>
      </c>
      <c r="Y55" s="33">
        <f>+'[4]5.b. mell. VF saját forrásból'!$AA55</f>
        <v>0</v>
      </c>
      <c r="Z55" s="30"/>
      <c r="AA55" s="33">
        <f t="shared" ref="AA55:AA58" si="60">+Y55+Z55</f>
        <v>0</v>
      </c>
      <c r="AB55" s="33"/>
      <c r="AC55" s="30">
        <v>383</v>
      </c>
      <c r="AD55" s="33">
        <f t="shared" ref="AD55:AD58" si="61">+AB55+AC55</f>
        <v>383</v>
      </c>
      <c r="AE55" s="30"/>
      <c r="AF55" s="30"/>
      <c r="AG55" s="33">
        <f t="shared" ref="AG55:AG58" si="62">+AE55+AF55</f>
        <v>0</v>
      </c>
    </row>
    <row r="56" spans="1:35" ht="12.75" customHeight="1">
      <c r="A56" s="3" t="s">
        <v>128</v>
      </c>
      <c r="B56" s="1007" t="s">
        <v>127</v>
      </c>
      <c r="C56" s="1007"/>
      <c r="D56" s="29">
        <f t="shared" si="51"/>
        <v>0</v>
      </c>
      <c r="E56" s="29">
        <f t="shared" si="52"/>
        <v>0</v>
      </c>
      <c r="F56" s="29">
        <f t="shared" si="53"/>
        <v>0</v>
      </c>
      <c r="G56" s="33">
        <f>+'[4]5.b. mell. VF saját forrásból'!$I56</f>
        <v>0</v>
      </c>
      <c r="H56" s="30"/>
      <c r="I56" s="33">
        <f t="shared" si="54"/>
        <v>0</v>
      </c>
      <c r="J56" s="33">
        <f>+'[4]5.b. mell. VF saját forrásból'!$L56</f>
        <v>0</v>
      </c>
      <c r="K56" s="30"/>
      <c r="L56" s="33">
        <f t="shared" si="55"/>
        <v>0</v>
      </c>
      <c r="M56" s="30">
        <f>+'[4]5.b. mell. VF saját forrásból'!$O56</f>
        <v>0</v>
      </c>
      <c r="N56" s="30"/>
      <c r="O56" s="33">
        <f t="shared" si="56"/>
        <v>0</v>
      </c>
      <c r="P56" s="30"/>
      <c r="Q56" s="30"/>
      <c r="R56" s="33">
        <f t="shared" si="57"/>
        <v>0</v>
      </c>
      <c r="S56" s="33">
        <f>+'[4]5.b. mell. VF saját forrásból'!$U56</f>
        <v>0</v>
      </c>
      <c r="T56" s="30"/>
      <c r="U56" s="33">
        <f t="shared" si="58"/>
        <v>0</v>
      </c>
      <c r="V56" s="33">
        <f>+'[4]5.b. mell. VF saját forrásból'!$X56</f>
        <v>0</v>
      </c>
      <c r="W56" s="30"/>
      <c r="X56" s="33">
        <f t="shared" si="59"/>
        <v>0</v>
      </c>
      <c r="Y56" s="33">
        <f>+'[4]5.b. mell. VF saját forrásból'!$AA56</f>
        <v>0</v>
      </c>
      <c r="Z56" s="30"/>
      <c r="AA56" s="33">
        <f t="shared" si="60"/>
        <v>0</v>
      </c>
      <c r="AB56" s="33"/>
      <c r="AC56" s="30"/>
      <c r="AD56" s="33">
        <f t="shared" si="61"/>
        <v>0</v>
      </c>
      <c r="AE56" s="30"/>
      <c r="AF56" s="30"/>
      <c r="AG56" s="33">
        <f t="shared" si="62"/>
        <v>0</v>
      </c>
    </row>
    <row r="57" spans="1:35" ht="12.75" customHeight="1">
      <c r="A57" s="3" t="s">
        <v>130</v>
      </c>
      <c r="B57" s="1007" t="s">
        <v>129</v>
      </c>
      <c r="C57" s="1007"/>
      <c r="D57" s="29">
        <f t="shared" si="51"/>
        <v>0</v>
      </c>
      <c r="E57" s="29">
        <f t="shared" si="52"/>
        <v>0</v>
      </c>
      <c r="F57" s="29">
        <f t="shared" si="53"/>
        <v>0</v>
      </c>
      <c r="G57" s="33">
        <f>+'[4]5.b. mell. VF saját forrásból'!$I57</f>
        <v>0</v>
      </c>
      <c r="H57" s="30"/>
      <c r="I57" s="33">
        <f t="shared" si="54"/>
        <v>0</v>
      </c>
      <c r="J57" s="33">
        <f>+'[4]5.b. mell. VF saját forrásból'!$L57</f>
        <v>0</v>
      </c>
      <c r="K57" s="30"/>
      <c r="L57" s="33">
        <f t="shared" si="55"/>
        <v>0</v>
      </c>
      <c r="M57" s="30">
        <f>+'[4]5.b. mell. VF saját forrásból'!$O57</f>
        <v>0</v>
      </c>
      <c r="N57" s="30"/>
      <c r="O57" s="33">
        <f t="shared" si="56"/>
        <v>0</v>
      </c>
      <c r="P57" s="30"/>
      <c r="Q57" s="30"/>
      <c r="R57" s="33">
        <f t="shared" si="57"/>
        <v>0</v>
      </c>
      <c r="S57" s="33">
        <f>+'[4]5.b. mell. VF saját forrásból'!$U57</f>
        <v>0</v>
      </c>
      <c r="T57" s="30"/>
      <c r="U57" s="33">
        <f t="shared" si="58"/>
        <v>0</v>
      </c>
      <c r="V57" s="33">
        <f>+'[4]5.b. mell. VF saját forrásból'!$X57</f>
        <v>0</v>
      </c>
      <c r="W57" s="30"/>
      <c r="X57" s="33">
        <f t="shared" si="59"/>
        <v>0</v>
      </c>
      <c r="Y57" s="33">
        <f>+'[4]5.b. mell. VF saját forrásból'!$AA57</f>
        <v>0</v>
      </c>
      <c r="Z57" s="30"/>
      <c r="AA57" s="33">
        <f t="shared" si="60"/>
        <v>0</v>
      </c>
      <c r="AB57" s="33"/>
      <c r="AC57" s="30"/>
      <c r="AD57" s="33">
        <f t="shared" si="61"/>
        <v>0</v>
      </c>
      <c r="AE57" s="30"/>
      <c r="AF57" s="30"/>
      <c r="AG57" s="33">
        <f t="shared" si="62"/>
        <v>0</v>
      </c>
    </row>
    <row r="58" spans="1:35" ht="12.75" customHeight="1">
      <c r="A58" s="3" t="s">
        <v>132</v>
      </c>
      <c r="B58" s="1007" t="s">
        <v>131</v>
      </c>
      <c r="C58" s="1007"/>
      <c r="D58" s="29">
        <f t="shared" si="51"/>
        <v>1204</v>
      </c>
      <c r="E58" s="29">
        <f t="shared" si="52"/>
        <v>6766</v>
      </c>
      <c r="F58" s="29">
        <f t="shared" si="53"/>
        <v>7970</v>
      </c>
      <c r="G58" s="33">
        <f>+'[4]5.b. mell. VF saját forrásból'!$I58</f>
        <v>52</v>
      </c>
      <c r="H58" s="30"/>
      <c r="I58" s="33">
        <f t="shared" si="54"/>
        <v>52</v>
      </c>
      <c r="J58" s="33">
        <f>+'[4]5.b. mell. VF saját forrásból'!$L58</f>
        <v>0</v>
      </c>
      <c r="K58" s="30"/>
      <c r="L58" s="33">
        <f t="shared" si="55"/>
        <v>0</v>
      </c>
      <c r="M58" s="30">
        <f>+'[4]5.b. mell. VF saját forrásból'!$O58</f>
        <v>1152</v>
      </c>
      <c r="N58" s="30"/>
      <c r="O58" s="33">
        <f t="shared" si="56"/>
        <v>1152</v>
      </c>
      <c r="P58" s="30"/>
      <c r="Q58" s="30">
        <v>6663</v>
      </c>
      <c r="R58" s="33">
        <f t="shared" si="57"/>
        <v>6663</v>
      </c>
      <c r="S58" s="33">
        <f>+'[4]5.b. mell. VF saját forrásból'!$U58</f>
        <v>0</v>
      </c>
      <c r="T58" s="30"/>
      <c r="U58" s="33">
        <f t="shared" si="58"/>
        <v>0</v>
      </c>
      <c r="V58" s="33">
        <f>+'[4]5.b. mell. VF saját forrásból'!$X58</f>
        <v>0</v>
      </c>
      <c r="W58" s="30"/>
      <c r="X58" s="33">
        <f t="shared" si="59"/>
        <v>0</v>
      </c>
      <c r="Y58" s="33">
        <f>+'[4]5.b. mell. VF saját forrásból'!$AA58</f>
        <v>0</v>
      </c>
      <c r="Z58" s="30"/>
      <c r="AA58" s="33">
        <f t="shared" si="60"/>
        <v>0</v>
      </c>
      <c r="AB58" s="33"/>
      <c r="AC58" s="30">
        <v>103</v>
      </c>
      <c r="AD58" s="33">
        <f t="shared" si="61"/>
        <v>103</v>
      </c>
      <c r="AE58" s="30"/>
      <c r="AF58" s="30"/>
      <c r="AG58" s="33">
        <f t="shared" si="62"/>
        <v>0</v>
      </c>
    </row>
    <row r="59" spans="1:35" s="47" customFormat="1" ht="12.75" customHeight="1">
      <c r="A59" s="6" t="s">
        <v>133</v>
      </c>
      <c r="B59" s="1003" t="s">
        <v>161</v>
      </c>
      <c r="C59" s="1003"/>
      <c r="D59" s="59">
        <f>SUM(D55:D58)</f>
        <v>5663</v>
      </c>
      <c r="E59" s="59">
        <f t="shared" ref="E59:AG59" si="63">SUM(E55:E58)</f>
        <v>31826</v>
      </c>
      <c r="F59" s="59">
        <f t="shared" si="63"/>
        <v>37489</v>
      </c>
      <c r="G59" s="59">
        <f t="shared" si="63"/>
        <v>245</v>
      </c>
      <c r="H59" s="59">
        <f t="shared" si="63"/>
        <v>0</v>
      </c>
      <c r="I59" s="59">
        <f t="shared" si="63"/>
        <v>245</v>
      </c>
      <c r="J59" s="59">
        <f t="shared" ref="J59:L59" si="64">SUM(J55:J58)</f>
        <v>0</v>
      </c>
      <c r="K59" s="59">
        <f t="shared" si="64"/>
        <v>0</v>
      </c>
      <c r="L59" s="59">
        <f t="shared" si="64"/>
        <v>0</v>
      </c>
      <c r="M59" s="59">
        <f t="shared" si="63"/>
        <v>5418</v>
      </c>
      <c r="N59" s="59">
        <f t="shared" si="63"/>
        <v>0</v>
      </c>
      <c r="O59" s="59">
        <f t="shared" si="63"/>
        <v>5418</v>
      </c>
      <c r="P59" s="59">
        <f t="shared" ref="P59:X59" si="65">SUM(P55:P58)</f>
        <v>0</v>
      </c>
      <c r="Q59" s="59">
        <f t="shared" si="65"/>
        <v>31340</v>
      </c>
      <c r="R59" s="59">
        <f t="shared" si="65"/>
        <v>31340</v>
      </c>
      <c r="S59" s="59">
        <f t="shared" si="65"/>
        <v>0</v>
      </c>
      <c r="T59" s="59">
        <f t="shared" si="65"/>
        <v>0</v>
      </c>
      <c r="U59" s="59">
        <f t="shared" si="65"/>
        <v>0</v>
      </c>
      <c r="V59" s="59">
        <f t="shared" si="65"/>
        <v>0</v>
      </c>
      <c r="W59" s="59">
        <f t="shared" si="65"/>
        <v>0</v>
      </c>
      <c r="X59" s="59">
        <f t="shared" si="65"/>
        <v>0</v>
      </c>
      <c r="Y59" s="59">
        <f t="shared" si="63"/>
        <v>0</v>
      </c>
      <c r="Z59" s="59">
        <f t="shared" si="63"/>
        <v>0</v>
      </c>
      <c r="AA59" s="59">
        <f t="shared" si="63"/>
        <v>0</v>
      </c>
      <c r="AB59" s="59">
        <f t="shared" ref="AB59:AD59" si="66">SUM(AB55:AB58)</f>
        <v>0</v>
      </c>
      <c r="AC59" s="59">
        <f t="shared" si="66"/>
        <v>486</v>
      </c>
      <c r="AD59" s="59">
        <f t="shared" si="66"/>
        <v>486</v>
      </c>
      <c r="AE59" s="59">
        <f t="shared" si="63"/>
        <v>0</v>
      </c>
      <c r="AF59" s="59">
        <f t="shared" si="63"/>
        <v>0</v>
      </c>
      <c r="AG59" s="59">
        <f t="shared" si="63"/>
        <v>0</v>
      </c>
    </row>
    <row r="60" spans="1:35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I60" s="252"/>
    </row>
    <row r="61" spans="1:35" hidden="1">
      <c r="A61" s="202" t="s">
        <v>391</v>
      </c>
      <c r="B61" s="1004" t="s">
        <v>392</v>
      </c>
      <c r="C61" s="1004"/>
      <c r="D61" s="30">
        <f>+G61+M61+Y61+AE61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5" hidden="1">
      <c r="A62" s="202" t="s">
        <v>407</v>
      </c>
      <c r="B62" s="1010" t="s">
        <v>408</v>
      </c>
      <c r="C62" s="1011"/>
      <c r="D62" s="30">
        <f>+G62+M62+Y62+AE62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5" ht="12.75" hidden="1" customHeight="1">
      <c r="A63" s="12" t="s">
        <v>712</v>
      </c>
      <c r="B63" s="1004" t="s">
        <v>409</v>
      </c>
      <c r="C63" s="1004"/>
      <c r="D63" s="30">
        <f>+G63+M63+Y63+AE63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5" s="47" customFormat="1" ht="12.75" customHeight="1">
      <c r="A64" s="15" t="s">
        <v>135</v>
      </c>
      <c r="B64" s="1008" t="s">
        <v>159</v>
      </c>
      <c r="C64" s="1008"/>
      <c r="D64" s="57">
        <f>SUM(D61:D63)</f>
        <v>0</v>
      </c>
      <c r="E64" s="57">
        <f t="shared" ref="E64:AG64" si="67">SUM(E61:E63)</f>
        <v>0</v>
      </c>
      <c r="F64" s="57">
        <f t="shared" si="67"/>
        <v>0</v>
      </c>
      <c r="G64" s="57">
        <f t="shared" si="67"/>
        <v>0</v>
      </c>
      <c r="H64" s="57">
        <f t="shared" si="67"/>
        <v>0</v>
      </c>
      <c r="I64" s="57">
        <f t="shared" si="67"/>
        <v>0</v>
      </c>
      <c r="J64" s="57">
        <f t="shared" ref="J64:L64" si="68">SUM(J61:J63)</f>
        <v>0</v>
      </c>
      <c r="K64" s="57">
        <f t="shared" si="68"/>
        <v>0</v>
      </c>
      <c r="L64" s="57">
        <f t="shared" si="68"/>
        <v>0</v>
      </c>
      <c r="M64" s="57">
        <f t="shared" si="67"/>
        <v>0</v>
      </c>
      <c r="N64" s="57">
        <f t="shared" si="67"/>
        <v>0</v>
      </c>
      <c r="O64" s="57">
        <f t="shared" si="67"/>
        <v>0</v>
      </c>
      <c r="P64" s="57">
        <f t="shared" ref="P64:X64" si="69">SUM(P61:P63)</f>
        <v>0</v>
      </c>
      <c r="Q64" s="57">
        <f t="shared" si="69"/>
        <v>0</v>
      </c>
      <c r="R64" s="57">
        <f t="shared" si="69"/>
        <v>0</v>
      </c>
      <c r="S64" s="57">
        <f t="shared" si="69"/>
        <v>0</v>
      </c>
      <c r="T64" s="57">
        <f t="shared" si="69"/>
        <v>0</v>
      </c>
      <c r="U64" s="57">
        <f t="shared" si="69"/>
        <v>0</v>
      </c>
      <c r="V64" s="57">
        <f t="shared" si="69"/>
        <v>0</v>
      </c>
      <c r="W64" s="57">
        <f t="shared" si="69"/>
        <v>0</v>
      </c>
      <c r="X64" s="57">
        <f t="shared" si="69"/>
        <v>0</v>
      </c>
      <c r="Y64" s="57">
        <f t="shared" si="67"/>
        <v>0</v>
      </c>
      <c r="Z64" s="57">
        <f t="shared" si="67"/>
        <v>0</v>
      </c>
      <c r="AA64" s="57">
        <f t="shared" si="67"/>
        <v>0</v>
      </c>
      <c r="AB64" s="57">
        <f t="shared" ref="AB64:AD64" si="70">SUM(AB61:AB63)</f>
        <v>0</v>
      </c>
      <c r="AC64" s="57">
        <f t="shared" si="70"/>
        <v>0</v>
      </c>
      <c r="AD64" s="57">
        <f t="shared" si="70"/>
        <v>0</v>
      </c>
      <c r="AE64" s="57">
        <f t="shared" si="67"/>
        <v>0</v>
      </c>
      <c r="AF64" s="57">
        <f t="shared" si="67"/>
        <v>0</v>
      </c>
      <c r="AG64" s="57">
        <f t="shared" si="67"/>
        <v>0</v>
      </c>
    </row>
    <row r="65" spans="1:33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2"/>
      <c r="S65" s="31"/>
      <c r="T65" s="31"/>
      <c r="U65" s="32"/>
      <c r="V65" s="31"/>
      <c r="W65" s="31"/>
      <c r="X65" s="32"/>
      <c r="Y65" s="31"/>
      <c r="Z65" s="31"/>
      <c r="AA65" s="32"/>
      <c r="AB65" s="31"/>
      <c r="AC65" s="31"/>
      <c r="AD65" s="32"/>
      <c r="AE65" s="31"/>
      <c r="AF65" s="31"/>
      <c r="AG65" s="31"/>
    </row>
    <row r="66" spans="1:33" s="47" customFormat="1" ht="12.75" customHeight="1">
      <c r="A66" s="17" t="s">
        <v>136</v>
      </c>
      <c r="B66" s="1019" t="s">
        <v>158</v>
      </c>
      <c r="C66" s="1019"/>
      <c r="D66" s="105">
        <f t="shared" ref="D66" si="71">+G66+M66+Y66+AE66+P66+J66+S66+V66+AB66</f>
        <v>81952</v>
      </c>
      <c r="E66" s="105">
        <f t="shared" ref="E66" si="72">+H66+N66+Z66+AF66+Q66+K66+T66+W66+AC66</f>
        <v>138005</v>
      </c>
      <c r="F66" s="105">
        <f t="shared" ref="F66" si="73">+I66+O66+AA66+AG66+R66+L66+U66+X66+AD66</f>
        <v>219957</v>
      </c>
      <c r="G66" s="58">
        <f t="shared" ref="E66:AG66" si="74">+G64+G59+G53+G44+G35+G9+G7</f>
        <v>17415</v>
      </c>
      <c r="H66" s="58">
        <f t="shared" si="74"/>
        <v>8432</v>
      </c>
      <c r="I66" s="58">
        <f t="shared" si="74"/>
        <v>25847</v>
      </c>
      <c r="J66" s="58">
        <f t="shared" ref="J66:L66" si="75">+J64+J59+J53+J44+J35+J9+J7</f>
        <v>1763</v>
      </c>
      <c r="K66" s="58">
        <f t="shared" si="75"/>
        <v>30661</v>
      </c>
      <c r="L66" s="58">
        <f t="shared" si="75"/>
        <v>32424</v>
      </c>
      <c r="M66" s="58">
        <f t="shared" si="74"/>
        <v>5418</v>
      </c>
      <c r="N66" s="58">
        <f t="shared" si="74"/>
        <v>3150</v>
      </c>
      <c r="O66" s="58">
        <f t="shared" si="74"/>
        <v>8568</v>
      </c>
      <c r="P66" s="58">
        <f t="shared" ref="P66:X66" si="76">+P64+P59+P53+P44+P35+P9+P7</f>
        <v>2595</v>
      </c>
      <c r="Q66" s="58">
        <f t="shared" si="76"/>
        <v>55350</v>
      </c>
      <c r="R66" s="58">
        <f t="shared" si="76"/>
        <v>57945</v>
      </c>
      <c r="S66" s="58">
        <f t="shared" si="76"/>
        <v>20666</v>
      </c>
      <c r="T66" s="58">
        <f t="shared" si="76"/>
        <v>35461</v>
      </c>
      <c r="U66" s="58">
        <f t="shared" si="76"/>
        <v>56127</v>
      </c>
      <c r="V66" s="58">
        <f t="shared" si="76"/>
        <v>1499</v>
      </c>
      <c r="W66" s="58">
        <f t="shared" si="76"/>
        <v>0</v>
      </c>
      <c r="X66" s="58">
        <f t="shared" si="76"/>
        <v>1499</v>
      </c>
      <c r="Y66" s="58">
        <f t="shared" si="74"/>
        <v>32021</v>
      </c>
      <c r="Z66" s="58">
        <f t="shared" si="74"/>
        <v>1038</v>
      </c>
      <c r="AA66" s="58">
        <f t="shared" si="74"/>
        <v>33059</v>
      </c>
      <c r="AB66" s="58">
        <f t="shared" ref="AB66:AD66" si="77">+AB64+AB59+AB53+AB44+AB35+AB9+AB7</f>
        <v>0</v>
      </c>
      <c r="AC66" s="58">
        <f t="shared" si="77"/>
        <v>1685</v>
      </c>
      <c r="AD66" s="58">
        <f t="shared" si="77"/>
        <v>1685</v>
      </c>
      <c r="AE66" s="58">
        <f t="shared" si="74"/>
        <v>575</v>
      </c>
      <c r="AF66" s="58">
        <f t="shared" si="74"/>
        <v>2228</v>
      </c>
      <c r="AG66" s="58">
        <f t="shared" si="74"/>
        <v>2803</v>
      </c>
    </row>
  </sheetData>
  <mergeCells count="78">
    <mergeCell ref="AB2:AD2"/>
    <mergeCell ref="AB3:AD3"/>
    <mergeCell ref="B6:C6"/>
    <mergeCell ref="A2:A4"/>
    <mergeCell ref="B2:C4"/>
    <mergeCell ref="D2:F2"/>
    <mergeCell ref="G2:I2"/>
    <mergeCell ref="B5:C5"/>
    <mergeCell ref="M2:O2"/>
    <mergeCell ref="Y2:AA2"/>
    <mergeCell ref="AE2:AG2"/>
    <mergeCell ref="D3:F3"/>
    <mergeCell ref="G3:I3"/>
    <mergeCell ref="M3:O3"/>
    <mergeCell ref="Y3:AA3"/>
    <mergeCell ref="AE3:AG3"/>
    <mergeCell ref="P2:R2"/>
    <mergeCell ref="P3:R3"/>
    <mergeCell ref="J2:L2"/>
    <mergeCell ref="J3:L3"/>
    <mergeCell ref="S2:U2"/>
    <mergeCell ref="S3:U3"/>
    <mergeCell ref="V2:X2"/>
    <mergeCell ref="V3:X3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44:C44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AE1:AG1"/>
    <mergeCell ref="B61:C61"/>
    <mergeCell ref="B62:C62"/>
    <mergeCell ref="B63:C63"/>
    <mergeCell ref="B64:C64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5" fitToWidth="2" orientation="landscape" cellComments="asDisplayed" r:id="rId1"/>
  <headerFooter>
    <oddHeader>&amp;C&amp;"Times New Roman,Félkövér"&amp;12Martonvásár Város Önkormányzatának kiadásai 2016.
Városfejlesztési feladatok saját forrásból&amp;R&amp;"Times New Roman,Félkövér"&amp;10 5/b. melléklet</oddHead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workbookViewId="0">
      <selection activeCell="P4" sqref="P4:R4"/>
    </sheetView>
  </sheetViews>
  <sheetFormatPr defaultColWidth="9.109375" defaultRowHeight="14.4"/>
  <cols>
    <col min="1" max="1" width="8.109375" style="27" customWidth="1"/>
    <col min="2" max="2" width="7.109375" style="28" customWidth="1"/>
    <col min="3" max="3" width="31" style="28" customWidth="1"/>
    <col min="4" max="4" width="8.109375" style="19" customWidth="1"/>
    <col min="5" max="5" width="8.44140625" style="19" customWidth="1"/>
    <col min="6" max="6" width="8.109375" style="19" customWidth="1"/>
    <col min="7" max="7" width="7.5546875" style="19" customWidth="1"/>
    <col min="8" max="8" width="7.109375" style="19" customWidth="1"/>
    <col min="9" max="9" width="8.109375" style="19" customWidth="1"/>
    <col min="10" max="10" width="7.88671875" style="19" customWidth="1"/>
    <col min="11" max="11" width="7.6640625" style="19" customWidth="1"/>
    <col min="12" max="12" width="7.88671875" style="19" customWidth="1"/>
    <col min="13" max="13" width="7.109375" style="19" customWidth="1"/>
    <col min="14" max="14" width="8" style="19" customWidth="1"/>
    <col min="15" max="15" width="7.5546875" style="19" customWidth="1"/>
    <col min="16" max="16" width="8" style="19" customWidth="1"/>
    <col min="17" max="17" width="7.88671875" style="19" customWidth="1"/>
    <col min="18" max="18" width="7.33203125" style="19" customWidth="1"/>
    <col min="19" max="21" width="8.88671875" customWidth="1"/>
    <col min="22" max="16384" width="9.109375" style="19"/>
  </cols>
  <sheetData>
    <row r="1" spans="1:18" s="1" customFormat="1" ht="12.75" customHeight="1">
      <c r="A1" s="27"/>
      <c r="B1" s="28"/>
      <c r="C1" s="28"/>
      <c r="P1" s="1012" t="s">
        <v>406</v>
      </c>
      <c r="Q1" s="1012"/>
      <c r="R1" s="1012"/>
    </row>
    <row r="2" spans="1:18" s="34" customFormat="1" ht="28.5" customHeight="1">
      <c r="A2" s="1005" t="s">
        <v>0</v>
      </c>
      <c r="B2" s="1005" t="s">
        <v>180</v>
      </c>
      <c r="C2" s="1005"/>
      <c r="D2" s="1021" t="s">
        <v>178</v>
      </c>
      <c r="E2" s="1021"/>
      <c r="F2" s="1021"/>
      <c r="G2" s="1021"/>
      <c r="H2" s="1021"/>
      <c r="I2" s="1021"/>
      <c r="J2" s="1021"/>
      <c r="K2" s="1021"/>
      <c r="L2" s="1021"/>
      <c r="M2" s="1021"/>
      <c r="N2" s="1021"/>
      <c r="O2" s="1021"/>
      <c r="P2" s="1021"/>
      <c r="Q2" s="1021"/>
      <c r="R2" s="1021"/>
    </row>
    <row r="3" spans="1:18" s="34" customFormat="1" ht="13.2">
      <c r="A3" s="1005"/>
      <c r="B3" s="1005"/>
      <c r="C3" s="1005"/>
      <c r="D3" s="1021"/>
      <c r="E3" s="1021"/>
      <c r="F3" s="1021"/>
      <c r="G3" s="1021" t="s">
        <v>291</v>
      </c>
      <c r="H3" s="1021"/>
      <c r="I3" s="1021"/>
      <c r="J3" s="1021" t="s">
        <v>291</v>
      </c>
      <c r="K3" s="1021"/>
      <c r="L3" s="1021"/>
      <c r="M3" s="1021" t="s">
        <v>291</v>
      </c>
      <c r="N3" s="1021"/>
      <c r="O3" s="1021"/>
      <c r="P3" s="1021" t="s">
        <v>291</v>
      </c>
      <c r="Q3" s="1021"/>
      <c r="R3" s="1021"/>
    </row>
    <row r="4" spans="1:18" s="18" customFormat="1" ht="26.4">
      <c r="A4" s="1005"/>
      <c r="B4" s="1005"/>
      <c r="C4" s="1005"/>
      <c r="D4" s="921" t="s">
        <v>747</v>
      </c>
      <c r="E4" s="664" t="s">
        <v>745</v>
      </c>
      <c r="F4" s="921" t="s">
        <v>912</v>
      </c>
      <c r="G4" s="921" t="s">
        <v>747</v>
      </c>
      <c r="H4" s="921" t="s">
        <v>745</v>
      </c>
      <c r="I4" s="921" t="s">
        <v>912</v>
      </c>
      <c r="J4" s="921" t="s">
        <v>747</v>
      </c>
      <c r="K4" s="921" t="s">
        <v>745</v>
      </c>
      <c r="L4" s="921" t="s">
        <v>912</v>
      </c>
      <c r="M4" s="921" t="s">
        <v>747</v>
      </c>
      <c r="N4" s="921" t="s">
        <v>745</v>
      </c>
      <c r="O4" s="921" t="s">
        <v>912</v>
      </c>
      <c r="P4" s="921" t="s">
        <v>747</v>
      </c>
      <c r="Q4" s="921" t="s">
        <v>745</v>
      </c>
      <c r="R4" s="921" t="s">
        <v>912</v>
      </c>
    </row>
    <row r="5" spans="1:18" s="47" customFormat="1" ht="12.75" customHeight="1">
      <c r="A5" s="5" t="s">
        <v>27</v>
      </c>
      <c r="B5" s="1006" t="s">
        <v>175</v>
      </c>
      <c r="C5" s="1006"/>
      <c r="D5" s="105">
        <f t="shared" ref="D5:D9" si="0">+G5+J5+M5+P5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1006" t="s">
        <v>174</v>
      </c>
      <c r="C6" s="1006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1003" t="s">
        <v>173</v>
      </c>
      <c r="C7" s="1003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1006" t="s">
        <v>172</v>
      </c>
      <c r="C9" s="1006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202"/>
      <c r="B10" s="26"/>
      <c r="C10" s="11"/>
      <c r="D10" s="346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hidden="1" customHeight="1">
      <c r="A11" s="12" t="s">
        <v>43</v>
      </c>
      <c r="B11" s="1004" t="s">
        <v>42</v>
      </c>
      <c r="C11" s="1004"/>
      <c r="D11" s="29">
        <f t="shared" ref="D11:D35" si="1">+G11+J11+M11+P11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2.75" hidden="1" customHeight="1">
      <c r="A12" s="3" t="s">
        <v>45</v>
      </c>
      <c r="B12" s="1007" t="s">
        <v>44</v>
      </c>
      <c r="C12" s="1007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2.75" hidden="1" customHeight="1">
      <c r="A13" s="3" t="s">
        <v>47</v>
      </c>
      <c r="B13" s="1007" t="s">
        <v>46</v>
      </c>
      <c r="C13" s="1007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.75" customHeight="1">
      <c r="A14" s="5" t="s">
        <v>48</v>
      </c>
      <c r="B14" s="1006" t="s">
        <v>171</v>
      </c>
      <c r="C14" s="1006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O14" si="2">SUM(H11:H13)</f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>SUM(P11:P13)</f>
        <v>0</v>
      </c>
      <c r="Q14" s="62">
        <f>SUM(Q11:Q13)</f>
        <v>0</v>
      </c>
      <c r="R14" s="62">
        <f>SUM(R11:R13)</f>
        <v>0</v>
      </c>
    </row>
    <row r="15" spans="1:18" ht="12.75" hidden="1" customHeight="1">
      <c r="A15" s="3" t="s">
        <v>50</v>
      </c>
      <c r="B15" s="1007" t="s">
        <v>49</v>
      </c>
      <c r="C15" s="1007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hidden="1" customHeight="1">
      <c r="A16" s="3" t="s">
        <v>52</v>
      </c>
      <c r="B16" s="1007" t="s">
        <v>51</v>
      </c>
      <c r="C16" s="1007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1006" t="s">
        <v>170</v>
      </c>
      <c r="C17" s="1006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O17" si="3">+H15+H16</f>
        <v>0</v>
      </c>
      <c r="I17" s="62">
        <f t="shared" si="3"/>
        <v>0</v>
      </c>
      <c r="J17" s="62">
        <f t="shared" si="3"/>
        <v>0</v>
      </c>
      <c r="K17" s="62">
        <f t="shared" si="3"/>
        <v>0</v>
      </c>
      <c r="L17" s="62">
        <f t="shared" si="3"/>
        <v>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hidden="1" customHeight="1">
      <c r="A18" s="3" t="s">
        <v>55</v>
      </c>
      <c r="B18" s="1007" t="s">
        <v>54</v>
      </c>
      <c r="C18" s="1007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hidden="1" customHeight="1">
      <c r="A19" s="3" t="s">
        <v>57</v>
      </c>
      <c r="B19" s="1007" t="s">
        <v>56</v>
      </c>
      <c r="C19" s="1007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hidden="1" customHeight="1">
      <c r="A20" s="3" t="s">
        <v>58</v>
      </c>
      <c r="B20" s="1007" t="s">
        <v>168</v>
      </c>
      <c r="C20" s="1007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hidden="1" customHeight="1">
      <c r="A21" s="3" t="s">
        <v>60</v>
      </c>
      <c r="B21" s="1007" t="s">
        <v>59</v>
      </c>
      <c r="C21" s="1007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hidden="1" customHeight="1">
      <c r="A22" s="3" t="s">
        <v>61</v>
      </c>
      <c r="B22" s="1007" t="s">
        <v>167</v>
      </c>
      <c r="C22" s="1007"/>
      <c r="D22" s="29">
        <f t="shared" si="1"/>
        <v>0</v>
      </c>
      <c r="E22" s="29">
        <f t="shared" ref="E22" si="4">+H22+K22+N22+Q22</f>
        <v>0</v>
      </c>
      <c r="F22" s="29">
        <f t="shared" ref="F22" si="5">+I22+L22+O22+R22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hidden="1" customHeight="1">
      <c r="A23" s="3" t="s">
        <v>64</v>
      </c>
      <c r="B23" s="1007" t="s">
        <v>63</v>
      </c>
      <c r="C23" s="1007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hidden="1" customHeight="1">
      <c r="A24" s="3" t="s">
        <v>66</v>
      </c>
      <c r="B24" s="1007" t="s">
        <v>65</v>
      </c>
      <c r="C24" s="1007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1006" t="s">
        <v>157</v>
      </c>
      <c r="C25" s="1006"/>
      <c r="D25" s="105">
        <f t="shared" si="1"/>
        <v>0</v>
      </c>
      <c r="E25" s="62">
        <f t="shared" ref="E25:R25" si="6">+E24+E23+E22+E21+E20+E19+E18</f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si="6"/>
        <v>0</v>
      </c>
      <c r="R25" s="62">
        <f t="shared" si="6"/>
        <v>0</v>
      </c>
    </row>
    <row r="26" spans="1:18" ht="12.75" hidden="1" customHeight="1">
      <c r="A26" s="3" t="s">
        <v>69</v>
      </c>
      <c r="B26" s="1007" t="s">
        <v>68</v>
      </c>
      <c r="C26" s="1007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hidden="1" customHeight="1">
      <c r="A27" s="3" t="s">
        <v>71</v>
      </c>
      <c r="B27" s="1007" t="s">
        <v>70</v>
      </c>
      <c r="C27" s="1007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1006" t="s">
        <v>156</v>
      </c>
      <c r="C28" s="1006"/>
      <c r="D28" s="105">
        <f t="shared" si="1"/>
        <v>0</v>
      </c>
      <c r="E28" s="62"/>
      <c r="F28" s="62"/>
      <c r="G28" s="62">
        <f>SUM(G26:G27)</f>
        <v>0</v>
      </c>
      <c r="H28" s="62">
        <f t="shared" ref="H28:O28" si="7">SUM(H26:H27)</f>
        <v>0</v>
      </c>
      <c r="I28" s="62">
        <f t="shared" si="7"/>
        <v>0</v>
      </c>
      <c r="J28" s="62">
        <f t="shared" si="7"/>
        <v>0</v>
      </c>
      <c r="K28" s="62">
        <f t="shared" si="7"/>
        <v>0</v>
      </c>
      <c r="L28" s="62">
        <f t="shared" si="7"/>
        <v>0</v>
      </c>
      <c r="M28" s="62">
        <f t="shared" si="7"/>
        <v>0</v>
      </c>
      <c r="N28" s="62">
        <f t="shared" si="7"/>
        <v>0</v>
      </c>
      <c r="O28" s="62">
        <f t="shared" si="7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hidden="1" customHeight="1">
      <c r="A29" s="3" t="s">
        <v>74</v>
      </c>
      <c r="B29" s="1007" t="s">
        <v>73</v>
      </c>
      <c r="C29" s="1007"/>
      <c r="D29" s="29">
        <f t="shared" si="1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2.75" hidden="1" customHeight="1">
      <c r="A30" s="3" t="s">
        <v>76</v>
      </c>
      <c r="B30" s="1007" t="s">
        <v>75</v>
      </c>
      <c r="C30" s="1007"/>
      <c r="D30" s="29">
        <f t="shared" si="1"/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.75" hidden="1" customHeight="1">
      <c r="A31" s="3" t="s">
        <v>77</v>
      </c>
      <c r="B31" s="1007" t="s">
        <v>155</v>
      </c>
      <c r="C31" s="1007"/>
      <c r="D31" s="29">
        <f t="shared" si="1"/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.75" hidden="1" customHeight="1">
      <c r="A32" s="3" t="s">
        <v>78</v>
      </c>
      <c r="B32" s="1007" t="s">
        <v>154</v>
      </c>
      <c r="C32" s="1007"/>
      <c r="D32" s="29">
        <f t="shared" si="1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.75" hidden="1" customHeight="1">
      <c r="A33" s="3" t="s">
        <v>80</v>
      </c>
      <c r="B33" s="1007" t="s">
        <v>79</v>
      </c>
      <c r="C33" s="1007"/>
      <c r="D33" s="29">
        <f t="shared" si="1"/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.75" customHeight="1">
      <c r="A34" s="5" t="s">
        <v>81</v>
      </c>
      <c r="B34" s="1006" t="s">
        <v>153</v>
      </c>
      <c r="C34" s="1006"/>
      <c r="D34" s="105">
        <f t="shared" si="1"/>
        <v>0</v>
      </c>
      <c r="E34" s="62"/>
      <c r="F34" s="62"/>
      <c r="G34" s="62">
        <f>SUM(G29:G33)</f>
        <v>0</v>
      </c>
      <c r="H34" s="62">
        <f t="shared" ref="H34:O34" si="8">SUM(H29:H33)</f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2">
        <f t="shared" si="8"/>
        <v>0</v>
      </c>
      <c r="N34" s="62">
        <f t="shared" si="8"/>
        <v>0</v>
      </c>
      <c r="O34" s="62">
        <f t="shared" si="8"/>
        <v>0</v>
      </c>
      <c r="P34" s="62">
        <f>SUM(P29:P33)</f>
        <v>0</v>
      </c>
      <c r="Q34" s="62">
        <f>SUM(Q29:Q33)</f>
        <v>0</v>
      </c>
      <c r="R34" s="62">
        <f>SUM(R29:R33)</f>
        <v>0</v>
      </c>
    </row>
    <row r="35" spans="1:18" s="47" customFormat="1" ht="12.75" customHeight="1">
      <c r="A35" s="6" t="s">
        <v>82</v>
      </c>
      <c r="B35" s="1003" t="s">
        <v>152</v>
      </c>
      <c r="C35" s="1003"/>
      <c r="D35" s="105">
        <f t="shared" si="1"/>
        <v>0</v>
      </c>
      <c r="E35" s="59">
        <f t="shared" ref="E35:R35" si="9">+E34+E28+E25+E17+E14</f>
        <v>0</v>
      </c>
      <c r="F35" s="59">
        <f t="shared" si="9"/>
        <v>0</v>
      </c>
      <c r="G35" s="59">
        <f t="shared" si="9"/>
        <v>0</v>
      </c>
      <c r="H35" s="59">
        <f t="shared" si="9"/>
        <v>0</v>
      </c>
      <c r="I35" s="59">
        <f t="shared" si="9"/>
        <v>0</v>
      </c>
      <c r="J35" s="59">
        <f t="shared" si="9"/>
        <v>0</v>
      </c>
      <c r="K35" s="59">
        <f t="shared" si="9"/>
        <v>0</v>
      </c>
      <c r="L35" s="59">
        <f t="shared" si="9"/>
        <v>0</v>
      </c>
      <c r="M35" s="59">
        <f t="shared" si="9"/>
        <v>0</v>
      </c>
      <c r="N35" s="59">
        <f t="shared" si="9"/>
        <v>0</v>
      </c>
      <c r="O35" s="59">
        <f t="shared" si="9"/>
        <v>0</v>
      </c>
      <c r="P35" s="59">
        <f t="shared" si="9"/>
        <v>0</v>
      </c>
      <c r="Q35" s="59">
        <f t="shared" si="9"/>
        <v>0</v>
      </c>
      <c r="R35" s="59">
        <f t="shared" si="9"/>
        <v>0</v>
      </c>
    </row>
    <row r="36" spans="1:18" ht="11.25" customHeight="1">
      <c r="A36" s="347"/>
      <c r="B36" s="348"/>
      <c r="C36" s="348"/>
      <c r="D36" s="349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</row>
    <row r="37" spans="1:18" ht="12" customHeight="1">
      <c r="A37" s="7"/>
      <c r="B37" s="1018"/>
      <c r="C37" s="1018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customHeight="1">
      <c r="A38" s="3" t="s">
        <v>97</v>
      </c>
      <c r="B38" s="1002" t="s">
        <v>96</v>
      </c>
      <c r="C38" s="1002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customHeight="1">
      <c r="A39" s="3" t="s">
        <v>99</v>
      </c>
      <c r="B39" s="1002" t="s">
        <v>98</v>
      </c>
      <c r="C39" s="1002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customHeight="1">
      <c r="A40" s="3" t="s">
        <v>102</v>
      </c>
      <c r="B40" s="1002" t="s">
        <v>166</v>
      </c>
      <c r="C40" s="1002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customHeight="1">
      <c r="A41" s="3" t="s">
        <v>104</v>
      </c>
      <c r="B41" s="1002" t="s">
        <v>103</v>
      </c>
      <c r="C41" s="1002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customHeight="1">
      <c r="A42" s="3" t="s">
        <v>108</v>
      </c>
      <c r="B42" s="1002" t="s">
        <v>165</v>
      </c>
      <c r="C42" s="1002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customHeight="1">
      <c r="A43" s="3" t="s">
        <v>711</v>
      </c>
      <c r="B43" s="1007" t="s">
        <v>107</v>
      </c>
      <c r="C43" s="1007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1006" t="s">
        <v>164</v>
      </c>
      <c r="C44" s="1006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hidden="1" customHeight="1">
      <c r="A46" s="12" t="s">
        <v>111</v>
      </c>
      <c r="B46" s="1004" t="s">
        <v>110</v>
      </c>
      <c r="C46" s="1004"/>
      <c r="D46" s="29">
        <f t="shared" ref="D46:D52" si="10">+G46+J46+M46+P46</f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12.75" hidden="1" customHeight="1">
      <c r="A47" s="3" t="s">
        <v>112</v>
      </c>
      <c r="B47" s="1007" t="s">
        <v>163</v>
      </c>
      <c r="C47" s="1007"/>
      <c r="D47" s="29">
        <f t="shared" si="10"/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</row>
    <row r="48" spans="1:18" ht="12.75" hidden="1" customHeight="1">
      <c r="A48" s="3" t="s">
        <v>115</v>
      </c>
      <c r="B48" s="1007" t="s">
        <v>114</v>
      </c>
      <c r="C48" s="1007"/>
      <c r="D48" s="29">
        <f t="shared" si="10"/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3"/>
      <c r="Q48" s="33"/>
      <c r="R48" s="33"/>
    </row>
    <row r="49" spans="1:20" ht="12.75" hidden="1" customHeight="1">
      <c r="A49" s="3" t="s">
        <v>117</v>
      </c>
      <c r="B49" s="1007" t="s">
        <v>116</v>
      </c>
      <c r="C49" s="1007"/>
      <c r="D49" s="29">
        <f t="shared" si="10"/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3"/>
      <c r="Q49" s="33"/>
      <c r="R49" s="33"/>
    </row>
    <row r="50" spans="1:20" ht="12.75" hidden="1" customHeight="1">
      <c r="A50" s="3" t="s">
        <v>119</v>
      </c>
      <c r="B50" s="1007" t="s">
        <v>118</v>
      </c>
      <c r="C50" s="1007"/>
      <c r="D50" s="29">
        <f t="shared" si="1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3"/>
      <c r="Q50" s="33"/>
      <c r="R50" s="33"/>
    </row>
    <row r="51" spans="1:20" ht="12.75" hidden="1" customHeight="1">
      <c r="A51" s="3" t="s">
        <v>121</v>
      </c>
      <c r="B51" s="1007" t="s">
        <v>120</v>
      </c>
      <c r="C51" s="1007"/>
      <c r="D51" s="29">
        <f t="shared" si="1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3"/>
      <c r="Q51" s="33"/>
      <c r="R51" s="33"/>
    </row>
    <row r="52" spans="1:20" ht="12.75" hidden="1" customHeight="1">
      <c r="A52" s="3" t="s">
        <v>123</v>
      </c>
      <c r="B52" s="1007" t="s">
        <v>122</v>
      </c>
      <c r="C52" s="1007"/>
      <c r="D52" s="29">
        <f t="shared" si="10"/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3"/>
      <c r="Q52" s="33"/>
      <c r="R52" s="33"/>
    </row>
    <row r="53" spans="1:20" s="47" customFormat="1" ht="12.75" customHeight="1">
      <c r="A53" s="6" t="s">
        <v>124</v>
      </c>
      <c r="B53" s="1003" t="s">
        <v>162</v>
      </c>
      <c r="C53" s="1003"/>
      <c r="D53" s="59">
        <f t="shared" ref="D53:R53" si="11">+D52+D51+D50+D49+D48+D47+D46</f>
        <v>0</v>
      </c>
      <c r="E53" s="59">
        <f t="shared" si="11"/>
        <v>0</v>
      </c>
      <c r="F53" s="59">
        <f t="shared" si="11"/>
        <v>0</v>
      </c>
      <c r="G53" s="59">
        <f t="shared" si="11"/>
        <v>0</v>
      </c>
      <c r="H53" s="59">
        <f t="shared" si="11"/>
        <v>0</v>
      </c>
      <c r="I53" s="59">
        <f t="shared" si="11"/>
        <v>0</v>
      </c>
      <c r="J53" s="59">
        <f t="shared" si="11"/>
        <v>0</v>
      </c>
      <c r="K53" s="59">
        <f t="shared" si="11"/>
        <v>0</v>
      </c>
      <c r="L53" s="59">
        <f t="shared" si="11"/>
        <v>0</v>
      </c>
      <c r="M53" s="59">
        <f t="shared" si="11"/>
        <v>0</v>
      </c>
      <c r="N53" s="59">
        <f t="shared" si="11"/>
        <v>0</v>
      </c>
      <c r="O53" s="59">
        <f t="shared" si="11"/>
        <v>0</v>
      </c>
      <c r="P53" s="59">
        <f t="shared" si="11"/>
        <v>0</v>
      </c>
      <c r="Q53" s="59">
        <f t="shared" si="11"/>
        <v>0</v>
      </c>
      <c r="R53" s="59">
        <f t="shared" si="11"/>
        <v>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hidden="1" customHeight="1">
      <c r="A55" s="3" t="s">
        <v>126</v>
      </c>
      <c r="B55" s="1007" t="s">
        <v>125</v>
      </c>
      <c r="C55" s="1007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12.75" hidden="1" customHeight="1">
      <c r="A56" s="3" t="s">
        <v>128</v>
      </c>
      <c r="B56" s="1007" t="s">
        <v>127</v>
      </c>
      <c r="C56" s="100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20" ht="12.75" hidden="1" customHeight="1">
      <c r="A57" s="3" t="s">
        <v>130</v>
      </c>
      <c r="B57" s="1007" t="s">
        <v>129</v>
      </c>
      <c r="C57" s="1007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0" ht="12.75" hidden="1" customHeight="1">
      <c r="A58" s="3" t="s">
        <v>132</v>
      </c>
      <c r="B58" s="1007" t="s">
        <v>131</v>
      </c>
      <c r="C58" s="1007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1003" t="s">
        <v>161</v>
      </c>
      <c r="C59" s="1003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52"/>
    </row>
    <row r="61" spans="1:20" hidden="1">
      <c r="A61" s="202" t="s">
        <v>391</v>
      </c>
      <c r="B61" s="1004" t="s">
        <v>392</v>
      </c>
      <c r="C61" s="1004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202" t="s">
        <v>407</v>
      </c>
      <c r="B62" s="1010" t="s">
        <v>408</v>
      </c>
      <c r="C62" s="1011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1004" t="s">
        <v>409</v>
      </c>
      <c r="C63" s="1004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1008" t="s">
        <v>159</v>
      </c>
      <c r="C64" s="1008"/>
      <c r="D64" s="57">
        <f>SUM(D61:D63)</f>
        <v>0</v>
      </c>
      <c r="E64" s="57">
        <f t="shared" ref="E64:R64" si="12">SUM(E61:E63)</f>
        <v>0</v>
      </c>
      <c r="F64" s="57">
        <f t="shared" si="12"/>
        <v>0</v>
      </c>
      <c r="G64" s="57">
        <f t="shared" si="12"/>
        <v>0</v>
      </c>
      <c r="H64" s="57">
        <f t="shared" si="12"/>
        <v>0</v>
      </c>
      <c r="I64" s="57">
        <f t="shared" si="12"/>
        <v>0</v>
      </c>
      <c r="J64" s="57">
        <f t="shared" si="12"/>
        <v>0</v>
      </c>
      <c r="K64" s="57">
        <f t="shared" si="12"/>
        <v>0</v>
      </c>
      <c r="L64" s="57">
        <f t="shared" si="12"/>
        <v>0</v>
      </c>
      <c r="M64" s="57">
        <f t="shared" si="12"/>
        <v>0</v>
      </c>
      <c r="N64" s="57">
        <f t="shared" si="12"/>
        <v>0</v>
      </c>
      <c r="O64" s="57">
        <f t="shared" si="12"/>
        <v>0</v>
      </c>
      <c r="P64" s="57">
        <f t="shared" si="12"/>
        <v>0</v>
      </c>
      <c r="Q64" s="57">
        <f t="shared" si="12"/>
        <v>0</v>
      </c>
      <c r="R64" s="57">
        <f t="shared" si="12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1019" t="s">
        <v>158</v>
      </c>
      <c r="C66" s="1019"/>
      <c r="D66" s="58">
        <f>+D64+D59+D53+D44+D35+D9+D7</f>
        <v>0</v>
      </c>
      <c r="E66" s="58">
        <f t="shared" ref="E66:R66" si="13">+E64+E59+E53+E44+E35+E9+E7</f>
        <v>0</v>
      </c>
      <c r="F66" s="58">
        <f t="shared" si="13"/>
        <v>0</v>
      </c>
      <c r="G66" s="58">
        <f t="shared" si="13"/>
        <v>0</v>
      </c>
      <c r="H66" s="58">
        <f t="shared" si="13"/>
        <v>0</v>
      </c>
      <c r="I66" s="58">
        <f t="shared" si="13"/>
        <v>0</v>
      </c>
      <c r="J66" s="58">
        <f t="shared" si="13"/>
        <v>0</v>
      </c>
      <c r="K66" s="58">
        <f t="shared" si="13"/>
        <v>0</v>
      </c>
      <c r="L66" s="58">
        <f t="shared" si="13"/>
        <v>0</v>
      </c>
      <c r="M66" s="58">
        <f t="shared" si="13"/>
        <v>0</v>
      </c>
      <c r="N66" s="58">
        <f t="shared" si="13"/>
        <v>0</v>
      </c>
      <c r="O66" s="58">
        <f t="shared" si="13"/>
        <v>0</v>
      </c>
      <c r="P66" s="58">
        <f t="shared" si="13"/>
        <v>0</v>
      </c>
      <c r="Q66" s="58">
        <f t="shared" si="13"/>
        <v>0</v>
      </c>
      <c r="R66" s="58">
        <f t="shared" si="13"/>
        <v>0</v>
      </c>
    </row>
  </sheetData>
  <mergeCells count="68">
    <mergeCell ref="P1:R1"/>
    <mergeCell ref="B55:C55"/>
    <mergeCell ref="B42:C42"/>
    <mergeCell ref="B43:C43"/>
    <mergeCell ref="B44:C44"/>
    <mergeCell ref="B46:C46"/>
    <mergeCell ref="B47:C47"/>
    <mergeCell ref="B48:C48"/>
    <mergeCell ref="B29:C29"/>
    <mergeCell ref="B32:C32"/>
    <mergeCell ref="B33:C33"/>
    <mergeCell ref="B34:C34"/>
    <mergeCell ref="B30:C30"/>
    <mergeCell ref="B31:C31"/>
    <mergeCell ref="B37:C37"/>
    <mergeCell ref="B52:C52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B53:C53"/>
    <mergeCell ref="B41:C41"/>
    <mergeCell ref="B49:C49"/>
    <mergeCell ref="B50:C50"/>
    <mergeCell ref="B51:C51"/>
    <mergeCell ref="B40:C40"/>
    <mergeCell ref="B35:C35"/>
    <mergeCell ref="B25:C25"/>
    <mergeCell ref="B26:C26"/>
    <mergeCell ref="B27:C27"/>
    <mergeCell ref="B16:C16"/>
    <mergeCell ref="B17:C17"/>
    <mergeCell ref="B18:C18"/>
    <mergeCell ref="B38:C38"/>
    <mergeCell ref="B39:C39"/>
    <mergeCell ref="B24:C24"/>
    <mergeCell ref="B28:C28"/>
    <mergeCell ref="B19:C19"/>
    <mergeCell ref="B20:C20"/>
    <mergeCell ref="B21:C21"/>
    <mergeCell ref="B22:C22"/>
    <mergeCell ref="B23:C23"/>
    <mergeCell ref="B14:C14"/>
    <mergeCell ref="B15:C15"/>
    <mergeCell ref="M2:O2"/>
    <mergeCell ref="P2:R2"/>
    <mergeCell ref="G3:I3"/>
    <mergeCell ref="J3:L3"/>
    <mergeCell ref="M3:O3"/>
    <mergeCell ref="P3:R3"/>
    <mergeCell ref="D2:F2"/>
    <mergeCell ref="B13:C13"/>
    <mergeCell ref="B5:C5"/>
    <mergeCell ref="B6:C6"/>
    <mergeCell ref="B7:C7"/>
    <mergeCell ref="B9:C9"/>
    <mergeCell ref="B11:C11"/>
    <mergeCell ref="B12:C1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6" orientation="landscape" cellComments="asDisplayed" r:id="rId1"/>
  <headerFooter>
    <oddHeader>&amp;C&amp;"Times New Roman,Félkövér"&amp;12Martonvásár Város Önkormányzatának kiadásai 2016.
Városfejlesztési feladatok EU forrásból&amp;R&amp;"Times New Roman,Félkövér"&amp;12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U58"/>
  <sheetViews>
    <sheetView workbookViewId="0">
      <pane xSplit="3" ySplit="4" topLeftCell="D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K10" sqref="K10"/>
    </sheetView>
  </sheetViews>
  <sheetFormatPr defaultColWidth="9.109375" defaultRowHeight="13.2"/>
  <cols>
    <col min="1" max="1" width="7.33203125" style="27" customWidth="1"/>
    <col min="2" max="2" width="7.109375" style="28" customWidth="1"/>
    <col min="3" max="3" width="32" style="28" customWidth="1"/>
    <col min="4" max="7" width="7.6640625" style="19" customWidth="1"/>
    <col min="8" max="8" width="6.6640625" style="19" customWidth="1"/>
    <col min="9" max="9" width="7.44140625" style="19" customWidth="1"/>
    <col min="10" max="10" width="7.33203125" style="19" customWidth="1"/>
    <col min="11" max="11" width="7.6640625" style="19" customWidth="1"/>
    <col min="12" max="12" width="7" style="19" customWidth="1"/>
    <col min="13" max="13" width="7.6640625" style="19" customWidth="1"/>
    <col min="14" max="14" width="7.44140625" style="19" customWidth="1"/>
    <col min="15" max="16" width="7.6640625" style="19" customWidth="1"/>
    <col min="17" max="17" width="6.6640625" style="19" customWidth="1"/>
    <col min="18" max="19" width="7.6640625" style="19" customWidth="1"/>
    <col min="20" max="20" width="6.88671875" style="19" customWidth="1"/>
    <col min="21" max="21" width="7.109375" style="19" customWidth="1"/>
    <col min="22" max="16384" width="9.109375" style="19"/>
  </cols>
  <sheetData>
    <row r="1" spans="1:21" s="1" customFormat="1" ht="14.4">
      <c r="A1" s="27"/>
      <c r="B1" s="28"/>
      <c r="C1" s="28"/>
      <c r="S1" s="1017" t="s">
        <v>406</v>
      </c>
      <c r="T1" s="1017"/>
      <c r="U1" s="1017"/>
    </row>
    <row r="2" spans="1:21" s="34" customFormat="1" ht="33.75" customHeight="1">
      <c r="A2" s="1005" t="s">
        <v>0</v>
      </c>
      <c r="B2" s="1005" t="s">
        <v>180</v>
      </c>
      <c r="C2" s="1005"/>
      <c r="D2" s="1021" t="s">
        <v>178</v>
      </c>
      <c r="E2" s="1021"/>
      <c r="F2" s="1021"/>
      <c r="G2" s="1021" t="s">
        <v>184</v>
      </c>
      <c r="H2" s="1021"/>
      <c r="I2" s="1021"/>
      <c r="J2" s="1021" t="s">
        <v>185</v>
      </c>
      <c r="K2" s="1021"/>
      <c r="L2" s="1021"/>
      <c r="M2" s="1028" t="s">
        <v>186</v>
      </c>
      <c r="N2" s="1028"/>
      <c r="O2" s="1028"/>
      <c r="P2" s="1028" t="s">
        <v>189</v>
      </c>
      <c r="Q2" s="1028"/>
      <c r="R2" s="1028"/>
      <c r="S2" s="1028" t="s">
        <v>190</v>
      </c>
      <c r="T2" s="1028"/>
      <c r="U2" s="1028"/>
    </row>
    <row r="3" spans="1:21" s="34" customFormat="1">
      <c r="A3" s="1005"/>
      <c r="B3" s="1005"/>
      <c r="C3" s="1005"/>
      <c r="D3" s="215"/>
      <c r="E3" s="215"/>
      <c r="F3" s="215"/>
      <c r="G3" s="1021" t="s">
        <v>187</v>
      </c>
      <c r="H3" s="1021"/>
      <c r="I3" s="1021"/>
      <c r="J3" s="1021" t="s">
        <v>187</v>
      </c>
      <c r="K3" s="1021"/>
      <c r="L3" s="1021"/>
      <c r="M3" s="1021" t="s">
        <v>188</v>
      </c>
      <c r="N3" s="1021"/>
      <c r="O3" s="1021"/>
      <c r="P3" s="1021" t="s">
        <v>188</v>
      </c>
      <c r="Q3" s="1021"/>
      <c r="R3" s="1021"/>
      <c r="S3" s="1021" t="s">
        <v>188</v>
      </c>
      <c r="T3" s="1021"/>
      <c r="U3" s="1021"/>
    </row>
    <row r="4" spans="1:21" s="18" customFormat="1" ht="26.4">
      <c r="A4" s="1005"/>
      <c r="B4" s="1005"/>
      <c r="C4" s="1005"/>
      <c r="D4" s="921" t="s">
        <v>747</v>
      </c>
      <c r="E4" s="664" t="s">
        <v>745</v>
      </c>
      <c r="F4" s="921" t="s">
        <v>912</v>
      </c>
      <c r="G4" s="921" t="s">
        <v>747</v>
      </c>
      <c r="H4" s="921" t="s">
        <v>745</v>
      </c>
      <c r="I4" s="921" t="s">
        <v>912</v>
      </c>
      <c r="J4" s="921" t="s">
        <v>747</v>
      </c>
      <c r="K4" s="921" t="s">
        <v>745</v>
      </c>
      <c r="L4" s="921" t="s">
        <v>912</v>
      </c>
      <c r="M4" s="921" t="s">
        <v>747</v>
      </c>
      <c r="N4" s="921" t="s">
        <v>745</v>
      </c>
      <c r="O4" s="921" t="s">
        <v>912</v>
      </c>
      <c r="P4" s="921" t="s">
        <v>747</v>
      </c>
      <c r="Q4" s="921" t="s">
        <v>745</v>
      </c>
      <c r="R4" s="921" t="s">
        <v>912</v>
      </c>
      <c r="S4" s="921" t="s">
        <v>747</v>
      </c>
      <c r="T4" s="921" t="s">
        <v>745</v>
      </c>
      <c r="U4" s="921" t="s">
        <v>912</v>
      </c>
    </row>
    <row r="5" spans="1:21" s="47" customFormat="1" ht="12" customHeight="1">
      <c r="A5" s="5" t="s">
        <v>27</v>
      </c>
      <c r="B5" s="1006" t="s">
        <v>175</v>
      </c>
      <c r="C5" s="1006"/>
      <c r="D5" s="62">
        <f>+G5+J5+M5+P5+S5</f>
        <v>8199</v>
      </c>
      <c r="E5" s="62">
        <f t="shared" ref="E5:F6" si="0">+H5+K5+N5+Q5+T5</f>
        <v>435</v>
      </c>
      <c r="F5" s="62">
        <f t="shared" si="0"/>
        <v>8634</v>
      </c>
      <c r="G5" s="62">
        <v>6975</v>
      </c>
      <c r="H5" s="62">
        <v>435</v>
      </c>
      <c r="I5" s="62">
        <f>+G5+H5</f>
        <v>7410</v>
      </c>
      <c r="J5" s="62">
        <f>+'[4]5.d. mell. Védőnő, EÜ'!$L5</f>
        <v>1224</v>
      </c>
      <c r="K5" s="62"/>
      <c r="L5" s="62">
        <f>+J5+K5</f>
        <v>1224</v>
      </c>
      <c r="M5" s="62"/>
      <c r="N5" s="62"/>
      <c r="O5" s="62"/>
      <c r="P5" s="62"/>
      <c r="Q5" s="62"/>
      <c r="R5" s="62"/>
      <c r="S5" s="62"/>
      <c r="T5" s="62"/>
      <c r="U5" s="62"/>
    </row>
    <row r="6" spans="1:21" s="47" customFormat="1" ht="12" customHeight="1">
      <c r="A6" s="5" t="s">
        <v>34</v>
      </c>
      <c r="B6" s="1006" t="s">
        <v>174</v>
      </c>
      <c r="C6" s="1006"/>
      <c r="D6" s="62">
        <f>+G6+J6+M6+P6+S6</f>
        <v>2057</v>
      </c>
      <c r="E6" s="62">
        <f t="shared" si="0"/>
        <v>246</v>
      </c>
      <c r="F6" s="62">
        <f t="shared" si="0"/>
        <v>2303</v>
      </c>
      <c r="G6" s="62">
        <v>0</v>
      </c>
      <c r="H6" s="62"/>
      <c r="I6" s="62">
        <f>+G6+H6</f>
        <v>0</v>
      </c>
      <c r="J6" s="62">
        <f>+'[4]5.d. mell. Védőnő, EÜ'!$L6</f>
        <v>1204</v>
      </c>
      <c r="K6" s="62">
        <v>246</v>
      </c>
      <c r="L6" s="62">
        <f>+J6+K6</f>
        <v>1450</v>
      </c>
      <c r="M6" s="62">
        <v>853</v>
      </c>
      <c r="N6" s="62"/>
      <c r="O6" s="62">
        <f>+M6+N6</f>
        <v>853</v>
      </c>
      <c r="P6" s="62"/>
      <c r="Q6" s="62"/>
      <c r="R6" s="62"/>
      <c r="S6" s="62"/>
      <c r="T6" s="62"/>
      <c r="U6" s="62"/>
    </row>
    <row r="7" spans="1:21" s="47" customFormat="1" ht="12" customHeight="1">
      <c r="A7" s="6" t="s">
        <v>35</v>
      </c>
      <c r="B7" s="1003" t="s">
        <v>173</v>
      </c>
      <c r="C7" s="1003"/>
      <c r="D7" s="59">
        <f>+D6+D5</f>
        <v>10256</v>
      </c>
      <c r="E7" s="59">
        <f t="shared" ref="E7:F7" si="1">+E6+E5</f>
        <v>681</v>
      </c>
      <c r="F7" s="59">
        <f t="shared" si="1"/>
        <v>10937</v>
      </c>
      <c r="G7" s="59">
        <f>+G5+G6</f>
        <v>6975</v>
      </c>
      <c r="H7" s="59">
        <f t="shared" ref="H7:U7" si="2">+H5+H6</f>
        <v>435</v>
      </c>
      <c r="I7" s="59">
        <f t="shared" si="2"/>
        <v>7410</v>
      </c>
      <c r="J7" s="59">
        <f t="shared" si="2"/>
        <v>2428</v>
      </c>
      <c r="K7" s="59">
        <f t="shared" si="2"/>
        <v>246</v>
      </c>
      <c r="L7" s="59">
        <f t="shared" si="2"/>
        <v>2674</v>
      </c>
      <c r="M7" s="59">
        <f t="shared" si="2"/>
        <v>853</v>
      </c>
      <c r="N7" s="59">
        <f t="shared" si="2"/>
        <v>0</v>
      </c>
      <c r="O7" s="59">
        <f t="shared" si="2"/>
        <v>853</v>
      </c>
      <c r="P7" s="59">
        <f t="shared" si="2"/>
        <v>0</v>
      </c>
      <c r="Q7" s="59">
        <f t="shared" si="2"/>
        <v>0</v>
      </c>
      <c r="R7" s="59">
        <f t="shared" si="2"/>
        <v>0</v>
      </c>
      <c r="S7" s="59">
        <f t="shared" si="2"/>
        <v>0</v>
      </c>
      <c r="T7" s="59">
        <f t="shared" si="2"/>
        <v>0</v>
      </c>
      <c r="U7" s="59">
        <f t="shared" si="2"/>
        <v>0</v>
      </c>
    </row>
    <row r="8" spans="1:21" ht="12" customHeight="1">
      <c r="A8" s="7"/>
      <c r="B8" s="8"/>
      <c r="C8" s="8"/>
      <c r="D8" s="29"/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  <c r="S8" s="31"/>
      <c r="T8" s="31"/>
      <c r="U8" s="32"/>
    </row>
    <row r="9" spans="1:21" s="47" customFormat="1" ht="12" customHeight="1">
      <c r="A9" s="9" t="s">
        <v>36</v>
      </c>
      <c r="B9" s="1003" t="s">
        <v>172</v>
      </c>
      <c r="C9" s="1003"/>
      <c r="D9" s="29">
        <f>+G9+J9+M9+P9+S9</f>
        <v>2788</v>
      </c>
      <c r="E9" s="29">
        <f t="shared" ref="E9:F9" si="3">+H9+K9+N9+Q9+T9</f>
        <v>183</v>
      </c>
      <c r="F9" s="29">
        <f t="shared" si="3"/>
        <v>2971</v>
      </c>
      <c r="G9" s="58">
        <v>1896</v>
      </c>
      <c r="H9" s="58">
        <v>117</v>
      </c>
      <c r="I9" s="58">
        <f>+G9+H9</f>
        <v>2013</v>
      </c>
      <c r="J9" s="58">
        <v>662</v>
      </c>
      <c r="K9" s="58">
        <v>66</v>
      </c>
      <c r="L9" s="62">
        <f>+J9+K9</f>
        <v>728</v>
      </c>
      <c r="M9" s="58">
        <v>230</v>
      </c>
      <c r="N9" s="58"/>
      <c r="O9" s="58">
        <f>+M9+N9</f>
        <v>230</v>
      </c>
      <c r="P9" s="58"/>
      <c r="Q9" s="58"/>
      <c r="R9" s="58"/>
      <c r="S9" s="58"/>
      <c r="T9" s="58"/>
      <c r="U9" s="58"/>
    </row>
    <row r="10" spans="1:21" s="43" customFormat="1" ht="11.25" customHeight="1">
      <c r="A10" s="352"/>
      <c r="B10" s="353"/>
      <c r="C10" s="354"/>
      <c r="D10" s="349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</row>
    <row r="11" spans="1:21" ht="12" customHeight="1">
      <c r="A11" s="3" t="s">
        <v>43</v>
      </c>
      <c r="B11" s="1007" t="s">
        <v>42</v>
      </c>
      <c r="C11" s="1007"/>
      <c r="D11" s="30">
        <f t="shared" ref="D11:D34" si="4">+G11+J11+M11+P11+S11</f>
        <v>100</v>
      </c>
      <c r="E11" s="30">
        <f t="shared" ref="E11:E34" si="5">+H11+K11+N11+Q11+T11</f>
        <v>0</v>
      </c>
      <c r="F11" s="30">
        <f t="shared" ref="F11:F34" si="6">+I11+L11+O11+R11+U11</f>
        <v>100</v>
      </c>
      <c r="G11" s="30">
        <v>100</v>
      </c>
      <c r="H11" s="30"/>
      <c r="I11" s="30">
        <f>+G11+H11</f>
        <v>100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2" customHeight="1">
      <c r="A12" s="3" t="s">
        <v>45</v>
      </c>
      <c r="B12" s="1007" t="s">
        <v>44</v>
      </c>
      <c r="C12" s="1007"/>
      <c r="D12" s="30">
        <f t="shared" si="4"/>
        <v>300</v>
      </c>
      <c r="E12" s="30">
        <f t="shared" si="5"/>
        <v>0</v>
      </c>
      <c r="F12" s="30">
        <f t="shared" si="6"/>
        <v>300</v>
      </c>
      <c r="G12" s="30">
        <v>100</v>
      </c>
      <c r="H12" s="30"/>
      <c r="I12" s="30">
        <f t="shared" ref="I12:I33" si="7">+G12+H12</f>
        <v>100</v>
      </c>
      <c r="J12" s="30"/>
      <c r="K12" s="30"/>
      <c r="L12" s="30"/>
      <c r="M12" s="30">
        <v>200</v>
      </c>
      <c r="N12" s="30"/>
      <c r="O12" s="30">
        <f>+M12+N12</f>
        <v>200</v>
      </c>
      <c r="P12" s="30"/>
      <c r="Q12" s="30"/>
      <c r="R12" s="30"/>
      <c r="S12" s="30"/>
      <c r="T12" s="30"/>
      <c r="U12" s="30"/>
    </row>
    <row r="13" spans="1:21" ht="12" customHeight="1">
      <c r="A13" s="3" t="s">
        <v>47</v>
      </c>
      <c r="B13" s="1007" t="s">
        <v>46</v>
      </c>
      <c r="C13" s="1007"/>
      <c r="D13" s="30">
        <f t="shared" si="4"/>
        <v>0</v>
      </c>
      <c r="E13" s="30">
        <f t="shared" si="5"/>
        <v>0</v>
      </c>
      <c r="F13" s="30">
        <f t="shared" si="6"/>
        <v>0</v>
      </c>
      <c r="G13" s="30"/>
      <c r="H13" s="30"/>
      <c r="I13" s="30">
        <f t="shared" si="7"/>
        <v>0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s="47" customFormat="1" ht="12" customHeight="1">
      <c r="A14" s="5" t="s">
        <v>48</v>
      </c>
      <c r="B14" s="1006" t="s">
        <v>171</v>
      </c>
      <c r="C14" s="1006"/>
      <c r="D14" s="58">
        <f t="shared" si="4"/>
        <v>400</v>
      </c>
      <c r="E14" s="58">
        <f t="shared" si="5"/>
        <v>0</v>
      </c>
      <c r="F14" s="58">
        <f t="shared" si="6"/>
        <v>400</v>
      </c>
      <c r="G14" s="62">
        <f>SUM(G11:G13)</f>
        <v>200</v>
      </c>
      <c r="H14" s="62">
        <f t="shared" ref="H14:U14" si="8">SUM(H11:H13)</f>
        <v>0</v>
      </c>
      <c r="I14" s="62">
        <f t="shared" si="8"/>
        <v>200</v>
      </c>
      <c r="J14" s="62">
        <f t="shared" si="8"/>
        <v>0</v>
      </c>
      <c r="K14" s="62">
        <f t="shared" si="8"/>
        <v>0</v>
      </c>
      <c r="L14" s="62">
        <f t="shared" si="8"/>
        <v>0</v>
      </c>
      <c r="M14" s="62">
        <f t="shared" si="8"/>
        <v>200</v>
      </c>
      <c r="N14" s="62">
        <f t="shared" si="8"/>
        <v>0</v>
      </c>
      <c r="O14" s="62">
        <f t="shared" si="8"/>
        <v>200</v>
      </c>
      <c r="P14" s="62">
        <f t="shared" si="8"/>
        <v>0</v>
      </c>
      <c r="Q14" s="62">
        <f t="shared" si="8"/>
        <v>0</v>
      </c>
      <c r="R14" s="62">
        <f t="shared" si="8"/>
        <v>0</v>
      </c>
      <c r="S14" s="62">
        <f t="shared" si="8"/>
        <v>0</v>
      </c>
      <c r="T14" s="62">
        <f t="shared" si="8"/>
        <v>0</v>
      </c>
      <c r="U14" s="62">
        <f t="shared" si="8"/>
        <v>0</v>
      </c>
    </row>
    <row r="15" spans="1:21" ht="12" customHeight="1">
      <c r="A15" s="3" t="s">
        <v>50</v>
      </c>
      <c r="B15" s="1007" t="s">
        <v>49</v>
      </c>
      <c r="C15" s="1007"/>
      <c r="D15" s="33">
        <f t="shared" si="4"/>
        <v>75</v>
      </c>
      <c r="E15" s="33">
        <f t="shared" si="5"/>
        <v>0</v>
      </c>
      <c r="F15" s="33">
        <f t="shared" si="6"/>
        <v>75</v>
      </c>
      <c r="G15" s="30"/>
      <c r="H15" s="30"/>
      <c r="I15" s="30">
        <f t="shared" si="7"/>
        <v>0</v>
      </c>
      <c r="J15" s="30"/>
      <c r="K15" s="30"/>
      <c r="L15" s="30"/>
      <c r="M15" s="30">
        <v>75</v>
      </c>
      <c r="N15" s="30"/>
      <c r="O15" s="30">
        <f t="shared" ref="O15:O16" si="9">+M15+N15</f>
        <v>75</v>
      </c>
      <c r="P15" s="30"/>
      <c r="Q15" s="30"/>
      <c r="R15" s="30"/>
      <c r="S15" s="30"/>
      <c r="T15" s="30"/>
      <c r="U15" s="30"/>
    </row>
    <row r="16" spans="1:21" ht="12" customHeight="1">
      <c r="A16" s="3" t="s">
        <v>52</v>
      </c>
      <c r="B16" s="1007" t="s">
        <v>51</v>
      </c>
      <c r="C16" s="1007"/>
      <c r="D16" s="33">
        <f t="shared" si="4"/>
        <v>165</v>
      </c>
      <c r="E16" s="33">
        <f t="shared" si="5"/>
        <v>0</v>
      </c>
      <c r="F16" s="33">
        <f t="shared" si="6"/>
        <v>165</v>
      </c>
      <c r="G16" s="30">
        <v>120</v>
      </c>
      <c r="H16" s="30"/>
      <c r="I16" s="30">
        <f t="shared" si="7"/>
        <v>120</v>
      </c>
      <c r="J16" s="30"/>
      <c r="K16" s="30"/>
      <c r="L16" s="30"/>
      <c r="M16" s="30">
        <v>45</v>
      </c>
      <c r="N16" s="30"/>
      <c r="O16" s="30">
        <f t="shared" si="9"/>
        <v>45</v>
      </c>
      <c r="P16" s="30"/>
      <c r="Q16" s="30"/>
      <c r="R16" s="30"/>
      <c r="S16" s="30"/>
      <c r="T16" s="30"/>
      <c r="U16" s="30"/>
    </row>
    <row r="17" spans="1:21" s="47" customFormat="1" ht="12" customHeight="1">
      <c r="A17" s="5" t="s">
        <v>53</v>
      </c>
      <c r="B17" s="1006" t="s">
        <v>170</v>
      </c>
      <c r="C17" s="1006"/>
      <c r="D17" s="58">
        <f t="shared" si="4"/>
        <v>240</v>
      </c>
      <c r="E17" s="58">
        <f t="shared" si="5"/>
        <v>0</v>
      </c>
      <c r="F17" s="58">
        <f t="shared" si="6"/>
        <v>240</v>
      </c>
      <c r="G17" s="62">
        <f>+G15+G16</f>
        <v>120</v>
      </c>
      <c r="H17" s="62">
        <f t="shared" ref="H17:U17" si="10">+H15+H16</f>
        <v>0</v>
      </c>
      <c r="I17" s="62">
        <f t="shared" si="10"/>
        <v>120</v>
      </c>
      <c r="J17" s="62">
        <f t="shared" si="10"/>
        <v>0</v>
      </c>
      <c r="K17" s="62">
        <f t="shared" si="10"/>
        <v>0</v>
      </c>
      <c r="L17" s="62">
        <f t="shared" si="10"/>
        <v>0</v>
      </c>
      <c r="M17" s="62">
        <f t="shared" si="10"/>
        <v>120</v>
      </c>
      <c r="N17" s="62">
        <f t="shared" si="10"/>
        <v>0</v>
      </c>
      <c r="O17" s="62">
        <f t="shared" si="10"/>
        <v>120</v>
      </c>
      <c r="P17" s="62">
        <f t="shared" si="10"/>
        <v>0</v>
      </c>
      <c r="Q17" s="62">
        <f t="shared" si="10"/>
        <v>0</v>
      </c>
      <c r="R17" s="62">
        <f t="shared" si="10"/>
        <v>0</v>
      </c>
      <c r="S17" s="62">
        <f t="shared" si="10"/>
        <v>0</v>
      </c>
      <c r="T17" s="62">
        <f t="shared" si="10"/>
        <v>0</v>
      </c>
      <c r="U17" s="62">
        <f t="shared" si="10"/>
        <v>0</v>
      </c>
    </row>
    <row r="18" spans="1:21" ht="12" customHeight="1">
      <c r="A18" s="3" t="s">
        <v>55</v>
      </c>
      <c r="B18" s="1007" t="s">
        <v>54</v>
      </c>
      <c r="C18" s="1007"/>
      <c r="D18" s="33">
        <f t="shared" si="4"/>
        <v>0</v>
      </c>
      <c r="E18" s="33">
        <f t="shared" si="5"/>
        <v>0</v>
      </c>
      <c r="F18" s="33">
        <f t="shared" si="6"/>
        <v>0</v>
      </c>
      <c r="G18" s="30"/>
      <c r="H18" s="30"/>
      <c r="I18" s="30">
        <f t="shared" si="7"/>
        <v>0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12" customHeight="1">
      <c r="A19" s="3" t="s">
        <v>57</v>
      </c>
      <c r="B19" s="1007" t="s">
        <v>56</v>
      </c>
      <c r="C19" s="1007"/>
      <c r="D19" s="33">
        <f t="shared" si="4"/>
        <v>0</v>
      </c>
      <c r="E19" s="33">
        <f t="shared" si="5"/>
        <v>0</v>
      </c>
      <c r="F19" s="33">
        <f t="shared" si="6"/>
        <v>0</v>
      </c>
      <c r="G19" s="30"/>
      <c r="H19" s="30"/>
      <c r="I19" s="30">
        <f t="shared" si="7"/>
        <v>0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2" customHeight="1">
      <c r="A20" s="3" t="s">
        <v>58</v>
      </c>
      <c r="B20" s="1007" t="s">
        <v>168</v>
      </c>
      <c r="C20" s="1007"/>
      <c r="D20" s="33">
        <f t="shared" si="4"/>
        <v>0</v>
      </c>
      <c r="E20" s="33">
        <f t="shared" si="5"/>
        <v>0</v>
      </c>
      <c r="F20" s="33">
        <f t="shared" si="6"/>
        <v>0</v>
      </c>
      <c r="G20" s="30"/>
      <c r="H20" s="30"/>
      <c r="I20" s="30">
        <f t="shared" si="7"/>
        <v>0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12" customHeight="1">
      <c r="A21" s="3" t="s">
        <v>60</v>
      </c>
      <c r="B21" s="1007" t="s">
        <v>59</v>
      </c>
      <c r="C21" s="1007"/>
      <c r="D21" s="33">
        <f t="shared" si="4"/>
        <v>0</v>
      </c>
      <c r="E21" s="33">
        <f t="shared" si="5"/>
        <v>0</v>
      </c>
      <c r="F21" s="33">
        <f t="shared" si="6"/>
        <v>0</v>
      </c>
      <c r="G21" s="30"/>
      <c r="H21" s="30"/>
      <c r="I21" s="30">
        <f t="shared" si="7"/>
        <v>0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12" customHeight="1">
      <c r="A22" s="3" t="s">
        <v>61</v>
      </c>
      <c r="B22" s="1020" t="s">
        <v>167</v>
      </c>
      <c r="C22" s="1020"/>
      <c r="D22" s="33">
        <f t="shared" si="4"/>
        <v>0</v>
      </c>
      <c r="E22" s="33">
        <f t="shared" si="5"/>
        <v>0</v>
      </c>
      <c r="F22" s="33">
        <f t="shared" si="6"/>
        <v>0</v>
      </c>
      <c r="G22" s="30"/>
      <c r="H22" s="30"/>
      <c r="I22" s="30">
        <f t="shared" si="7"/>
        <v>0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12" customHeight="1">
      <c r="A23" s="3" t="s">
        <v>64</v>
      </c>
      <c r="B23" s="1004" t="s">
        <v>63</v>
      </c>
      <c r="C23" s="1004"/>
      <c r="D23" s="33">
        <f t="shared" si="4"/>
        <v>20</v>
      </c>
      <c r="E23" s="33">
        <f t="shared" si="5"/>
        <v>0</v>
      </c>
      <c r="F23" s="33">
        <f t="shared" si="6"/>
        <v>20</v>
      </c>
      <c r="G23" s="30">
        <v>20</v>
      </c>
      <c r="H23" s="30"/>
      <c r="I23" s="30">
        <f t="shared" si="7"/>
        <v>20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12" customHeight="1">
      <c r="A24" s="3" t="s">
        <v>66</v>
      </c>
      <c r="B24" s="1007" t="s">
        <v>65</v>
      </c>
      <c r="C24" s="1007"/>
      <c r="D24" s="33">
        <f t="shared" si="4"/>
        <v>1060</v>
      </c>
      <c r="E24" s="33">
        <f t="shared" si="5"/>
        <v>0</v>
      </c>
      <c r="F24" s="33">
        <f t="shared" si="6"/>
        <v>1060</v>
      </c>
      <c r="G24" s="30">
        <v>63</v>
      </c>
      <c r="H24" s="30"/>
      <c r="I24" s="30">
        <f t="shared" si="7"/>
        <v>63</v>
      </c>
      <c r="J24" s="30">
        <f>490+7</f>
        <v>497</v>
      </c>
      <c r="K24" s="30"/>
      <c r="L24" s="30">
        <f>+J24+K24</f>
        <v>497</v>
      </c>
      <c r="M24" s="30"/>
      <c r="N24" s="30"/>
      <c r="O24" s="30"/>
      <c r="P24" s="30">
        <v>500</v>
      </c>
      <c r="Q24" s="30"/>
      <c r="R24" s="30">
        <f>+P24+Q24</f>
        <v>500</v>
      </c>
      <c r="S24" s="30"/>
      <c r="T24" s="30"/>
      <c r="U24" s="30"/>
    </row>
    <row r="25" spans="1:21" s="47" customFormat="1" ht="12" customHeight="1">
      <c r="A25" s="5" t="s">
        <v>67</v>
      </c>
      <c r="B25" s="1006" t="s">
        <v>157</v>
      </c>
      <c r="C25" s="1006"/>
      <c r="D25" s="58">
        <f t="shared" si="4"/>
        <v>1080</v>
      </c>
      <c r="E25" s="58">
        <f t="shared" si="5"/>
        <v>0</v>
      </c>
      <c r="F25" s="58">
        <f t="shared" si="6"/>
        <v>1080</v>
      </c>
      <c r="G25" s="62">
        <f t="shared" ref="G25:U25" si="11">+G24+G23+G22+G21+G20+G19+G18</f>
        <v>83</v>
      </c>
      <c r="H25" s="62">
        <f t="shared" si="11"/>
        <v>0</v>
      </c>
      <c r="I25" s="62">
        <f t="shared" si="11"/>
        <v>83</v>
      </c>
      <c r="J25" s="62">
        <f t="shared" si="11"/>
        <v>497</v>
      </c>
      <c r="K25" s="62">
        <f t="shared" si="11"/>
        <v>0</v>
      </c>
      <c r="L25" s="62">
        <f t="shared" si="11"/>
        <v>497</v>
      </c>
      <c r="M25" s="62">
        <f t="shared" si="11"/>
        <v>0</v>
      </c>
      <c r="N25" s="62">
        <f t="shared" si="11"/>
        <v>0</v>
      </c>
      <c r="O25" s="62">
        <f t="shared" si="11"/>
        <v>0</v>
      </c>
      <c r="P25" s="62">
        <f t="shared" si="11"/>
        <v>500</v>
      </c>
      <c r="Q25" s="62">
        <f t="shared" si="11"/>
        <v>0</v>
      </c>
      <c r="R25" s="62">
        <f t="shared" si="11"/>
        <v>500</v>
      </c>
      <c r="S25" s="62">
        <f t="shared" si="11"/>
        <v>0</v>
      </c>
      <c r="T25" s="62">
        <f t="shared" si="11"/>
        <v>0</v>
      </c>
      <c r="U25" s="62">
        <f t="shared" si="11"/>
        <v>0</v>
      </c>
    </row>
    <row r="26" spans="1:21" ht="12" customHeight="1">
      <c r="A26" s="3" t="s">
        <v>69</v>
      </c>
      <c r="B26" s="1007" t="s">
        <v>68</v>
      </c>
      <c r="C26" s="1007"/>
      <c r="D26" s="33">
        <f t="shared" si="4"/>
        <v>180</v>
      </c>
      <c r="E26" s="33">
        <f t="shared" si="5"/>
        <v>0</v>
      </c>
      <c r="F26" s="33">
        <f t="shared" si="6"/>
        <v>180</v>
      </c>
      <c r="G26" s="30">
        <v>180</v>
      </c>
      <c r="H26" s="30"/>
      <c r="I26" s="30">
        <f t="shared" si="7"/>
        <v>180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2" customHeight="1">
      <c r="A27" s="3" t="s">
        <v>71</v>
      </c>
      <c r="B27" s="1007" t="s">
        <v>70</v>
      </c>
      <c r="C27" s="1007"/>
      <c r="D27" s="33">
        <f t="shared" si="4"/>
        <v>0</v>
      </c>
      <c r="E27" s="33">
        <f t="shared" si="5"/>
        <v>0</v>
      </c>
      <c r="F27" s="33">
        <f t="shared" si="6"/>
        <v>0</v>
      </c>
      <c r="G27" s="30"/>
      <c r="H27" s="30"/>
      <c r="I27" s="30">
        <f t="shared" si="7"/>
        <v>0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s="47" customFormat="1" ht="12" customHeight="1">
      <c r="A28" s="5" t="s">
        <v>72</v>
      </c>
      <c r="B28" s="1006" t="s">
        <v>156</v>
      </c>
      <c r="C28" s="1006"/>
      <c r="D28" s="58">
        <f t="shared" si="4"/>
        <v>180</v>
      </c>
      <c r="E28" s="58">
        <f t="shared" si="5"/>
        <v>0</v>
      </c>
      <c r="F28" s="58">
        <f t="shared" si="6"/>
        <v>180</v>
      </c>
      <c r="G28" s="62">
        <f>+G26+G27</f>
        <v>180</v>
      </c>
      <c r="H28" s="62">
        <f t="shared" ref="H28:U28" si="12">+H26+H27</f>
        <v>0</v>
      </c>
      <c r="I28" s="62">
        <f t="shared" si="12"/>
        <v>180</v>
      </c>
      <c r="J28" s="62">
        <f t="shared" si="12"/>
        <v>0</v>
      </c>
      <c r="K28" s="62">
        <f t="shared" si="12"/>
        <v>0</v>
      </c>
      <c r="L28" s="62">
        <f t="shared" si="12"/>
        <v>0</v>
      </c>
      <c r="M28" s="62">
        <f t="shared" si="12"/>
        <v>0</v>
      </c>
      <c r="N28" s="62">
        <f t="shared" si="12"/>
        <v>0</v>
      </c>
      <c r="O28" s="62">
        <f t="shared" si="12"/>
        <v>0</v>
      </c>
      <c r="P28" s="62">
        <f t="shared" si="12"/>
        <v>0</v>
      </c>
      <c r="Q28" s="62">
        <f t="shared" si="12"/>
        <v>0</v>
      </c>
      <c r="R28" s="62">
        <f t="shared" si="12"/>
        <v>0</v>
      </c>
      <c r="S28" s="62">
        <f t="shared" si="12"/>
        <v>0</v>
      </c>
      <c r="T28" s="62">
        <f t="shared" si="12"/>
        <v>0</v>
      </c>
      <c r="U28" s="62">
        <f t="shared" si="12"/>
        <v>0</v>
      </c>
    </row>
    <row r="29" spans="1:21" ht="12" customHeight="1">
      <c r="A29" s="3" t="s">
        <v>74</v>
      </c>
      <c r="B29" s="1007" t="s">
        <v>73</v>
      </c>
      <c r="C29" s="1007"/>
      <c r="D29" s="33">
        <f t="shared" si="4"/>
        <v>175</v>
      </c>
      <c r="E29" s="33">
        <f t="shared" si="5"/>
        <v>0</v>
      </c>
      <c r="F29" s="33">
        <f t="shared" si="6"/>
        <v>175</v>
      </c>
      <c r="G29" s="30">
        <v>86</v>
      </c>
      <c r="H29" s="30"/>
      <c r="I29" s="30">
        <f t="shared" si="7"/>
        <v>86</v>
      </c>
      <c r="J29" s="30"/>
      <c r="K29" s="30"/>
      <c r="L29" s="30"/>
      <c r="M29" s="30">
        <v>89</v>
      </c>
      <c r="N29" s="30"/>
      <c r="O29" s="30">
        <f t="shared" ref="O29" si="13">+M29+N29</f>
        <v>89</v>
      </c>
      <c r="P29" s="30"/>
      <c r="Q29" s="30"/>
      <c r="R29" s="30"/>
      <c r="S29" s="30"/>
      <c r="T29" s="30"/>
      <c r="U29" s="30"/>
    </row>
    <row r="30" spans="1:21" ht="12" customHeight="1">
      <c r="A30" s="3" t="s">
        <v>76</v>
      </c>
      <c r="B30" s="1007" t="s">
        <v>75</v>
      </c>
      <c r="C30" s="1007"/>
      <c r="D30" s="33">
        <f t="shared" si="4"/>
        <v>0</v>
      </c>
      <c r="E30" s="33">
        <f t="shared" si="5"/>
        <v>0</v>
      </c>
      <c r="F30" s="33">
        <f t="shared" si="6"/>
        <v>0</v>
      </c>
      <c r="G30" s="30"/>
      <c r="H30" s="30"/>
      <c r="I30" s="30">
        <f t="shared" si="7"/>
        <v>0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2" customHeight="1">
      <c r="A31" s="3" t="s">
        <v>77</v>
      </c>
      <c r="B31" s="1007" t="s">
        <v>155</v>
      </c>
      <c r="C31" s="1007"/>
      <c r="D31" s="33">
        <f t="shared" si="4"/>
        <v>0</v>
      </c>
      <c r="E31" s="33">
        <f t="shared" si="5"/>
        <v>0</v>
      </c>
      <c r="F31" s="33">
        <f t="shared" si="6"/>
        <v>0</v>
      </c>
      <c r="G31" s="30"/>
      <c r="H31" s="30"/>
      <c r="I31" s="30">
        <f t="shared" si="7"/>
        <v>0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2" customHeight="1">
      <c r="A32" s="3" t="s">
        <v>78</v>
      </c>
      <c r="B32" s="1007" t="s">
        <v>154</v>
      </c>
      <c r="C32" s="1007"/>
      <c r="D32" s="33">
        <f t="shared" si="4"/>
        <v>0</v>
      </c>
      <c r="E32" s="33">
        <f t="shared" si="5"/>
        <v>0</v>
      </c>
      <c r="F32" s="33">
        <f t="shared" si="6"/>
        <v>0</v>
      </c>
      <c r="G32" s="30"/>
      <c r="H32" s="30"/>
      <c r="I32" s="30">
        <f t="shared" si="7"/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ht="12" customHeight="1">
      <c r="A33" s="3" t="s">
        <v>80</v>
      </c>
      <c r="B33" s="1007" t="s">
        <v>79</v>
      </c>
      <c r="C33" s="1007"/>
      <c r="D33" s="33">
        <f t="shared" si="4"/>
        <v>0</v>
      </c>
      <c r="E33" s="33">
        <f t="shared" si="5"/>
        <v>0</v>
      </c>
      <c r="F33" s="33">
        <f t="shared" si="6"/>
        <v>0</v>
      </c>
      <c r="G33" s="30"/>
      <c r="H33" s="30"/>
      <c r="I33" s="30">
        <f t="shared" si="7"/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s="47" customFormat="1" ht="12" customHeight="1">
      <c r="A34" s="5" t="s">
        <v>81</v>
      </c>
      <c r="B34" s="1006" t="s">
        <v>153</v>
      </c>
      <c r="C34" s="1006"/>
      <c r="D34" s="58">
        <f t="shared" si="4"/>
        <v>175</v>
      </c>
      <c r="E34" s="58">
        <f t="shared" si="5"/>
        <v>0</v>
      </c>
      <c r="F34" s="58">
        <f t="shared" si="6"/>
        <v>175</v>
      </c>
      <c r="G34" s="62">
        <f>SUM(G29:G33)</f>
        <v>86</v>
      </c>
      <c r="H34" s="62">
        <f t="shared" ref="H34:U34" si="14">SUM(H29:H33)</f>
        <v>0</v>
      </c>
      <c r="I34" s="62">
        <f t="shared" si="14"/>
        <v>86</v>
      </c>
      <c r="J34" s="62">
        <f t="shared" si="14"/>
        <v>0</v>
      </c>
      <c r="K34" s="62">
        <f t="shared" si="14"/>
        <v>0</v>
      </c>
      <c r="L34" s="62">
        <f t="shared" si="14"/>
        <v>0</v>
      </c>
      <c r="M34" s="62">
        <f t="shared" si="14"/>
        <v>89</v>
      </c>
      <c r="N34" s="62">
        <f t="shared" si="14"/>
        <v>0</v>
      </c>
      <c r="O34" s="62">
        <f t="shared" si="14"/>
        <v>89</v>
      </c>
      <c r="P34" s="62">
        <f t="shared" si="14"/>
        <v>0</v>
      </c>
      <c r="Q34" s="62">
        <f t="shared" si="14"/>
        <v>0</v>
      </c>
      <c r="R34" s="62">
        <f t="shared" si="14"/>
        <v>0</v>
      </c>
      <c r="S34" s="62">
        <f t="shared" si="14"/>
        <v>0</v>
      </c>
      <c r="T34" s="62">
        <f t="shared" si="14"/>
        <v>0</v>
      </c>
      <c r="U34" s="62">
        <f t="shared" si="14"/>
        <v>0</v>
      </c>
    </row>
    <row r="35" spans="1:21" s="47" customFormat="1" ht="12" customHeight="1">
      <c r="A35" s="6" t="s">
        <v>82</v>
      </c>
      <c r="B35" s="1003" t="s">
        <v>152</v>
      </c>
      <c r="C35" s="1003"/>
      <c r="D35" s="59">
        <f t="shared" ref="D35:U35" si="15">+D34+D28+D25+D17+D14</f>
        <v>2075</v>
      </c>
      <c r="E35" s="59">
        <f t="shared" ref="E35:F35" si="16">+E34+E28+E25+E17+E14</f>
        <v>0</v>
      </c>
      <c r="F35" s="59">
        <f t="shared" si="16"/>
        <v>2075</v>
      </c>
      <c r="G35" s="59">
        <f t="shared" si="15"/>
        <v>669</v>
      </c>
      <c r="H35" s="59">
        <f t="shared" si="15"/>
        <v>0</v>
      </c>
      <c r="I35" s="59">
        <f t="shared" si="15"/>
        <v>669</v>
      </c>
      <c r="J35" s="59">
        <f t="shared" si="15"/>
        <v>497</v>
      </c>
      <c r="K35" s="59">
        <f t="shared" si="15"/>
        <v>0</v>
      </c>
      <c r="L35" s="59">
        <f t="shared" si="15"/>
        <v>497</v>
      </c>
      <c r="M35" s="59">
        <f t="shared" si="15"/>
        <v>409</v>
      </c>
      <c r="N35" s="59">
        <f t="shared" si="15"/>
        <v>0</v>
      </c>
      <c r="O35" s="59">
        <f t="shared" si="15"/>
        <v>409</v>
      </c>
      <c r="P35" s="59">
        <f t="shared" si="15"/>
        <v>500</v>
      </c>
      <c r="Q35" s="59">
        <f t="shared" si="15"/>
        <v>0</v>
      </c>
      <c r="R35" s="59">
        <f t="shared" si="15"/>
        <v>500</v>
      </c>
      <c r="S35" s="59">
        <f t="shared" si="15"/>
        <v>0</v>
      </c>
      <c r="T35" s="59">
        <f t="shared" si="15"/>
        <v>0</v>
      </c>
      <c r="U35" s="59">
        <f t="shared" si="15"/>
        <v>0</v>
      </c>
    </row>
    <row r="36" spans="1:21" ht="9.75" customHeight="1">
      <c r="A36" s="7"/>
      <c r="B36" s="8"/>
      <c r="C36" s="8"/>
      <c r="D36" s="31"/>
      <c r="E36" s="31"/>
      <c r="F36" s="31"/>
      <c r="G36" s="31"/>
      <c r="H36" s="31"/>
      <c r="I36" s="32"/>
      <c r="J36" s="31"/>
      <c r="K36" s="31"/>
      <c r="L36" s="32"/>
      <c r="M36" s="31"/>
      <c r="N36" s="31"/>
      <c r="O36" s="32"/>
      <c r="P36" s="31"/>
      <c r="Q36" s="31"/>
      <c r="R36" s="32"/>
      <c r="S36" s="31"/>
      <c r="T36" s="31"/>
      <c r="U36" s="32"/>
    </row>
    <row r="37" spans="1:21" ht="12" customHeight="1">
      <c r="A37" s="12" t="s">
        <v>111</v>
      </c>
      <c r="B37" s="1004" t="s">
        <v>110</v>
      </c>
      <c r="C37" s="1004"/>
      <c r="D37" s="33">
        <f t="shared" ref="D37:D44" si="17">+G37+J37+M37+S37</f>
        <v>0</v>
      </c>
      <c r="E37" s="33">
        <f t="shared" ref="E37:E44" si="18">+H37+K37+N37+T37</f>
        <v>0</v>
      </c>
      <c r="F37" s="33">
        <f t="shared" ref="F37:F44" si="19">+I37+L37+O37+U37</f>
        <v>0</v>
      </c>
      <c r="G37" s="33"/>
      <c r="H37" s="33"/>
      <c r="I37" s="30">
        <f t="shared" ref="I37:I44" si="20">+G37+H37</f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ht="12" customHeight="1">
      <c r="A38" s="3" t="s">
        <v>112</v>
      </c>
      <c r="B38" s="1007" t="s">
        <v>163</v>
      </c>
      <c r="C38" s="1007"/>
      <c r="D38" s="33">
        <f t="shared" si="17"/>
        <v>0</v>
      </c>
      <c r="E38" s="33">
        <f t="shared" si="18"/>
        <v>0</v>
      </c>
      <c r="F38" s="33">
        <f t="shared" si="19"/>
        <v>0</v>
      </c>
      <c r="G38" s="30"/>
      <c r="H38" s="30"/>
      <c r="I38" s="30">
        <f t="shared" si="20"/>
        <v>0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s="43" customFormat="1" ht="12" customHeight="1">
      <c r="A39" s="39" t="s">
        <v>112</v>
      </c>
      <c r="B39" s="42"/>
      <c r="C39" s="45" t="s">
        <v>113</v>
      </c>
      <c r="D39" s="33">
        <f t="shared" si="17"/>
        <v>0</v>
      </c>
      <c r="E39" s="33">
        <f t="shared" si="18"/>
        <v>0</v>
      </c>
      <c r="F39" s="33">
        <f t="shared" si="19"/>
        <v>0</v>
      </c>
      <c r="G39" s="56"/>
      <c r="H39" s="56"/>
      <c r="I39" s="30">
        <f t="shared" si="20"/>
        <v>0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ht="12" customHeight="1">
      <c r="A40" s="3" t="s">
        <v>115</v>
      </c>
      <c r="B40" s="1007" t="s">
        <v>114</v>
      </c>
      <c r="C40" s="1007"/>
      <c r="D40" s="33">
        <f t="shared" si="17"/>
        <v>157</v>
      </c>
      <c r="E40" s="33">
        <f t="shared" si="18"/>
        <v>0</v>
      </c>
      <c r="F40" s="33">
        <f t="shared" si="19"/>
        <v>157</v>
      </c>
      <c r="G40" s="30">
        <v>157</v>
      </c>
      <c r="H40" s="30"/>
      <c r="I40" s="30">
        <f t="shared" si="20"/>
        <v>157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2" customHeight="1">
      <c r="A41" s="3" t="s">
        <v>117</v>
      </c>
      <c r="B41" s="1007" t="s">
        <v>116</v>
      </c>
      <c r="C41" s="1007"/>
      <c r="D41" s="33">
        <f t="shared" si="17"/>
        <v>95</v>
      </c>
      <c r="E41" s="33">
        <f t="shared" si="18"/>
        <v>0</v>
      </c>
      <c r="F41" s="33">
        <f t="shared" si="19"/>
        <v>95</v>
      </c>
      <c r="G41" s="30">
        <v>95</v>
      </c>
      <c r="H41" s="30"/>
      <c r="I41" s="30">
        <f t="shared" si="20"/>
        <v>95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2" customHeight="1">
      <c r="A42" s="3" t="s">
        <v>119</v>
      </c>
      <c r="B42" s="1007" t="s">
        <v>118</v>
      </c>
      <c r="C42" s="1007"/>
      <c r="D42" s="33">
        <f t="shared" si="17"/>
        <v>0</v>
      </c>
      <c r="E42" s="33">
        <f t="shared" si="18"/>
        <v>0</v>
      </c>
      <c r="F42" s="33">
        <f t="shared" si="19"/>
        <v>0</v>
      </c>
      <c r="G42" s="30"/>
      <c r="H42" s="30"/>
      <c r="I42" s="30">
        <f t="shared" si="20"/>
        <v>0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2" customHeight="1">
      <c r="A43" s="3" t="s">
        <v>121</v>
      </c>
      <c r="B43" s="1007" t="s">
        <v>120</v>
      </c>
      <c r="C43" s="1007"/>
      <c r="D43" s="33">
        <f t="shared" si="17"/>
        <v>0</v>
      </c>
      <c r="E43" s="33">
        <f t="shared" si="18"/>
        <v>0</v>
      </c>
      <c r="F43" s="33">
        <f t="shared" si="19"/>
        <v>0</v>
      </c>
      <c r="G43" s="30"/>
      <c r="H43" s="30"/>
      <c r="I43" s="30">
        <f t="shared" si="20"/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2" customHeight="1">
      <c r="A44" s="3" t="s">
        <v>123</v>
      </c>
      <c r="B44" s="1007" t="s">
        <v>122</v>
      </c>
      <c r="C44" s="1007"/>
      <c r="D44" s="33">
        <f t="shared" si="17"/>
        <v>68</v>
      </c>
      <c r="E44" s="33">
        <f t="shared" si="18"/>
        <v>0</v>
      </c>
      <c r="F44" s="33">
        <f t="shared" si="19"/>
        <v>68</v>
      </c>
      <c r="G44" s="30">
        <f>25+43</f>
        <v>68</v>
      </c>
      <c r="H44" s="30"/>
      <c r="I44" s="30">
        <f t="shared" si="20"/>
        <v>68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s="47" customFormat="1" ht="12" customHeight="1">
      <c r="A45" s="6" t="s">
        <v>124</v>
      </c>
      <c r="B45" s="1003" t="s">
        <v>162</v>
      </c>
      <c r="C45" s="1003"/>
      <c r="D45" s="59">
        <f>+D44+D43+D42+D41+D40+D38+D37</f>
        <v>320</v>
      </c>
      <c r="E45" s="59">
        <f t="shared" ref="E45:F45" si="21">+E44+E43+E42+E41+E40+E38+E37</f>
        <v>0</v>
      </c>
      <c r="F45" s="59">
        <f t="shared" si="21"/>
        <v>320</v>
      </c>
      <c r="G45" s="59">
        <f>+G44+G43+G42+G41+G40+G38+G37</f>
        <v>320</v>
      </c>
      <c r="H45" s="59">
        <f t="shared" ref="H45:U45" si="22">+H44+H43+H42+H41+H40+H38+H37</f>
        <v>0</v>
      </c>
      <c r="I45" s="59">
        <f t="shared" si="22"/>
        <v>320</v>
      </c>
      <c r="J45" s="59">
        <f t="shared" si="22"/>
        <v>0</v>
      </c>
      <c r="K45" s="59">
        <f t="shared" si="22"/>
        <v>0</v>
      </c>
      <c r="L45" s="59">
        <f t="shared" si="22"/>
        <v>0</v>
      </c>
      <c r="M45" s="59">
        <f t="shared" si="22"/>
        <v>0</v>
      </c>
      <c r="N45" s="59">
        <f t="shared" si="22"/>
        <v>0</v>
      </c>
      <c r="O45" s="59">
        <f t="shared" si="22"/>
        <v>0</v>
      </c>
      <c r="P45" s="59">
        <f t="shared" si="22"/>
        <v>0</v>
      </c>
      <c r="Q45" s="59">
        <f t="shared" si="22"/>
        <v>0</v>
      </c>
      <c r="R45" s="59">
        <f t="shared" si="22"/>
        <v>0</v>
      </c>
      <c r="S45" s="59">
        <f t="shared" si="22"/>
        <v>0</v>
      </c>
      <c r="T45" s="59">
        <f t="shared" si="22"/>
        <v>0</v>
      </c>
      <c r="U45" s="59">
        <f t="shared" si="22"/>
        <v>0</v>
      </c>
    </row>
    <row r="46" spans="1:21" ht="9" customHeight="1">
      <c r="A46" s="7"/>
      <c r="B46" s="8"/>
      <c r="C46" s="8"/>
      <c r="D46" s="31"/>
      <c r="E46" s="31"/>
      <c r="F46" s="31"/>
      <c r="G46" s="31"/>
      <c r="H46" s="31"/>
      <c r="I46" s="32"/>
      <c r="J46" s="31"/>
      <c r="K46" s="31"/>
      <c r="L46" s="32"/>
      <c r="M46" s="31"/>
      <c r="N46" s="31"/>
      <c r="O46" s="32"/>
      <c r="P46" s="31"/>
      <c r="Q46" s="31"/>
      <c r="R46" s="32"/>
      <c r="S46" s="31"/>
      <c r="T46" s="31"/>
      <c r="U46" s="32"/>
    </row>
    <row r="47" spans="1:21" ht="12" hidden="1" customHeight="1">
      <c r="A47" s="3" t="s">
        <v>126</v>
      </c>
      <c r="B47" s="1007" t="s">
        <v>125</v>
      </c>
      <c r="C47" s="1007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2" hidden="1" customHeight="1">
      <c r="A48" s="3" t="s">
        <v>128</v>
      </c>
      <c r="B48" s="1007" t="s">
        <v>127</v>
      </c>
      <c r="C48" s="1007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2" hidden="1" customHeight="1">
      <c r="A49" s="3" t="s">
        <v>130</v>
      </c>
      <c r="B49" s="1007" t="s">
        <v>129</v>
      </c>
      <c r="C49" s="1007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5" hidden="1" customHeight="1">
      <c r="A50" s="3" t="s">
        <v>132</v>
      </c>
      <c r="B50" s="1007" t="s">
        <v>131</v>
      </c>
      <c r="C50" s="1007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s="47" customFormat="1" ht="12" customHeight="1">
      <c r="A51" s="6" t="s">
        <v>133</v>
      </c>
      <c r="B51" s="1003" t="s">
        <v>161</v>
      </c>
      <c r="C51" s="1003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</row>
    <row r="52" spans="1:21" ht="7.5" customHeight="1">
      <c r="A52" s="7"/>
      <c r="B52" s="8"/>
      <c r="C52" s="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12" hidden="1" customHeight="1">
      <c r="A53" s="202" t="s">
        <v>391</v>
      </c>
      <c r="B53" s="1004" t="s">
        <v>392</v>
      </c>
      <c r="C53" s="1004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</row>
    <row r="54" spans="1:21" ht="12" hidden="1" customHeight="1">
      <c r="A54" s="202" t="s">
        <v>407</v>
      </c>
      <c r="B54" s="1010" t="s">
        <v>408</v>
      </c>
      <c r="C54" s="1011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</row>
    <row r="55" spans="1:21" ht="12" hidden="1" customHeight="1">
      <c r="A55" s="12" t="s">
        <v>712</v>
      </c>
      <c r="B55" s="1004" t="s">
        <v>160</v>
      </c>
      <c r="C55" s="100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s="47" customFormat="1" ht="12" customHeight="1">
      <c r="A56" s="15" t="s">
        <v>135</v>
      </c>
      <c r="B56" s="1008" t="s">
        <v>159</v>
      </c>
      <c r="C56" s="1008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 ht="12" customHeight="1">
      <c r="A57" s="7"/>
      <c r="B57" s="16"/>
      <c r="C57" s="16"/>
      <c r="D57" s="31"/>
      <c r="E57" s="31"/>
      <c r="F57" s="31"/>
      <c r="G57" s="31"/>
      <c r="H57" s="31"/>
      <c r="I57" s="32"/>
      <c r="J57" s="31"/>
      <c r="K57" s="31"/>
      <c r="L57" s="32"/>
      <c r="M57" s="31"/>
      <c r="N57" s="31"/>
      <c r="O57" s="32"/>
      <c r="P57" s="31"/>
      <c r="Q57" s="31"/>
      <c r="R57" s="32"/>
      <c r="S57" s="31"/>
      <c r="T57" s="31"/>
      <c r="U57" s="32"/>
    </row>
    <row r="58" spans="1:21" s="47" customFormat="1" ht="12" customHeight="1">
      <c r="A58" s="17" t="s">
        <v>136</v>
      </c>
      <c r="B58" s="1019" t="s">
        <v>158</v>
      </c>
      <c r="C58" s="1019"/>
      <c r="D58" s="58">
        <f t="shared" ref="D58:U58" si="23">+D56+D51+D45+D35+D9+D7</f>
        <v>15439</v>
      </c>
      <c r="E58" s="58">
        <f t="shared" ref="E58:F58" si="24">+E56+E51+E45+E35+E9+E7</f>
        <v>864</v>
      </c>
      <c r="F58" s="58">
        <f t="shared" si="24"/>
        <v>16303</v>
      </c>
      <c r="G58" s="58">
        <f t="shared" si="23"/>
        <v>9860</v>
      </c>
      <c r="H58" s="58">
        <f t="shared" si="23"/>
        <v>552</v>
      </c>
      <c r="I58" s="58">
        <f t="shared" si="23"/>
        <v>10412</v>
      </c>
      <c r="J58" s="58">
        <f t="shared" si="23"/>
        <v>3587</v>
      </c>
      <c r="K58" s="58">
        <f t="shared" si="23"/>
        <v>312</v>
      </c>
      <c r="L58" s="58">
        <f t="shared" si="23"/>
        <v>3899</v>
      </c>
      <c r="M58" s="58">
        <f t="shared" si="23"/>
        <v>1492</v>
      </c>
      <c r="N58" s="58">
        <f t="shared" si="23"/>
        <v>0</v>
      </c>
      <c r="O58" s="58">
        <f t="shared" si="23"/>
        <v>1492</v>
      </c>
      <c r="P58" s="58">
        <f t="shared" si="23"/>
        <v>500</v>
      </c>
      <c r="Q58" s="58">
        <f t="shared" si="23"/>
        <v>0</v>
      </c>
      <c r="R58" s="58">
        <f t="shared" si="23"/>
        <v>500</v>
      </c>
      <c r="S58" s="58">
        <f t="shared" si="23"/>
        <v>0</v>
      </c>
      <c r="T58" s="58">
        <f t="shared" si="23"/>
        <v>0</v>
      </c>
      <c r="U58" s="58">
        <f t="shared" si="23"/>
        <v>0</v>
      </c>
    </row>
  </sheetData>
  <mergeCells count="61">
    <mergeCell ref="B54:C54"/>
    <mergeCell ref="B20:C20"/>
    <mergeCell ref="B21:C21"/>
    <mergeCell ref="S2:U2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23622047244094491" right="0.27559055118110237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2016.
Védőnői, iskola egészségügyi feladatok ellátása&amp;R&amp;"Times New Roman,Félkövér"&amp;12 5/d.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workbookViewId="0">
      <selection activeCell="C5" sqref="C5"/>
    </sheetView>
  </sheetViews>
  <sheetFormatPr defaultColWidth="9.109375" defaultRowHeight="13.2"/>
  <cols>
    <col min="1" max="1" width="7.5546875" style="459" customWidth="1"/>
    <col min="2" max="2" width="25.44140625" style="458" customWidth="1"/>
    <col min="3" max="3" width="7.44140625" style="458" customWidth="1"/>
    <col min="4" max="4" width="6.5546875" style="458" customWidth="1"/>
    <col min="5" max="5" width="6.6640625" style="458" customWidth="1"/>
    <col min="6" max="16384" width="9.109375" style="458"/>
  </cols>
  <sheetData>
    <row r="1" spans="1:14" ht="12" customHeight="1">
      <c r="C1" s="1017" t="s">
        <v>406</v>
      </c>
      <c r="D1" s="1017"/>
      <c r="E1" s="1017"/>
    </row>
    <row r="2" spans="1:14" s="462" customFormat="1" ht="28.5" customHeight="1">
      <c r="A2" s="1034" t="s">
        <v>280</v>
      </c>
      <c r="B2" s="1035"/>
      <c r="C2" s="1033" t="s">
        <v>522</v>
      </c>
      <c r="D2" s="1033"/>
      <c r="E2" s="1033"/>
      <c r="F2" s="458"/>
      <c r="G2" s="458"/>
      <c r="H2" s="458"/>
      <c r="I2" s="458"/>
      <c r="J2" s="458"/>
      <c r="K2" s="458"/>
      <c r="L2" s="458"/>
      <c r="M2" s="458"/>
      <c r="N2" s="458"/>
    </row>
    <row r="3" spans="1:14" s="462" customFormat="1" ht="26.4">
      <c r="A3" s="1029" t="s">
        <v>520</v>
      </c>
      <c r="B3" s="1030"/>
      <c r="C3" s="921" t="s">
        <v>747</v>
      </c>
      <c r="D3" s="664" t="s">
        <v>745</v>
      </c>
      <c r="E3" s="921" t="s">
        <v>912</v>
      </c>
      <c r="F3" s="458"/>
      <c r="G3" s="458"/>
      <c r="H3" s="458"/>
      <c r="I3" s="458"/>
      <c r="J3" s="458"/>
      <c r="K3" s="458"/>
      <c r="L3" s="458"/>
      <c r="M3" s="458"/>
      <c r="N3" s="458"/>
    </row>
    <row r="4" spans="1:14" s="462" customFormat="1">
      <c r="A4" s="647" t="s">
        <v>523</v>
      </c>
      <c r="B4" s="461" t="s">
        <v>729</v>
      </c>
      <c r="C4" s="472">
        <v>500</v>
      </c>
      <c r="D4" s="646"/>
      <c r="E4" s="597">
        <f>+C4+D4</f>
        <v>500</v>
      </c>
      <c r="F4" s="458"/>
      <c r="G4" s="458"/>
      <c r="H4" s="458"/>
      <c r="I4" s="458"/>
      <c r="J4" s="458"/>
      <c r="K4" s="458"/>
      <c r="L4" s="458"/>
      <c r="M4" s="458"/>
      <c r="N4" s="458"/>
    </row>
    <row r="5" spans="1:14" s="462" customFormat="1" ht="31.5" customHeight="1">
      <c r="A5" s="460" t="s">
        <v>523</v>
      </c>
      <c r="B5" s="461" t="s">
        <v>626</v>
      </c>
      <c r="C5" s="472">
        <v>600</v>
      </c>
      <c r="D5" s="472"/>
      <c r="E5" s="472">
        <f>+C5+D5</f>
        <v>600</v>
      </c>
    </row>
    <row r="6" spans="1:14" ht="39.6">
      <c r="A6" s="460" t="s">
        <v>523</v>
      </c>
      <c r="B6" s="461" t="s">
        <v>625</v>
      </c>
      <c r="C6" s="472">
        <f>+'[4]5.e. mell. Szociális ellátások'!$E$6</f>
        <v>20520</v>
      </c>
      <c r="D6" s="472"/>
      <c r="E6" s="472">
        <f>+C6+D6</f>
        <v>20520</v>
      </c>
      <c r="F6" s="462"/>
      <c r="G6" s="462"/>
      <c r="H6" s="462"/>
      <c r="I6" s="462"/>
      <c r="J6" s="462"/>
      <c r="K6" s="462"/>
      <c r="L6" s="462"/>
      <c r="M6" s="462"/>
      <c r="N6" s="462"/>
    </row>
    <row r="7" spans="1:14" ht="19.5" customHeight="1">
      <c r="A7" s="1031" t="s">
        <v>178</v>
      </c>
      <c r="B7" s="1032"/>
      <c r="C7" s="473">
        <f>SUM(C4:C6)</f>
        <v>21620</v>
      </c>
      <c r="D7" s="473">
        <f t="shared" ref="D7:E7" si="0">SUM(D4:D6)</f>
        <v>0</v>
      </c>
      <c r="E7" s="473">
        <f t="shared" si="0"/>
        <v>21620</v>
      </c>
    </row>
    <row r="8" spans="1:14" ht="19.5" customHeight="1">
      <c r="A8" s="639"/>
      <c r="B8" s="639"/>
      <c r="C8" s="640"/>
      <c r="D8" s="640"/>
      <c r="E8" s="640"/>
    </row>
    <row r="9" spans="1:14">
      <c r="A9" s="1036" t="s">
        <v>280</v>
      </c>
      <c r="B9" s="1036"/>
      <c r="C9" s="1033" t="s">
        <v>721</v>
      </c>
      <c r="D9" s="1033"/>
      <c r="E9" s="1033"/>
    </row>
    <row r="10" spans="1:14" ht="26.4">
      <c r="A10" s="1021" t="s">
        <v>520</v>
      </c>
      <c r="B10" s="1021"/>
      <c r="C10" s="921" t="s">
        <v>747</v>
      </c>
      <c r="D10" s="921" t="s">
        <v>745</v>
      </c>
      <c r="E10" s="921" t="s">
        <v>912</v>
      </c>
    </row>
    <row r="11" spans="1:14" ht="26.4">
      <c r="A11" s="460" t="s">
        <v>694</v>
      </c>
      <c r="B11" s="461" t="s">
        <v>690</v>
      </c>
      <c r="C11" s="747">
        <f>+'5.f. mell. Átadott pénzeszk.'!C8</f>
        <v>346</v>
      </c>
      <c r="D11" s="747">
        <f>+'5.f. mell. Átadott pénzeszk.'!D8</f>
        <v>0</v>
      </c>
      <c r="E11" s="747">
        <f>+'5.f. mell. Átadott pénzeszk.'!E8</f>
        <v>346</v>
      </c>
    </row>
    <row r="12" spans="1:14" ht="26.4">
      <c r="A12" s="460" t="s">
        <v>702</v>
      </c>
      <c r="B12" s="461" t="s">
        <v>686</v>
      </c>
      <c r="C12" s="747">
        <f>+'5.f. mell. Átadott pénzeszk.'!C9</f>
        <v>1996</v>
      </c>
      <c r="D12" s="747">
        <f>+'5.f. mell. Átadott pénzeszk.'!D9</f>
        <v>0</v>
      </c>
      <c r="E12" s="747">
        <f>+'5.f. mell. Átadott pénzeszk.'!E9</f>
        <v>1996</v>
      </c>
    </row>
    <row r="13" spans="1:14" ht="26.4">
      <c r="A13" s="460" t="s">
        <v>704</v>
      </c>
      <c r="B13" s="461" t="s">
        <v>687</v>
      </c>
      <c r="C13" s="747">
        <f>+'5.f. mell. Átadott pénzeszk.'!C10</f>
        <v>2286</v>
      </c>
      <c r="D13" s="747">
        <f>+'5.f. mell. Átadott pénzeszk.'!D10</f>
        <v>0</v>
      </c>
      <c r="E13" s="747">
        <f>+'5.f. mell. Átadott pénzeszk.'!E10</f>
        <v>2286</v>
      </c>
    </row>
    <row r="14" spans="1:14">
      <c r="A14" s="460" t="s">
        <v>701</v>
      </c>
      <c r="B14" s="461" t="s">
        <v>691</v>
      </c>
      <c r="C14" s="747">
        <f>+'5.f. mell. Átadott pénzeszk.'!C11</f>
        <v>3020</v>
      </c>
      <c r="D14" s="747">
        <f>+'5.f. mell. Átadott pénzeszk.'!D11</f>
        <v>0</v>
      </c>
      <c r="E14" s="747">
        <f>+'5.f. mell. Átadott pénzeszk.'!E11</f>
        <v>3020</v>
      </c>
    </row>
    <row r="15" spans="1:14" ht="26.4">
      <c r="A15" s="460" t="s">
        <v>699</v>
      </c>
      <c r="B15" s="461" t="s">
        <v>692</v>
      </c>
      <c r="C15" s="747">
        <f>+'5.f. mell. Átadott pénzeszk.'!C12</f>
        <v>963</v>
      </c>
      <c r="D15" s="747">
        <f>+'5.f. mell. Átadott pénzeszk.'!D12</f>
        <v>0</v>
      </c>
      <c r="E15" s="747">
        <f>+'5.f. mell. Átadott pénzeszk.'!E12</f>
        <v>963</v>
      </c>
    </row>
    <row r="16" spans="1:14">
      <c r="A16" s="460" t="s">
        <v>705</v>
      </c>
      <c r="B16" s="461" t="s">
        <v>696</v>
      </c>
      <c r="C16" s="747">
        <f>+'5.f. mell. Átadott pénzeszk.'!C13</f>
        <v>695</v>
      </c>
      <c r="D16" s="747">
        <f>+'5.f. mell. Átadott pénzeszk.'!D13</f>
        <v>0</v>
      </c>
      <c r="E16" s="747">
        <f>+'5.f. mell. Átadott pénzeszk.'!E13</f>
        <v>695</v>
      </c>
    </row>
    <row r="17" spans="1:5">
      <c r="A17" s="1031" t="s">
        <v>178</v>
      </c>
      <c r="B17" s="1032"/>
      <c r="C17" s="473">
        <f>SUM(C11:C16)</f>
        <v>9306</v>
      </c>
      <c r="D17" s="473">
        <f t="shared" ref="D17:E17" si="1">SUM(D11:D16)</f>
        <v>0</v>
      </c>
      <c r="E17" s="473">
        <f t="shared" si="1"/>
        <v>9306</v>
      </c>
    </row>
    <row r="18" spans="1:5">
      <c r="A18" s="641"/>
      <c r="B18" s="642"/>
      <c r="C18" s="643"/>
      <c r="D18" s="19"/>
      <c r="E18" s="19"/>
    </row>
    <row r="19" spans="1:5">
      <c r="A19" s="1036" t="s">
        <v>280</v>
      </c>
      <c r="B19" s="1036"/>
      <c r="C19" s="1033"/>
      <c r="D19" s="1033"/>
      <c r="E19" s="1033"/>
    </row>
    <row r="20" spans="1:5" ht="26.4">
      <c r="A20" s="1021" t="s">
        <v>520</v>
      </c>
      <c r="B20" s="1021"/>
      <c r="C20" s="921" t="s">
        <v>747</v>
      </c>
      <c r="D20" s="921" t="s">
        <v>745</v>
      </c>
      <c r="E20" s="921" t="s">
        <v>912</v>
      </c>
    </row>
    <row r="21" spans="1:5">
      <c r="A21" s="644"/>
      <c r="B21" s="20" t="s">
        <v>529</v>
      </c>
      <c r="C21" s="20">
        <v>540</v>
      </c>
      <c r="D21" s="20"/>
      <c r="E21" s="20">
        <f>+C21+D21</f>
        <v>540</v>
      </c>
    </row>
    <row r="22" spans="1:5">
      <c r="A22" s="1031" t="s">
        <v>178</v>
      </c>
      <c r="B22" s="1032"/>
      <c r="C22" s="473">
        <f>SUM(C21)</f>
        <v>540</v>
      </c>
      <c r="D22" s="473">
        <f>SUM(D20:D21)</f>
        <v>0</v>
      </c>
      <c r="E22" s="473">
        <f>SUM(E20:E21)</f>
        <v>540</v>
      </c>
    </row>
  </sheetData>
  <mergeCells count="13">
    <mergeCell ref="A20:B20"/>
    <mergeCell ref="A17:B17"/>
    <mergeCell ref="A22:B22"/>
    <mergeCell ref="A9:B9"/>
    <mergeCell ref="C9:E9"/>
    <mergeCell ref="A10:B10"/>
    <mergeCell ref="A19:B19"/>
    <mergeCell ref="C19:E19"/>
    <mergeCell ref="C1:E1"/>
    <mergeCell ref="A3:B3"/>
    <mergeCell ref="A7:B7"/>
    <mergeCell ref="C2:E2"/>
    <mergeCell ref="A2:B2"/>
  </mergeCells>
  <printOptions horizontalCentered="1"/>
  <pageMargins left="0.70866141732283472" right="0.70866141732283472" top="1.07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2016.
Szociális feladatok ellátása&amp;R&amp;"Times New Roman,Félkövér"&amp;12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workbookViewId="0">
      <selection activeCell="E28" sqref="E28"/>
    </sheetView>
  </sheetViews>
  <sheetFormatPr defaultColWidth="9.109375" defaultRowHeight="13.2"/>
  <cols>
    <col min="1" max="1" width="7.5546875" style="459" customWidth="1"/>
    <col min="2" max="2" width="29" style="458" customWidth="1"/>
    <col min="3" max="3" width="7.6640625" style="458" customWidth="1"/>
    <col min="4" max="4" width="6.5546875" style="458" customWidth="1"/>
    <col min="5" max="5" width="7.5546875" style="458" customWidth="1"/>
    <col min="6" max="6" width="7.88671875" style="458" customWidth="1"/>
    <col min="7" max="7" width="6.21875" style="458" customWidth="1"/>
    <col min="8" max="11" width="7.44140625" style="458" customWidth="1"/>
    <col min="12" max="12" width="8.109375" style="458" customWidth="1"/>
    <col min="13" max="13" width="6.44140625" style="458" customWidth="1"/>
    <col min="14" max="14" width="7.88671875" style="458" customWidth="1"/>
    <col min="15" max="16384" width="9.109375" style="458"/>
  </cols>
  <sheetData>
    <row r="1" spans="1:14" ht="12.75" customHeight="1">
      <c r="A1" s="1049"/>
      <c r="B1" s="1050" t="s">
        <v>521</v>
      </c>
      <c r="C1" s="1051" t="s">
        <v>102</v>
      </c>
      <c r="D1" s="1051"/>
      <c r="E1" s="1051"/>
      <c r="F1" s="1051" t="s">
        <v>108</v>
      </c>
      <c r="G1" s="1051"/>
      <c r="H1" s="1051"/>
      <c r="I1" s="1051" t="s">
        <v>724</v>
      </c>
      <c r="J1" s="1051"/>
      <c r="K1" s="1051"/>
      <c r="L1" s="1037" t="s">
        <v>178</v>
      </c>
      <c r="M1" s="1038"/>
      <c r="N1" s="1039"/>
    </row>
    <row r="2" spans="1:14" ht="29.25" customHeight="1">
      <c r="A2" s="1049"/>
      <c r="B2" s="1050"/>
      <c r="C2" s="1033" t="s">
        <v>619</v>
      </c>
      <c r="D2" s="1033"/>
      <c r="E2" s="1033"/>
      <c r="F2" s="1033" t="s">
        <v>515</v>
      </c>
      <c r="G2" s="1033"/>
      <c r="H2" s="1033"/>
      <c r="I2" s="1033" t="s">
        <v>725</v>
      </c>
      <c r="J2" s="1033"/>
      <c r="K2" s="1033"/>
      <c r="L2" s="1040"/>
      <c r="M2" s="1041"/>
      <c r="N2" s="1042"/>
    </row>
    <row r="3" spans="1:14" ht="26.25" customHeight="1">
      <c r="A3" s="463" t="s">
        <v>520</v>
      </c>
      <c r="B3" s="464" t="s">
        <v>280</v>
      </c>
      <c r="C3" s="921" t="s">
        <v>747</v>
      </c>
      <c r="D3" s="664" t="s">
        <v>745</v>
      </c>
      <c r="E3" s="921" t="s">
        <v>912</v>
      </c>
      <c r="F3" s="921" t="s">
        <v>747</v>
      </c>
      <c r="G3" s="921" t="s">
        <v>745</v>
      </c>
      <c r="H3" s="921" t="s">
        <v>912</v>
      </c>
      <c r="I3" s="921" t="s">
        <v>747</v>
      </c>
      <c r="J3" s="921" t="s">
        <v>745</v>
      </c>
      <c r="K3" s="921" t="s">
        <v>912</v>
      </c>
      <c r="L3" s="921" t="s">
        <v>747</v>
      </c>
      <c r="M3" s="921" t="s">
        <v>745</v>
      </c>
      <c r="N3" s="921" t="s">
        <v>912</v>
      </c>
    </row>
    <row r="4" spans="1:14" s="462" customFormat="1" ht="15" customHeight="1">
      <c r="A4" s="460" t="s">
        <v>517</v>
      </c>
      <c r="B4" s="461" t="s">
        <v>518</v>
      </c>
      <c r="C4" s="472"/>
      <c r="D4" s="472"/>
      <c r="E4" s="472">
        <f>+C4+D4</f>
        <v>0</v>
      </c>
      <c r="F4" s="472">
        <f>+'[4]5.f. mell. Átadott pénzeszk.'!$H$4</f>
        <v>3200</v>
      </c>
      <c r="G4" s="472"/>
      <c r="H4" s="472">
        <f>+F4+G4</f>
        <v>3200</v>
      </c>
      <c r="I4" s="472"/>
      <c r="J4" s="472"/>
      <c r="K4" s="472"/>
      <c r="L4" s="472">
        <f>+C4+F4+I4</f>
        <v>3200</v>
      </c>
      <c r="M4" s="472">
        <f t="shared" ref="M4:N4" si="0">+D4+G4+J4</f>
        <v>0</v>
      </c>
      <c r="N4" s="472">
        <f t="shared" si="0"/>
        <v>3200</v>
      </c>
    </row>
    <row r="5" spans="1:14" s="462" customFormat="1" ht="15" customHeight="1">
      <c r="A5" s="460" t="s">
        <v>517</v>
      </c>
      <c r="B5" s="461" t="s">
        <v>684</v>
      </c>
      <c r="C5" s="472"/>
      <c r="D5" s="472"/>
      <c r="E5" s="472"/>
      <c r="F5" s="472">
        <v>750</v>
      </c>
      <c r="G5" s="472"/>
      <c r="H5" s="472">
        <f t="shared" ref="H5:H6" si="1">+F5+G5</f>
        <v>750</v>
      </c>
      <c r="I5" s="472"/>
      <c r="J5" s="472"/>
      <c r="K5" s="472"/>
      <c r="L5" s="472">
        <f t="shared" ref="L5:L46" si="2">+C5+F5+I5</f>
        <v>750</v>
      </c>
      <c r="M5" s="472">
        <f t="shared" ref="M5:M47" si="3">+D5+G5+J5</f>
        <v>0</v>
      </c>
      <c r="N5" s="472">
        <f t="shared" ref="N5:N47" si="4">+E5+H5+K5</f>
        <v>750</v>
      </c>
    </row>
    <row r="6" spans="1:14" s="462" customFormat="1" ht="15" customHeight="1">
      <c r="A6" s="460" t="s">
        <v>519</v>
      </c>
      <c r="B6" s="461" t="s">
        <v>506</v>
      </c>
      <c r="C6" s="472"/>
      <c r="D6" s="472"/>
      <c r="E6" s="472"/>
      <c r="F6" s="472">
        <v>5500</v>
      </c>
      <c r="G6" s="472">
        <v>700</v>
      </c>
      <c r="H6" s="472">
        <f t="shared" si="1"/>
        <v>6200</v>
      </c>
      <c r="I6" s="472"/>
      <c r="J6" s="472"/>
      <c r="K6" s="472"/>
      <c r="L6" s="472">
        <f t="shared" si="2"/>
        <v>5500</v>
      </c>
      <c r="M6" s="472">
        <f t="shared" si="3"/>
        <v>700</v>
      </c>
      <c r="N6" s="472">
        <f t="shared" si="4"/>
        <v>6200</v>
      </c>
    </row>
    <row r="7" spans="1:14" s="462" customFormat="1" ht="15" customHeight="1">
      <c r="A7" s="1045" t="s">
        <v>524</v>
      </c>
      <c r="B7" s="1046"/>
      <c r="C7" s="472">
        <f>SUM(C8:C14)</f>
        <v>20443</v>
      </c>
      <c r="D7" s="472">
        <f t="shared" ref="D7:E7" si="5">SUM(D8:D14)</f>
        <v>0</v>
      </c>
      <c r="E7" s="472">
        <f t="shared" si="5"/>
        <v>20443</v>
      </c>
      <c r="F7" s="472"/>
      <c r="G7" s="472"/>
      <c r="H7" s="472"/>
      <c r="I7" s="472"/>
      <c r="J7" s="472"/>
      <c r="K7" s="472"/>
      <c r="L7" s="472">
        <f t="shared" si="2"/>
        <v>20443</v>
      </c>
      <c r="M7" s="472">
        <f t="shared" si="3"/>
        <v>0</v>
      </c>
      <c r="N7" s="472">
        <f t="shared" si="4"/>
        <v>20443</v>
      </c>
    </row>
    <row r="8" spans="1:14" s="649" customFormat="1" ht="15" customHeight="1">
      <c r="A8" s="648" t="s">
        <v>758</v>
      </c>
      <c r="B8" s="542" t="s">
        <v>690</v>
      </c>
      <c r="C8" s="544">
        <f>+'[4]5.f. mell. Átadott pénzeszk.'!$E8</f>
        <v>346</v>
      </c>
      <c r="D8" s="544"/>
      <c r="E8" s="544">
        <f>+C8+D8</f>
        <v>346</v>
      </c>
      <c r="F8" s="544"/>
      <c r="G8" s="544"/>
      <c r="H8" s="544"/>
      <c r="I8" s="544"/>
      <c r="J8" s="544"/>
      <c r="K8" s="544"/>
      <c r="L8" s="544">
        <f t="shared" si="2"/>
        <v>346</v>
      </c>
      <c r="M8" s="544">
        <f t="shared" si="3"/>
        <v>0</v>
      </c>
      <c r="N8" s="544">
        <f t="shared" si="4"/>
        <v>346</v>
      </c>
    </row>
    <row r="9" spans="1:14" s="649" customFormat="1" ht="15" customHeight="1">
      <c r="A9" s="648" t="s">
        <v>702</v>
      </c>
      <c r="B9" s="542" t="s">
        <v>686</v>
      </c>
      <c r="C9" s="544">
        <f>+'[4]5.f. mell. Átadott pénzeszk.'!$E9</f>
        <v>1996</v>
      </c>
      <c r="D9" s="544"/>
      <c r="E9" s="544">
        <f t="shared" ref="E9:E14" si="6">+C9+D9</f>
        <v>1996</v>
      </c>
      <c r="F9" s="544"/>
      <c r="G9" s="544"/>
      <c r="H9" s="544"/>
      <c r="I9" s="544"/>
      <c r="J9" s="544"/>
      <c r="K9" s="544"/>
      <c r="L9" s="544">
        <f t="shared" si="2"/>
        <v>1996</v>
      </c>
      <c r="M9" s="544">
        <f t="shared" si="3"/>
        <v>0</v>
      </c>
      <c r="N9" s="544">
        <f t="shared" si="4"/>
        <v>1996</v>
      </c>
    </row>
    <row r="10" spans="1:14" s="649" customFormat="1" ht="15" customHeight="1">
      <c r="A10" s="648" t="s">
        <v>704</v>
      </c>
      <c r="B10" s="542" t="s">
        <v>687</v>
      </c>
      <c r="C10" s="544">
        <f>+'[4]5.f. mell. Átadott pénzeszk.'!$E10</f>
        <v>2286</v>
      </c>
      <c r="D10" s="544"/>
      <c r="E10" s="544">
        <f t="shared" si="6"/>
        <v>2286</v>
      </c>
      <c r="F10" s="544"/>
      <c r="G10" s="544"/>
      <c r="H10" s="544"/>
      <c r="I10" s="544"/>
      <c r="J10" s="544"/>
      <c r="K10" s="544"/>
      <c r="L10" s="544">
        <f t="shared" si="2"/>
        <v>2286</v>
      </c>
      <c r="M10" s="544">
        <f t="shared" si="3"/>
        <v>0</v>
      </c>
      <c r="N10" s="544">
        <f t="shared" si="4"/>
        <v>2286</v>
      </c>
    </row>
    <row r="11" spans="1:14" s="649" customFormat="1" ht="15" customHeight="1">
      <c r="A11" s="648" t="s">
        <v>701</v>
      </c>
      <c r="B11" s="542" t="s">
        <v>691</v>
      </c>
      <c r="C11" s="544">
        <f>+'[4]5.f. mell. Átadott pénzeszk.'!$E11</f>
        <v>3020</v>
      </c>
      <c r="D11" s="544"/>
      <c r="E11" s="544">
        <f t="shared" si="6"/>
        <v>3020</v>
      </c>
      <c r="F11" s="544"/>
      <c r="G11" s="544"/>
      <c r="H11" s="544"/>
      <c r="I11" s="544"/>
      <c r="J11" s="544"/>
      <c r="K11" s="544"/>
      <c r="L11" s="544">
        <f t="shared" si="2"/>
        <v>3020</v>
      </c>
      <c r="M11" s="544">
        <f t="shared" si="3"/>
        <v>0</v>
      </c>
      <c r="N11" s="544">
        <f t="shared" si="4"/>
        <v>3020</v>
      </c>
    </row>
    <row r="12" spans="1:14" s="649" customFormat="1" ht="15" customHeight="1">
      <c r="A12" s="648" t="s">
        <v>699</v>
      </c>
      <c r="B12" s="542" t="s">
        <v>692</v>
      </c>
      <c r="C12" s="544">
        <f>+'[4]5.f. mell. Átadott pénzeszk.'!$E12</f>
        <v>963</v>
      </c>
      <c r="D12" s="544"/>
      <c r="E12" s="544">
        <f t="shared" si="6"/>
        <v>963</v>
      </c>
      <c r="F12" s="544"/>
      <c r="G12" s="544"/>
      <c r="H12" s="544"/>
      <c r="I12" s="544"/>
      <c r="J12" s="544"/>
      <c r="K12" s="544"/>
      <c r="L12" s="544">
        <f t="shared" si="2"/>
        <v>963</v>
      </c>
      <c r="M12" s="544">
        <f t="shared" si="3"/>
        <v>0</v>
      </c>
      <c r="N12" s="544">
        <f t="shared" si="4"/>
        <v>963</v>
      </c>
    </row>
    <row r="13" spans="1:14" s="649" customFormat="1" ht="15" customHeight="1">
      <c r="A13" s="648" t="s">
        <v>705</v>
      </c>
      <c r="B13" s="542" t="s">
        <v>696</v>
      </c>
      <c r="C13" s="544">
        <f>+'[4]5.f. mell. Átadott pénzeszk.'!$E13</f>
        <v>695</v>
      </c>
      <c r="D13" s="544"/>
      <c r="E13" s="544">
        <f t="shared" si="6"/>
        <v>695</v>
      </c>
      <c r="F13" s="544"/>
      <c r="G13" s="544"/>
      <c r="H13" s="544"/>
      <c r="I13" s="544"/>
      <c r="J13" s="544"/>
      <c r="K13" s="544"/>
      <c r="L13" s="544">
        <f t="shared" si="2"/>
        <v>695</v>
      </c>
      <c r="M13" s="544">
        <f t="shared" si="3"/>
        <v>0</v>
      </c>
      <c r="N13" s="544">
        <f t="shared" si="4"/>
        <v>695</v>
      </c>
    </row>
    <row r="14" spans="1:14" s="649" customFormat="1" ht="15" customHeight="1">
      <c r="A14" s="648" t="s">
        <v>507</v>
      </c>
      <c r="B14" s="542" t="s">
        <v>871</v>
      </c>
      <c r="C14" s="544">
        <f>+'[4]5.f. mell. Átadott pénzeszk.'!$E14</f>
        <v>11137</v>
      </c>
      <c r="D14" s="544"/>
      <c r="E14" s="544">
        <f t="shared" si="6"/>
        <v>11137</v>
      </c>
      <c r="F14" s="544"/>
      <c r="G14" s="544"/>
      <c r="H14" s="544"/>
      <c r="I14" s="544"/>
      <c r="J14" s="544"/>
      <c r="K14" s="544"/>
      <c r="L14" s="544">
        <f t="shared" si="2"/>
        <v>11137</v>
      </c>
      <c r="M14" s="544">
        <f t="shared" si="3"/>
        <v>0</v>
      </c>
      <c r="N14" s="544">
        <f t="shared" si="4"/>
        <v>11137</v>
      </c>
    </row>
    <row r="15" spans="1:14" s="462" customFormat="1" ht="15" customHeight="1">
      <c r="A15" s="1047" t="s">
        <v>727</v>
      </c>
      <c r="B15" s="1048"/>
      <c r="C15" s="472">
        <f>SUM(C16:C25)</f>
        <v>220069</v>
      </c>
      <c r="D15" s="472">
        <f t="shared" ref="D15:E15" si="7">SUM(D16:D25)</f>
        <v>0</v>
      </c>
      <c r="E15" s="472">
        <f t="shared" si="7"/>
        <v>220069</v>
      </c>
      <c r="F15" s="472"/>
      <c r="G15" s="472"/>
      <c r="H15" s="472"/>
      <c r="I15" s="472"/>
      <c r="J15" s="472"/>
      <c r="K15" s="472"/>
      <c r="L15" s="472">
        <f t="shared" si="2"/>
        <v>220069</v>
      </c>
      <c r="M15" s="472">
        <f t="shared" si="3"/>
        <v>0</v>
      </c>
      <c r="N15" s="472">
        <f t="shared" si="4"/>
        <v>220069</v>
      </c>
    </row>
    <row r="16" spans="1:14" s="462" customFormat="1" ht="15" customHeight="1">
      <c r="A16" s="648" t="s">
        <v>730</v>
      </c>
      <c r="B16" s="542" t="s">
        <v>731</v>
      </c>
      <c r="C16" s="544">
        <f>+'[4]5.f. mell. Átadott pénzeszk.'!$E16</f>
        <v>155601</v>
      </c>
      <c r="D16" s="472"/>
      <c r="E16" s="472">
        <f>+C16+D16</f>
        <v>155601</v>
      </c>
      <c r="F16" s="472"/>
      <c r="G16" s="472"/>
      <c r="H16" s="472"/>
      <c r="I16" s="472"/>
      <c r="J16" s="472"/>
      <c r="K16" s="472"/>
      <c r="L16" s="472">
        <f>SUM(C16:K16)</f>
        <v>311202</v>
      </c>
      <c r="M16" s="472"/>
      <c r="N16" s="472">
        <f t="shared" si="4"/>
        <v>155601</v>
      </c>
    </row>
    <row r="17" spans="1:14" s="649" customFormat="1" ht="15" customHeight="1">
      <c r="A17" s="648" t="s">
        <v>703</v>
      </c>
      <c r="B17" s="542" t="s">
        <v>695</v>
      </c>
      <c r="C17" s="544">
        <f>+'[4]5.f. mell. Átadott pénzeszk.'!$E17</f>
        <v>3886</v>
      </c>
      <c r="D17" s="544"/>
      <c r="E17" s="472">
        <f t="shared" ref="E17:E25" si="8">+C17+D17</f>
        <v>3886</v>
      </c>
      <c r="F17" s="544"/>
      <c r="G17" s="544"/>
      <c r="H17" s="544"/>
      <c r="I17" s="544"/>
      <c r="J17" s="544"/>
      <c r="K17" s="544"/>
      <c r="L17" s="544">
        <f t="shared" si="2"/>
        <v>3886</v>
      </c>
      <c r="M17" s="544">
        <f t="shared" si="3"/>
        <v>0</v>
      </c>
      <c r="N17" s="544">
        <f t="shared" si="4"/>
        <v>3886</v>
      </c>
    </row>
    <row r="18" spans="1:14" s="649" customFormat="1" ht="15" customHeight="1">
      <c r="A18" s="648" t="s">
        <v>702</v>
      </c>
      <c r="B18" s="542" t="s">
        <v>686</v>
      </c>
      <c r="C18" s="544">
        <f>+'[4]5.f. mell. Átadott pénzeszk.'!$E18</f>
        <v>15000</v>
      </c>
      <c r="D18" s="544"/>
      <c r="E18" s="472">
        <f t="shared" si="8"/>
        <v>15000</v>
      </c>
      <c r="F18" s="544"/>
      <c r="G18" s="544"/>
      <c r="H18" s="544"/>
      <c r="I18" s="544"/>
      <c r="J18" s="544"/>
      <c r="K18" s="544"/>
      <c r="L18" s="544">
        <f t="shared" si="2"/>
        <v>15000</v>
      </c>
      <c r="M18" s="544">
        <f t="shared" si="3"/>
        <v>0</v>
      </c>
      <c r="N18" s="544">
        <f t="shared" si="4"/>
        <v>15000</v>
      </c>
    </row>
    <row r="19" spans="1:14" s="649" customFormat="1" ht="15" customHeight="1">
      <c r="A19" s="648" t="s">
        <v>704</v>
      </c>
      <c r="B19" s="542" t="s">
        <v>687</v>
      </c>
      <c r="C19" s="544">
        <f>+'[4]5.f. mell. Átadott pénzeszk.'!$E19</f>
        <v>9900</v>
      </c>
      <c r="D19" s="544"/>
      <c r="E19" s="472">
        <f t="shared" si="8"/>
        <v>9900</v>
      </c>
      <c r="F19" s="544"/>
      <c r="G19" s="544"/>
      <c r="H19" s="544"/>
      <c r="I19" s="544"/>
      <c r="J19" s="544"/>
      <c r="K19" s="544"/>
      <c r="L19" s="544">
        <f t="shared" si="2"/>
        <v>9900</v>
      </c>
      <c r="M19" s="544">
        <f t="shared" si="3"/>
        <v>0</v>
      </c>
      <c r="N19" s="544">
        <f t="shared" si="4"/>
        <v>9900</v>
      </c>
    </row>
    <row r="20" spans="1:14" s="649" customFormat="1" ht="15" customHeight="1">
      <c r="A20" s="648" t="s">
        <v>705</v>
      </c>
      <c r="B20" s="542" t="s">
        <v>696</v>
      </c>
      <c r="C20" s="544">
        <f>+'[4]5.f. mell. Átadott pénzeszk.'!$E20</f>
        <v>996</v>
      </c>
      <c r="D20" s="544"/>
      <c r="E20" s="472">
        <f t="shared" si="8"/>
        <v>996</v>
      </c>
      <c r="F20" s="544"/>
      <c r="G20" s="544"/>
      <c r="H20" s="544"/>
      <c r="I20" s="544"/>
      <c r="J20" s="544"/>
      <c r="K20" s="544"/>
      <c r="L20" s="544">
        <f t="shared" si="2"/>
        <v>996</v>
      </c>
      <c r="M20" s="544">
        <f t="shared" si="3"/>
        <v>0</v>
      </c>
      <c r="N20" s="544">
        <f t="shared" si="4"/>
        <v>996</v>
      </c>
    </row>
    <row r="21" spans="1:14" s="649" customFormat="1" ht="15" customHeight="1">
      <c r="A21" s="648" t="s">
        <v>701</v>
      </c>
      <c r="B21" s="542" t="s">
        <v>691</v>
      </c>
      <c r="C21" s="544">
        <f>+'[4]5.f. mell. Átadott pénzeszk.'!$E21</f>
        <v>20358</v>
      </c>
      <c r="D21" s="544"/>
      <c r="E21" s="472">
        <f t="shared" si="8"/>
        <v>20358</v>
      </c>
      <c r="F21" s="544"/>
      <c r="G21" s="544"/>
      <c r="H21" s="544"/>
      <c r="I21" s="544"/>
      <c r="J21" s="544"/>
      <c r="K21" s="544"/>
      <c r="L21" s="544">
        <f t="shared" si="2"/>
        <v>20358</v>
      </c>
      <c r="M21" s="544">
        <f t="shared" si="3"/>
        <v>0</v>
      </c>
      <c r="N21" s="544">
        <f t="shared" si="4"/>
        <v>20358</v>
      </c>
    </row>
    <row r="22" spans="1:14" s="649" customFormat="1" ht="15" customHeight="1">
      <c r="A22" s="648" t="s">
        <v>700</v>
      </c>
      <c r="B22" s="542" t="s">
        <v>697</v>
      </c>
      <c r="C22" s="544">
        <f>+'[4]5.f. mell. Átadott pénzeszk.'!$E22</f>
        <v>1145</v>
      </c>
      <c r="D22" s="544"/>
      <c r="E22" s="472">
        <f t="shared" si="8"/>
        <v>1145</v>
      </c>
      <c r="F22" s="544"/>
      <c r="G22" s="544"/>
      <c r="H22" s="544"/>
      <c r="I22" s="544"/>
      <c r="J22" s="544"/>
      <c r="K22" s="544"/>
      <c r="L22" s="544">
        <f t="shared" si="2"/>
        <v>1145</v>
      </c>
      <c r="M22" s="544">
        <f t="shared" si="3"/>
        <v>0</v>
      </c>
      <c r="N22" s="544">
        <f t="shared" si="4"/>
        <v>1145</v>
      </c>
    </row>
    <row r="23" spans="1:14" s="649" customFormat="1" ht="15" customHeight="1">
      <c r="A23" s="648" t="s">
        <v>758</v>
      </c>
      <c r="B23" s="542" t="s">
        <v>690</v>
      </c>
      <c r="C23" s="544">
        <f>+'[4]5.f. mell. Átadott pénzeszk.'!$E23</f>
        <v>2500</v>
      </c>
      <c r="D23" s="544"/>
      <c r="E23" s="472">
        <f t="shared" si="8"/>
        <v>2500</v>
      </c>
      <c r="F23" s="544"/>
      <c r="G23" s="544"/>
      <c r="H23" s="544"/>
      <c r="I23" s="544"/>
      <c r="J23" s="544"/>
      <c r="K23" s="544"/>
      <c r="L23" s="544">
        <f t="shared" si="2"/>
        <v>2500</v>
      </c>
      <c r="M23" s="544">
        <f t="shared" si="3"/>
        <v>0</v>
      </c>
      <c r="N23" s="544">
        <f t="shared" si="4"/>
        <v>2500</v>
      </c>
    </row>
    <row r="24" spans="1:14" s="649" customFormat="1" ht="15" customHeight="1">
      <c r="A24" s="648" t="s">
        <v>693</v>
      </c>
      <c r="B24" s="542" t="s">
        <v>698</v>
      </c>
      <c r="C24" s="544">
        <f>+'[4]5.f. mell. Átadott pénzeszk.'!$E24</f>
        <v>1743</v>
      </c>
      <c r="D24" s="544"/>
      <c r="E24" s="472">
        <f t="shared" si="8"/>
        <v>1743</v>
      </c>
      <c r="F24" s="544"/>
      <c r="G24" s="544"/>
      <c r="H24" s="544"/>
      <c r="I24" s="544"/>
      <c r="J24" s="544"/>
      <c r="K24" s="544"/>
      <c r="L24" s="544">
        <f t="shared" si="2"/>
        <v>1743</v>
      </c>
      <c r="M24" s="544">
        <f t="shared" si="3"/>
        <v>0</v>
      </c>
      <c r="N24" s="544">
        <f t="shared" si="4"/>
        <v>1743</v>
      </c>
    </row>
    <row r="25" spans="1:14" s="649" customFormat="1" ht="15" customHeight="1">
      <c r="A25" s="648" t="s">
        <v>699</v>
      </c>
      <c r="B25" s="542" t="s">
        <v>692</v>
      </c>
      <c r="C25" s="544">
        <f>+'[4]5.f. mell. Átadott pénzeszk.'!$E25</f>
        <v>8940</v>
      </c>
      <c r="D25" s="544"/>
      <c r="E25" s="472">
        <f t="shared" si="8"/>
        <v>8940</v>
      </c>
      <c r="F25" s="544"/>
      <c r="G25" s="544"/>
      <c r="H25" s="544"/>
      <c r="I25" s="544"/>
      <c r="J25" s="544"/>
      <c r="K25" s="544"/>
      <c r="L25" s="544">
        <f t="shared" si="2"/>
        <v>8940</v>
      </c>
      <c r="M25" s="544">
        <f t="shared" si="3"/>
        <v>0</v>
      </c>
      <c r="N25" s="544">
        <f t="shared" si="4"/>
        <v>8940</v>
      </c>
    </row>
    <row r="26" spans="1:14" s="462" customFormat="1" ht="15" customHeight="1">
      <c r="A26" s="1047" t="s">
        <v>726</v>
      </c>
      <c r="B26" s="1048"/>
      <c r="C26" s="472"/>
      <c r="D26" s="472"/>
      <c r="E26" s="472"/>
      <c r="F26" s="472"/>
      <c r="G26" s="472"/>
      <c r="H26" s="472"/>
      <c r="I26" s="472">
        <v>2000</v>
      </c>
      <c r="J26" s="472"/>
      <c r="K26" s="472">
        <f>+I26+J26</f>
        <v>2000</v>
      </c>
      <c r="L26" s="472">
        <f t="shared" si="2"/>
        <v>2000</v>
      </c>
      <c r="M26" s="472">
        <f t="shared" si="3"/>
        <v>0</v>
      </c>
      <c r="N26" s="472">
        <f t="shared" si="4"/>
        <v>2000</v>
      </c>
    </row>
    <row r="27" spans="1:14" s="462" customFormat="1" ht="15" customHeight="1">
      <c r="A27" s="1223" t="s">
        <v>507</v>
      </c>
      <c r="B27" s="931" t="s">
        <v>1173</v>
      </c>
      <c r="C27" s="472"/>
      <c r="D27" s="472">
        <v>150</v>
      </c>
      <c r="E27" s="472">
        <f>+C27+D27</f>
        <v>150</v>
      </c>
      <c r="F27" s="472"/>
      <c r="G27" s="472"/>
      <c r="H27" s="472"/>
      <c r="I27" s="472"/>
      <c r="J27" s="472"/>
      <c r="K27" s="472"/>
      <c r="L27" s="472">
        <f t="shared" ref="L27" si="9">+C27+F27+I27</f>
        <v>0</v>
      </c>
      <c r="M27" s="472">
        <f t="shared" ref="M27" si="10">+D27+G27+J27</f>
        <v>150</v>
      </c>
      <c r="N27" s="472">
        <f t="shared" ref="N27" si="11">+E27+H27+K27</f>
        <v>150</v>
      </c>
    </row>
    <row r="28" spans="1:14" s="462" customFormat="1" ht="15" customHeight="1">
      <c r="A28" s="460" t="s">
        <v>790</v>
      </c>
      <c r="B28" s="461" t="s">
        <v>864</v>
      </c>
      <c r="C28" s="472"/>
      <c r="D28" s="472"/>
      <c r="E28" s="472"/>
      <c r="F28" s="472">
        <f>+'[4]5.f. mell. Átadott pénzeszk.'!$H27</f>
        <v>6825</v>
      </c>
      <c r="G28" s="472"/>
      <c r="H28" s="472">
        <f>+F28+G28</f>
        <v>6825</v>
      </c>
      <c r="I28" s="472"/>
      <c r="J28" s="472"/>
      <c r="K28" s="472"/>
      <c r="L28" s="472">
        <f t="shared" si="2"/>
        <v>6825</v>
      </c>
      <c r="M28" s="472">
        <f t="shared" si="3"/>
        <v>0</v>
      </c>
      <c r="N28" s="472">
        <f t="shared" si="4"/>
        <v>6825</v>
      </c>
    </row>
    <row r="29" spans="1:14" s="462" customFormat="1" ht="15" customHeight="1">
      <c r="A29" s="460" t="s">
        <v>791</v>
      </c>
      <c r="B29" s="461" t="s">
        <v>870</v>
      </c>
      <c r="C29" s="472"/>
      <c r="D29" s="472"/>
      <c r="E29" s="472"/>
      <c r="F29" s="472">
        <f>+'[4]5.f. mell. Átadott pénzeszk.'!$H28</f>
        <v>2583</v>
      </c>
      <c r="G29" s="472"/>
      <c r="H29" s="472">
        <f>+F29+G29</f>
        <v>2583</v>
      </c>
      <c r="I29" s="472"/>
      <c r="J29" s="472"/>
      <c r="K29" s="472"/>
      <c r="L29" s="472">
        <f t="shared" ref="L29" si="12">+C29+F29+I29</f>
        <v>2583</v>
      </c>
      <c r="M29" s="472">
        <f t="shared" ref="M29" si="13">+D29+G29+J29</f>
        <v>0</v>
      </c>
      <c r="N29" s="472">
        <f t="shared" ref="N29" si="14">+E29+H29+K29</f>
        <v>2583</v>
      </c>
    </row>
    <row r="30" spans="1:14" s="462" customFormat="1" ht="15" customHeight="1">
      <c r="A30" s="460" t="s">
        <v>1129</v>
      </c>
      <c r="B30" s="461" t="s">
        <v>683</v>
      </c>
      <c r="C30" s="472"/>
      <c r="D30" s="472"/>
      <c r="E30" s="472"/>
      <c r="F30" s="472">
        <v>2452</v>
      </c>
      <c r="G30" s="472">
        <v>19108</v>
      </c>
      <c r="H30" s="472">
        <f>+F30+G30</f>
        <v>21560</v>
      </c>
      <c r="I30" s="472"/>
      <c r="J30" s="472"/>
      <c r="K30" s="472"/>
      <c r="L30" s="472">
        <f t="shared" ref="L30:L31" si="15">+C30+F30+I30</f>
        <v>2452</v>
      </c>
      <c r="M30" s="472">
        <f t="shared" ref="M30:M31" si="16">+D30+G30+J30</f>
        <v>19108</v>
      </c>
      <c r="N30" s="472">
        <f t="shared" ref="N30:N31" si="17">+E30+H30+K30</f>
        <v>21560</v>
      </c>
    </row>
    <row r="31" spans="1:14" s="462" customFormat="1" ht="15" customHeight="1">
      <c r="A31" s="460" t="s">
        <v>791</v>
      </c>
      <c r="B31" s="461" t="s">
        <v>865</v>
      </c>
      <c r="C31" s="472"/>
      <c r="D31" s="472"/>
      <c r="E31" s="472"/>
      <c r="F31" s="472"/>
      <c r="G31" s="472"/>
      <c r="H31" s="472">
        <f>+F31+G31</f>
        <v>0</v>
      </c>
      <c r="I31" s="472">
        <f>+'[4]5.f. mell. Átadott pénzeszk.'!$K30</f>
        <v>4834</v>
      </c>
      <c r="J31" s="472"/>
      <c r="K31" s="472">
        <f>+I31+J31</f>
        <v>4834</v>
      </c>
      <c r="L31" s="472">
        <f t="shared" si="15"/>
        <v>4834</v>
      </c>
      <c r="M31" s="472">
        <f t="shared" si="16"/>
        <v>0</v>
      </c>
      <c r="N31" s="472">
        <f t="shared" si="17"/>
        <v>4834</v>
      </c>
    </row>
    <row r="32" spans="1:14" s="462" customFormat="1" ht="15" customHeight="1">
      <c r="A32" s="460" t="s">
        <v>519</v>
      </c>
      <c r="B32" s="461" t="s">
        <v>868</v>
      </c>
      <c r="C32" s="472"/>
      <c r="D32" s="472"/>
      <c r="E32" s="472"/>
      <c r="F32" s="472"/>
      <c r="G32" s="472"/>
      <c r="H32" s="472">
        <f>+F32+G32</f>
        <v>0</v>
      </c>
      <c r="I32" s="472">
        <f>+'[4]5.f. mell. Átadott pénzeszk.'!$K31</f>
        <v>2139</v>
      </c>
      <c r="J32" s="472"/>
      <c r="K32" s="472">
        <f>+I32+J32</f>
        <v>2139</v>
      </c>
      <c r="L32" s="472">
        <f t="shared" si="2"/>
        <v>2139</v>
      </c>
      <c r="M32" s="472">
        <f t="shared" si="3"/>
        <v>0</v>
      </c>
      <c r="N32" s="472">
        <f t="shared" si="4"/>
        <v>2139</v>
      </c>
    </row>
    <row r="33" spans="1:14" s="462" customFormat="1" ht="35.25" customHeight="1">
      <c r="A33" s="1045" t="s">
        <v>616</v>
      </c>
      <c r="B33" s="1046"/>
      <c r="C33" s="472"/>
      <c r="D33" s="472"/>
      <c r="E33" s="472"/>
      <c r="F33" s="472">
        <f>SUM(F34:F45)</f>
        <v>107457</v>
      </c>
      <c r="G33" s="472">
        <f t="shared" ref="G33:H33" si="18">SUM(G34:G45)</f>
        <v>0</v>
      </c>
      <c r="H33" s="472">
        <f t="shared" si="18"/>
        <v>107457</v>
      </c>
      <c r="I33" s="472"/>
      <c r="J33" s="472"/>
      <c r="K33" s="472"/>
      <c r="L33" s="472">
        <f t="shared" si="2"/>
        <v>107457</v>
      </c>
      <c r="M33" s="472">
        <f t="shared" si="3"/>
        <v>0</v>
      </c>
      <c r="N33" s="472">
        <f t="shared" si="4"/>
        <v>107457</v>
      </c>
    </row>
    <row r="34" spans="1:14" s="649" customFormat="1" ht="15" customHeight="1">
      <c r="A34" s="648"/>
      <c r="B34" s="542" t="s">
        <v>516</v>
      </c>
      <c r="C34" s="543"/>
      <c r="D34" s="544"/>
      <c r="E34" s="544"/>
      <c r="F34" s="544">
        <f>1110+2748+3792</f>
        <v>7650</v>
      </c>
      <c r="G34" s="544"/>
      <c r="H34" s="544">
        <f>+F34+G34</f>
        <v>7650</v>
      </c>
      <c r="I34" s="544"/>
      <c r="J34" s="544"/>
      <c r="K34" s="544"/>
      <c r="L34" s="544">
        <f t="shared" si="2"/>
        <v>7650</v>
      </c>
      <c r="M34" s="544">
        <f t="shared" si="3"/>
        <v>0</v>
      </c>
      <c r="N34" s="544">
        <f t="shared" si="4"/>
        <v>7650</v>
      </c>
    </row>
    <row r="35" spans="1:14" s="649" customFormat="1" ht="15" customHeight="1">
      <c r="A35" s="648"/>
      <c r="B35" s="542" t="s">
        <v>471</v>
      </c>
      <c r="C35" s="543"/>
      <c r="D35" s="544"/>
      <c r="E35" s="544"/>
      <c r="F35" s="544">
        <v>4589</v>
      </c>
      <c r="G35" s="544"/>
      <c r="H35" s="544">
        <f t="shared" ref="H35:H45" si="19">+F35+G35</f>
        <v>4589</v>
      </c>
      <c r="I35" s="544"/>
      <c r="J35" s="544"/>
      <c r="K35" s="544"/>
      <c r="L35" s="544">
        <f t="shared" si="2"/>
        <v>4589</v>
      </c>
      <c r="M35" s="544">
        <f t="shared" si="3"/>
        <v>0</v>
      </c>
      <c r="N35" s="544">
        <f t="shared" si="4"/>
        <v>4589</v>
      </c>
    </row>
    <row r="36" spans="1:14" s="649" customFormat="1" ht="15" customHeight="1">
      <c r="A36" s="648"/>
      <c r="B36" s="542" t="s">
        <v>508</v>
      </c>
      <c r="C36" s="543"/>
      <c r="D36" s="544"/>
      <c r="E36" s="544"/>
      <c r="F36" s="544">
        <v>5849</v>
      </c>
      <c r="G36" s="544"/>
      <c r="H36" s="544">
        <f t="shared" si="19"/>
        <v>5849</v>
      </c>
      <c r="I36" s="544"/>
      <c r="J36" s="544"/>
      <c r="K36" s="544"/>
      <c r="L36" s="544">
        <f t="shared" si="2"/>
        <v>5849</v>
      </c>
      <c r="M36" s="544">
        <f t="shared" si="3"/>
        <v>0</v>
      </c>
      <c r="N36" s="544">
        <f t="shared" si="4"/>
        <v>5849</v>
      </c>
    </row>
    <row r="37" spans="1:14" s="649" customFormat="1" ht="15" customHeight="1">
      <c r="A37" s="648"/>
      <c r="B37" s="542" t="s">
        <v>509</v>
      </c>
      <c r="C37" s="543"/>
      <c r="D37" s="544"/>
      <c r="E37" s="544"/>
      <c r="F37" s="544">
        <v>4897</v>
      </c>
      <c r="G37" s="544"/>
      <c r="H37" s="544">
        <f t="shared" si="19"/>
        <v>4897</v>
      </c>
      <c r="I37" s="544"/>
      <c r="J37" s="544"/>
      <c r="K37" s="544"/>
      <c r="L37" s="544">
        <f t="shared" si="2"/>
        <v>4897</v>
      </c>
      <c r="M37" s="544">
        <f t="shared" si="3"/>
        <v>0</v>
      </c>
      <c r="N37" s="544">
        <f t="shared" si="4"/>
        <v>4897</v>
      </c>
    </row>
    <row r="38" spans="1:14" s="649" customFormat="1" ht="15" customHeight="1">
      <c r="A38" s="648"/>
      <c r="B38" s="542" t="s">
        <v>510</v>
      </c>
      <c r="C38" s="543"/>
      <c r="D38" s="544"/>
      <c r="E38" s="544"/>
      <c r="F38" s="544">
        <v>5505</v>
      </c>
      <c r="G38" s="544"/>
      <c r="H38" s="544">
        <f t="shared" si="19"/>
        <v>5505</v>
      </c>
      <c r="I38" s="544"/>
      <c r="J38" s="544"/>
      <c r="K38" s="544"/>
      <c r="L38" s="544">
        <f t="shared" si="2"/>
        <v>5505</v>
      </c>
      <c r="M38" s="544">
        <f t="shared" si="3"/>
        <v>0</v>
      </c>
      <c r="N38" s="544">
        <f t="shared" si="4"/>
        <v>5505</v>
      </c>
    </row>
    <row r="39" spans="1:14" s="649" customFormat="1" ht="15" customHeight="1">
      <c r="A39" s="648"/>
      <c r="B39" s="542" t="s">
        <v>511</v>
      </c>
      <c r="C39" s="543"/>
      <c r="D39" s="544"/>
      <c r="E39" s="544"/>
      <c r="F39" s="544">
        <v>11846</v>
      </c>
      <c r="G39" s="544"/>
      <c r="H39" s="544">
        <f t="shared" si="19"/>
        <v>11846</v>
      </c>
      <c r="I39" s="544"/>
      <c r="J39" s="544"/>
      <c r="K39" s="544"/>
      <c r="L39" s="544">
        <f t="shared" si="2"/>
        <v>11846</v>
      </c>
      <c r="M39" s="544">
        <f t="shared" si="3"/>
        <v>0</v>
      </c>
      <c r="N39" s="544">
        <f t="shared" si="4"/>
        <v>11846</v>
      </c>
    </row>
    <row r="40" spans="1:14" s="649" customFormat="1" ht="15" customHeight="1">
      <c r="A40" s="648"/>
      <c r="B40" s="542" t="s">
        <v>512</v>
      </c>
      <c r="C40" s="543"/>
      <c r="D40" s="544"/>
      <c r="E40" s="544"/>
      <c r="F40" s="544">
        <v>14346</v>
      </c>
      <c r="G40" s="544"/>
      <c r="H40" s="544">
        <f t="shared" si="19"/>
        <v>14346</v>
      </c>
      <c r="I40" s="544"/>
      <c r="J40" s="544"/>
      <c r="K40" s="544"/>
      <c r="L40" s="544">
        <f t="shared" si="2"/>
        <v>14346</v>
      </c>
      <c r="M40" s="544">
        <f t="shared" si="3"/>
        <v>0</v>
      </c>
      <c r="N40" s="544">
        <f t="shared" si="4"/>
        <v>14346</v>
      </c>
    </row>
    <row r="41" spans="1:14" s="649" customFormat="1" ht="15" customHeight="1">
      <c r="A41" s="648"/>
      <c r="B41" s="542" t="s">
        <v>513</v>
      </c>
      <c r="C41" s="543"/>
      <c r="D41" s="544"/>
      <c r="E41" s="544"/>
      <c r="F41" s="544">
        <v>1282</v>
      </c>
      <c r="G41" s="544"/>
      <c r="H41" s="544">
        <f t="shared" si="19"/>
        <v>1282</v>
      </c>
      <c r="I41" s="544"/>
      <c r="J41" s="544"/>
      <c r="K41" s="544"/>
      <c r="L41" s="544">
        <f t="shared" si="2"/>
        <v>1282</v>
      </c>
      <c r="M41" s="544">
        <f t="shared" si="3"/>
        <v>0</v>
      </c>
      <c r="N41" s="544">
        <f t="shared" si="4"/>
        <v>1282</v>
      </c>
    </row>
    <row r="42" spans="1:14" s="649" customFormat="1" ht="15" customHeight="1">
      <c r="A42" s="648"/>
      <c r="B42" s="542" t="s">
        <v>587</v>
      </c>
      <c r="C42" s="543"/>
      <c r="D42" s="544"/>
      <c r="E42" s="544"/>
      <c r="F42" s="544">
        <v>31</v>
      </c>
      <c r="G42" s="544"/>
      <c r="H42" s="544">
        <f t="shared" si="19"/>
        <v>31</v>
      </c>
      <c r="I42" s="544"/>
      <c r="J42" s="544"/>
      <c r="K42" s="544"/>
      <c r="L42" s="544">
        <f t="shared" si="2"/>
        <v>31</v>
      </c>
      <c r="M42" s="544">
        <f t="shared" si="3"/>
        <v>0</v>
      </c>
      <c r="N42" s="544">
        <f t="shared" si="4"/>
        <v>31</v>
      </c>
    </row>
    <row r="43" spans="1:14" s="649" customFormat="1" ht="15" customHeight="1">
      <c r="A43" s="648"/>
      <c r="B43" s="542" t="s">
        <v>514</v>
      </c>
      <c r="C43" s="543"/>
      <c r="D43" s="544"/>
      <c r="E43" s="544"/>
      <c r="F43" s="544">
        <v>2452</v>
      </c>
      <c r="G43" s="544"/>
      <c r="H43" s="544">
        <f t="shared" si="19"/>
        <v>2452</v>
      </c>
      <c r="I43" s="544"/>
      <c r="J43" s="544"/>
      <c r="K43" s="544"/>
      <c r="L43" s="544">
        <f t="shared" si="2"/>
        <v>2452</v>
      </c>
      <c r="M43" s="544">
        <f t="shared" si="3"/>
        <v>0</v>
      </c>
      <c r="N43" s="544">
        <f t="shared" si="4"/>
        <v>2452</v>
      </c>
    </row>
    <row r="44" spans="1:14" s="649" customFormat="1" ht="15" customHeight="1">
      <c r="A44" s="648"/>
      <c r="B44" s="542" t="s">
        <v>530</v>
      </c>
      <c r="C44" s="543"/>
      <c r="D44" s="544"/>
      <c r="E44" s="544"/>
      <c r="F44" s="544">
        <v>38845</v>
      </c>
      <c r="G44" s="544"/>
      <c r="H44" s="544">
        <f t="shared" si="19"/>
        <v>38845</v>
      </c>
      <c r="I44" s="544"/>
      <c r="J44" s="544"/>
      <c r="K44" s="544"/>
      <c r="L44" s="544">
        <f t="shared" si="2"/>
        <v>38845</v>
      </c>
      <c r="M44" s="544">
        <f t="shared" si="3"/>
        <v>0</v>
      </c>
      <c r="N44" s="544">
        <f t="shared" si="4"/>
        <v>38845</v>
      </c>
    </row>
    <row r="45" spans="1:14" s="649" customFormat="1" ht="15" customHeight="1">
      <c r="A45" s="650"/>
      <c r="B45" s="545" t="s">
        <v>531</v>
      </c>
      <c r="C45" s="546"/>
      <c r="D45" s="547"/>
      <c r="E45" s="547"/>
      <c r="F45" s="547">
        <v>10165</v>
      </c>
      <c r="G45" s="547"/>
      <c r="H45" s="544">
        <f t="shared" si="19"/>
        <v>10165</v>
      </c>
      <c r="I45" s="547"/>
      <c r="J45" s="547"/>
      <c r="K45" s="547"/>
      <c r="L45" s="544">
        <f t="shared" si="2"/>
        <v>10165</v>
      </c>
      <c r="M45" s="544">
        <f t="shared" si="3"/>
        <v>0</v>
      </c>
      <c r="N45" s="544">
        <f t="shared" si="4"/>
        <v>10165</v>
      </c>
    </row>
    <row r="46" spans="1:14" s="462" customFormat="1" ht="26.25" customHeight="1" thickBot="1">
      <c r="A46" s="460"/>
      <c r="B46" s="461" t="s">
        <v>728</v>
      </c>
      <c r="C46" s="472"/>
      <c r="D46" s="472"/>
      <c r="E46" s="472"/>
      <c r="F46" s="472"/>
      <c r="G46" s="472"/>
      <c r="H46" s="472"/>
      <c r="I46" s="472">
        <f>+'[4]5.f. mell. Átadott pénzeszk.'!$K$45</f>
        <v>3644</v>
      </c>
      <c r="J46" s="472"/>
      <c r="K46" s="472">
        <f>+I46+J46</f>
        <v>3644</v>
      </c>
      <c r="L46" s="472">
        <f t="shared" si="2"/>
        <v>3644</v>
      </c>
      <c r="M46" s="472">
        <f t="shared" si="3"/>
        <v>0</v>
      </c>
      <c r="N46" s="472">
        <f t="shared" si="4"/>
        <v>3644</v>
      </c>
    </row>
    <row r="47" spans="1:14" ht="13.8" thickBot="1">
      <c r="A47" s="1043" t="s">
        <v>178</v>
      </c>
      <c r="B47" s="1044"/>
      <c r="C47" s="69">
        <f>+C15+C7+C27</f>
        <v>240512</v>
      </c>
      <c r="D47" s="69">
        <f t="shared" ref="D47:E47" si="20">+D15+D7+D27</f>
        <v>150</v>
      </c>
      <c r="E47" s="69">
        <f t="shared" si="20"/>
        <v>240662</v>
      </c>
      <c r="F47" s="69">
        <f>SUM(F4:F33)</f>
        <v>128767</v>
      </c>
      <c r="G47" s="69">
        <f t="shared" ref="G47:H47" si="21">SUM(G4:G33)</f>
        <v>19808</v>
      </c>
      <c r="H47" s="69">
        <f t="shared" si="21"/>
        <v>148575</v>
      </c>
      <c r="I47" s="69">
        <f>SUM(I4:I46)</f>
        <v>12617</v>
      </c>
      <c r="J47" s="69">
        <f>SUM(J4:J46)</f>
        <v>0</v>
      </c>
      <c r="K47" s="69">
        <f>SUM(K4:K46)</f>
        <v>12617</v>
      </c>
      <c r="L47" s="548">
        <f>+C47+F47+I47</f>
        <v>381896</v>
      </c>
      <c r="M47" s="548">
        <f t="shared" si="3"/>
        <v>19958</v>
      </c>
      <c r="N47" s="748">
        <f t="shared" si="4"/>
        <v>401854</v>
      </c>
    </row>
  </sheetData>
  <mergeCells count="14">
    <mergeCell ref="L1:N2"/>
    <mergeCell ref="F2:H2"/>
    <mergeCell ref="A47:B47"/>
    <mergeCell ref="A7:B7"/>
    <mergeCell ref="A15:B15"/>
    <mergeCell ref="A33:B33"/>
    <mergeCell ref="A1:A2"/>
    <mergeCell ref="B1:B2"/>
    <mergeCell ref="C1:E1"/>
    <mergeCell ref="F1:H1"/>
    <mergeCell ref="C2:E2"/>
    <mergeCell ref="I1:K1"/>
    <mergeCell ref="I2:K2"/>
    <mergeCell ref="A26:B26"/>
  </mergeCells>
  <pageMargins left="0.70866141732283472" right="0.70866141732283472" top="0.9055118110236221" bottom="0.74803149606299213" header="0.31496062992125984" footer="0.31496062992125984"/>
  <pageSetup paperSize="9" scale="69" orientation="portrait" r:id="rId1"/>
  <headerFooter>
    <oddHeader>&amp;C&amp;"Times New Roman,Félkövér"&amp;12Martonvásár Város Önkormányzatának kiadásai 2016.
Egyéb működési célú támogatások&amp;R&amp;"Times New Roman,Félkövér"&amp;12 5/f. melléklet
&amp;"Times New Roman,Normál"&amp;11Adatok E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AJ102"/>
  <sheetViews>
    <sheetView workbookViewId="0">
      <pane xSplit="3" ySplit="5" topLeftCell="D6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AF69" sqref="AF69"/>
    </sheetView>
  </sheetViews>
  <sheetFormatPr defaultColWidth="9.109375" defaultRowHeight="14.4"/>
  <cols>
    <col min="1" max="1" width="6.109375" style="27" customWidth="1"/>
    <col min="2" max="2" width="7.109375" style="28" customWidth="1"/>
    <col min="3" max="3" width="42.44140625" style="28" customWidth="1"/>
    <col min="4" max="4" width="7.6640625" style="19" customWidth="1"/>
    <col min="5" max="5" width="8.33203125" style="19" customWidth="1"/>
    <col min="6" max="6" width="7.6640625" style="19" customWidth="1"/>
    <col min="7" max="7" width="7.33203125" style="19" customWidth="1"/>
    <col min="8" max="8" width="7.6640625" style="19" customWidth="1"/>
    <col min="9" max="10" width="6.88671875" style="19" customWidth="1"/>
    <col min="11" max="11" width="7.6640625" style="19" customWidth="1"/>
    <col min="12" max="12" width="6.5546875" style="19" customWidth="1"/>
    <col min="13" max="14" width="7.6640625" style="19" customWidth="1"/>
    <col min="15" max="15" width="6.88671875" style="19" customWidth="1"/>
    <col min="16" max="16" width="6.109375" style="19" customWidth="1"/>
    <col min="17" max="17" width="6.6640625" style="19" customWidth="1"/>
    <col min="18" max="19" width="7" style="19" customWidth="1"/>
    <col min="20" max="20" width="6.44140625" style="19" customWidth="1"/>
    <col min="21" max="21" width="7.44140625" style="19" customWidth="1"/>
    <col min="22" max="22" width="7.6640625" style="19" customWidth="1"/>
    <col min="23" max="23" width="5.88671875" style="19" customWidth="1"/>
    <col min="24" max="30" width="6.44140625" style="19" customWidth="1"/>
    <col min="31" max="32" width="8" style="19" customWidth="1"/>
    <col min="33" max="33" width="7.44140625" style="19" customWidth="1"/>
    <col min="34" max="36" width="8.88671875" customWidth="1"/>
    <col min="37" max="16384" width="9.109375" style="19"/>
  </cols>
  <sheetData>
    <row r="1" spans="1:33" s="1" customFormat="1" ht="15.6">
      <c r="A1" s="1063"/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</row>
    <row r="2" spans="1:33" s="1" customFormat="1" ht="15.6">
      <c r="A2" s="1064"/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1064"/>
      <c r="V2" s="1064"/>
      <c r="W2" s="1064"/>
      <c r="X2" s="1064"/>
      <c r="Y2" s="1064"/>
      <c r="Z2" s="1064"/>
      <c r="AA2" s="1064"/>
      <c r="AB2" s="1064"/>
      <c r="AC2" s="1064"/>
      <c r="AD2" s="1064"/>
      <c r="AE2" s="1064"/>
      <c r="AF2" s="1064"/>
      <c r="AG2" s="1064"/>
    </row>
    <row r="3" spans="1:33" s="34" customFormat="1" ht="38.25" customHeight="1">
      <c r="A3" s="1005" t="s">
        <v>0</v>
      </c>
      <c r="B3" s="1005" t="s">
        <v>180</v>
      </c>
      <c r="C3" s="1005"/>
      <c r="D3" s="1021" t="s">
        <v>178</v>
      </c>
      <c r="E3" s="1021"/>
      <c r="F3" s="1021"/>
      <c r="G3" s="1028" t="s">
        <v>179</v>
      </c>
      <c r="H3" s="1028"/>
      <c r="I3" s="1028"/>
      <c r="J3" s="1022" t="s">
        <v>620</v>
      </c>
      <c r="K3" s="1023"/>
      <c r="L3" s="1024"/>
      <c r="M3" s="1021" t="s">
        <v>621</v>
      </c>
      <c r="N3" s="1021"/>
      <c r="O3" s="1021"/>
      <c r="P3" s="1022" t="s">
        <v>532</v>
      </c>
      <c r="Q3" s="1023"/>
      <c r="R3" s="1024"/>
      <c r="S3" s="1022" t="s">
        <v>191</v>
      </c>
      <c r="T3" s="1023"/>
      <c r="U3" s="1024"/>
      <c r="V3" s="1029" t="s">
        <v>529</v>
      </c>
      <c r="W3" s="1062"/>
      <c r="X3" s="1030"/>
      <c r="Y3" s="1065" t="s">
        <v>298</v>
      </c>
      <c r="Z3" s="1065"/>
      <c r="AA3" s="1065"/>
      <c r="AB3" s="1021" t="s">
        <v>756</v>
      </c>
      <c r="AC3" s="1021"/>
      <c r="AD3" s="1021"/>
      <c r="AE3" s="1021" t="s">
        <v>264</v>
      </c>
      <c r="AF3" s="1021"/>
      <c r="AG3" s="1021"/>
    </row>
    <row r="4" spans="1:33" s="34" customFormat="1" ht="12.75" customHeight="1">
      <c r="A4" s="1005"/>
      <c r="B4" s="1005"/>
      <c r="C4" s="1005"/>
      <c r="D4" s="1021"/>
      <c r="E4" s="1021"/>
      <c r="F4" s="1021"/>
      <c r="G4" s="1021" t="s">
        <v>187</v>
      </c>
      <c r="H4" s="1021"/>
      <c r="I4" s="1021"/>
      <c r="J4" s="1021" t="s">
        <v>187</v>
      </c>
      <c r="K4" s="1021"/>
      <c r="L4" s="1021"/>
      <c r="M4" s="1021" t="s">
        <v>187</v>
      </c>
      <c r="N4" s="1021"/>
      <c r="O4" s="1021"/>
      <c r="P4" s="1021" t="s">
        <v>187</v>
      </c>
      <c r="Q4" s="1021"/>
      <c r="R4" s="1021"/>
      <c r="S4" s="1021" t="s">
        <v>187</v>
      </c>
      <c r="T4" s="1021"/>
      <c r="U4" s="1021"/>
      <c r="V4" s="1021" t="s">
        <v>187</v>
      </c>
      <c r="W4" s="1021"/>
      <c r="X4" s="1021"/>
      <c r="Y4" s="1065" t="s">
        <v>188</v>
      </c>
      <c r="Z4" s="1065"/>
      <c r="AA4" s="1065"/>
      <c r="AB4" s="1021" t="s">
        <v>187</v>
      </c>
      <c r="AC4" s="1021"/>
      <c r="AD4" s="1021"/>
      <c r="AE4" s="215"/>
      <c r="AF4" s="215"/>
      <c r="AG4" s="215"/>
    </row>
    <row r="5" spans="1:33" s="18" customFormat="1" ht="26.4">
      <c r="A5" s="1005"/>
      <c r="B5" s="1005"/>
      <c r="C5" s="1005"/>
      <c r="D5" s="921" t="s">
        <v>747</v>
      </c>
      <c r="E5" s="664" t="s">
        <v>745</v>
      </c>
      <c r="F5" s="921" t="s">
        <v>912</v>
      </c>
      <c r="G5" s="921" t="s">
        <v>747</v>
      </c>
      <c r="H5" s="921" t="s">
        <v>745</v>
      </c>
      <c r="I5" s="921" t="s">
        <v>912</v>
      </c>
      <c r="J5" s="921" t="s">
        <v>747</v>
      </c>
      <c r="K5" s="921" t="s">
        <v>745</v>
      </c>
      <c r="L5" s="921" t="s">
        <v>912</v>
      </c>
      <c r="M5" s="921" t="s">
        <v>747</v>
      </c>
      <c r="N5" s="921" t="s">
        <v>745</v>
      </c>
      <c r="O5" s="921" t="s">
        <v>912</v>
      </c>
      <c r="P5" s="921" t="s">
        <v>747</v>
      </c>
      <c r="Q5" s="921" t="s">
        <v>745</v>
      </c>
      <c r="R5" s="921" t="s">
        <v>912</v>
      </c>
      <c r="S5" s="921" t="s">
        <v>747</v>
      </c>
      <c r="T5" s="921" t="s">
        <v>745</v>
      </c>
      <c r="U5" s="921" t="s">
        <v>912</v>
      </c>
      <c r="V5" s="921" t="s">
        <v>747</v>
      </c>
      <c r="W5" s="921" t="s">
        <v>745</v>
      </c>
      <c r="X5" s="921" t="s">
        <v>912</v>
      </c>
      <c r="Y5" s="921" t="s">
        <v>747</v>
      </c>
      <c r="Z5" s="921" t="s">
        <v>745</v>
      </c>
      <c r="AA5" s="921" t="s">
        <v>912</v>
      </c>
      <c r="AB5" s="929" t="s">
        <v>747</v>
      </c>
      <c r="AC5" s="929" t="s">
        <v>745</v>
      </c>
      <c r="AD5" s="929" t="s">
        <v>912</v>
      </c>
      <c r="AE5" s="921" t="s">
        <v>747</v>
      </c>
      <c r="AF5" s="921" t="s">
        <v>745</v>
      </c>
      <c r="AG5" s="921" t="s">
        <v>912</v>
      </c>
    </row>
    <row r="6" spans="1:33" s="47" customFormat="1" ht="12.9" customHeight="1">
      <c r="A6" s="5" t="s">
        <v>27</v>
      </c>
      <c r="B6" s="1006" t="s">
        <v>175</v>
      </c>
      <c r="C6" s="1006"/>
      <c r="D6" s="62">
        <f>+G6+M6+P6+S6+V6+AE6+J6+Y6+AB6</f>
        <v>11150</v>
      </c>
      <c r="E6" s="62">
        <f t="shared" ref="E6:F8" si="0">+H6+N6+Q6+T6+W6+AF6+K6+Z6+AC6</f>
        <v>0</v>
      </c>
      <c r="F6" s="62">
        <f t="shared" si="0"/>
        <v>11150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30">
        <f>+'[4]5.g. mell. Egyéb tev.'!X6</f>
        <v>11150</v>
      </c>
      <c r="W6" s="30">
        <f>-46+46</f>
        <v>0</v>
      </c>
      <c r="X6" s="62">
        <f>+V6+W6</f>
        <v>11150</v>
      </c>
      <c r="Y6" s="62"/>
      <c r="Z6" s="62"/>
      <c r="AA6" s="62"/>
      <c r="AB6" s="62"/>
      <c r="AC6" s="62"/>
      <c r="AD6" s="62"/>
      <c r="AE6" s="62"/>
      <c r="AF6" s="62"/>
      <c r="AG6" s="62"/>
    </row>
    <row r="7" spans="1:33" s="47" customFormat="1" ht="12.9" customHeight="1">
      <c r="A7" s="5" t="s">
        <v>34</v>
      </c>
      <c r="B7" s="1006" t="s">
        <v>174</v>
      </c>
      <c r="C7" s="1006"/>
      <c r="D7" s="62">
        <f t="shared" ref="D7:D36" si="1">+G7+M7+P7+S7+V7+AE7+J7+Y7+AB7</f>
        <v>0</v>
      </c>
      <c r="E7" s="62">
        <f t="shared" si="0"/>
        <v>281</v>
      </c>
      <c r="F7" s="62">
        <f t="shared" si="0"/>
        <v>281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>
        <v>281</v>
      </c>
      <c r="AG7" s="62">
        <f>+AE7+AF7</f>
        <v>281</v>
      </c>
    </row>
    <row r="8" spans="1:33" s="47" customFormat="1" ht="12.9" customHeight="1">
      <c r="A8" s="6" t="s">
        <v>35</v>
      </c>
      <c r="B8" s="1003" t="s">
        <v>173</v>
      </c>
      <c r="C8" s="1003"/>
      <c r="D8" s="62">
        <f t="shared" si="1"/>
        <v>11150</v>
      </c>
      <c r="E8" s="62">
        <f t="shared" si="0"/>
        <v>281</v>
      </c>
      <c r="F8" s="62">
        <f t="shared" si="0"/>
        <v>11431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>
        <f>SUM(V6:V7)</f>
        <v>11150</v>
      </c>
      <c r="W8" s="59">
        <f t="shared" ref="W8:X8" si="2">SUM(W6:W7)</f>
        <v>0</v>
      </c>
      <c r="X8" s="59">
        <f t="shared" si="2"/>
        <v>11150</v>
      </c>
      <c r="Y8" s="59"/>
      <c r="Z8" s="59"/>
      <c r="AA8" s="59"/>
      <c r="AB8" s="59"/>
      <c r="AC8" s="59"/>
      <c r="AD8" s="59"/>
      <c r="AE8" s="59">
        <f>SUM(AE6:AE7)</f>
        <v>0</v>
      </c>
      <c r="AF8" s="59">
        <f t="shared" ref="AF8:AG8" si="3">SUM(AF6:AF7)</f>
        <v>281</v>
      </c>
      <c r="AG8" s="59">
        <f t="shared" si="3"/>
        <v>281</v>
      </c>
    </row>
    <row r="9" spans="1:33" ht="10.5" customHeight="1">
      <c r="A9" s="7"/>
      <c r="B9" s="8"/>
      <c r="C9" s="8"/>
      <c r="D9" s="62"/>
      <c r="E9" s="62"/>
      <c r="F9" s="62"/>
      <c r="G9" s="31"/>
      <c r="H9" s="31"/>
      <c r="I9" s="32"/>
      <c r="J9" s="31"/>
      <c r="K9" s="31"/>
      <c r="L9" s="31"/>
      <c r="M9" s="31"/>
      <c r="N9" s="31"/>
      <c r="O9" s="31"/>
      <c r="P9" s="31"/>
      <c r="Q9" s="31"/>
      <c r="R9" s="3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47" customFormat="1" ht="12.9" customHeight="1">
      <c r="A10" s="5" t="s">
        <v>36</v>
      </c>
      <c r="B10" s="1006" t="s">
        <v>172</v>
      </c>
      <c r="C10" s="1006"/>
      <c r="D10" s="62">
        <f t="shared" si="1"/>
        <v>3005</v>
      </c>
      <c r="E10" s="62">
        <f t="shared" ref="E10" si="4">+H10+N10+Q10+T10+W10+AF10+K10+Z10+AC10</f>
        <v>44</v>
      </c>
      <c r="F10" s="62">
        <f t="shared" ref="F10" si="5">+I10+O10+R10+U10+X10+AG10+L10+AA10+AD10</f>
        <v>3049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>
        <v>3005</v>
      </c>
      <c r="W10" s="58">
        <v>-24</v>
      </c>
      <c r="X10" s="62">
        <f>+V10+W10</f>
        <v>2981</v>
      </c>
      <c r="Y10" s="58"/>
      <c r="Z10" s="58"/>
      <c r="AA10" s="58"/>
      <c r="AB10" s="58"/>
      <c r="AC10" s="58"/>
      <c r="AD10" s="58"/>
      <c r="AE10" s="58"/>
      <c r="AF10" s="58">
        <v>68</v>
      </c>
      <c r="AG10" s="62">
        <f>+AE10+AF10</f>
        <v>68</v>
      </c>
    </row>
    <row r="11" spans="1:33" ht="10.5" customHeight="1">
      <c r="A11" s="10"/>
      <c r="B11" s="26"/>
      <c r="C11" s="11"/>
      <c r="D11" s="62"/>
      <c r="E11" s="62"/>
      <c r="F11" s="62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2.9" customHeight="1">
      <c r="A12" s="12" t="s">
        <v>43</v>
      </c>
      <c r="B12" s="1004" t="s">
        <v>42</v>
      </c>
      <c r="C12" s="1004"/>
      <c r="D12" s="62">
        <f t="shared" si="1"/>
        <v>0</v>
      </c>
      <c r="E12" s="62">
        <f t="shared" ref="E12:E36" si="6">+H12+N12+Q12+T12+W12+AF12+K12+Z12+AC12</f>
        <v>19</v>
      </c>
      <c r="F12" s="62">
        <f t="shared" ref="F12:F36" si="7">+I12+O12+R12+U12+X12+AG12+L12+AA12+AD12</f>
        <v>19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>
        <v>19</v>
      </c>
      <c r="R12" s="30">
        <f>+P12+Q12</f>
        <v>19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ht="12.9" customHeight="1">
      <c r="A13" s="3" t="s">
        <v>45</v>
      </c>
      <c r="B13" s="1007" t="s">
        <v>44</v>
      </c>
      <c r="C13" s="1007"/>
      <c r="D13" s="62">
        <f t="shared" si="1"/>
        <v>790</v>
      </c>
      <c r="E13" s="62">
        <f t="shared" si="6"/>
        <v>1310</v>
      </c>
      <c r="F13" s="62">
        <f t="shared" si="7"/>
        <v>2100</v>
      </c>
      <c r="G13" s="30">
        <f>+'[4]5.g. mell. Egyéb tev.'!$I$13</f>
        <v>790</v>
      </c>
      <c r="H13" s="30">
        <f>17+20+224</f>
        <v>261</v>
      </c>
      <c r="I13" s="30">
        <f>+G13+H13</f>
        <v>1051</v>
      </c>
      <c r="J13" s="30"/>
      <c r="K13" s="30"/>
      <c r="L13" s="30"/>
      <c r="M13" s="30"/>
      <c r="N13" s="30"/>
      <c r="O13" s="30"/>
      <c r="P13" s="30"/>
      <c r="Q13" s="30">
        <v>80</v>
      </c>
      <c r="R13" s="30">
        <f>+P13+Q13</f>
        <v>80</v>
      </c>
      <c r="S13" s="30"/>
      <c r="T13" s="30"/>
      <c r="U13" s="30"/>
      <c r="V13" s="30"/>
      <c r="W13" s="30">
        <v>19</v>
      </c>
      <c r="X13" s="30">
        <f>+V13+W13</f>
        <v>19</v>
      </c>
      <c r="Y13" s="30"/>
      <c r="Z13" s="30"/>
      <c r="AA13" s="30"/>
      <c r="AB13" s="30"/>
      <c r="AC13" s="30"/>
      <c r="AD13" s="30"/>
      <c r="AE13" s="30"/>
      <c r="AF13" s="30">
        <f>31+919</f>
        <v>950</v>
      </c>
      <c r="AG13" s="30">
        <f>+AE13+AF13</f>
        <v>950</v>
      </c>
    </row>
    <row r="14" spans="1:33" ht="12.9" customHeight="1">
      <c r="A14" s="3" t="s">
        <v>47</v>
      </c>
      <c r="B14" s="1007" t="s">
        <v>46</v>
      </c>
      <c r="C14" s="1007"/>
      <c r="D14" s="62">
        <f t="shared" si="1"/>
        <v>0</v>
      </c>
      <c r="E14" s="62">
        <f t="shared" si="6"/>
        <v>0</v>
      </c>
      <c r="F14" s="62">
        <f t="shared" si="7"/>
        <v>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47" customFormat="1" ht="12.9" customHeight="1">
      <c r="A15" s="5" t="s">
        <v>48</v>
      </c>
      <c r="B15" s="1006" t="s">
        <v>171</v>
      </c>
      <c r="C15" s="1006"/>
      <c r="D15" s="62">
        <f t="shared" si="1"/>
        <v>790</v>
      </c>
      <c r="E15" s="62">
        <f t="shared" si="6"/>
        <v>1329</v>
      </c>
      <c r="F15" s="62">
        <f t="shared" si="7"/>
        <v>2119</v>
      </c>
      <c r="G15" s="62">
        <f t="shared" ref="G15:I15" si="8">SUM(G12:G14)</f>
        <v>790</v>
      </c>
      <c r="H15" s="62">
        <f t="shared" si="8"/>
        <v>261</v>
      </c>
      <c r="I15" s="62">
        <f t="shared" si="8"/>
        <v>1051</v>
      </c>
      <c r="J15" s="62"/>
      <c r="K15" s="62"/>
      <c r="L15" s="62"/>
      <c r="M15" s="62">
        <f>SUM(M12:M14)</f>
        <v>0</v>
      </c>
      <c r="N15" s="62">
        <f>SUM(N12:N14)</f>
        <v>0</v>
      </c>
      <c r="O15" s="62">
        <f>SUM(O12:O14)</f>
        <v>0</v>
      </c>
      <c r="P15" s="62">
        <f t="shared" ref="P15:R15" si="9">SUM(P12:P14)</f>
        <v>0</v>
      </c>
      <c r="Q15" s="62">
        <f t="shared" si="9"/>
        <v>99</v>
      </c>
      <c r="R15" s="62">
        <f t="shared" si="9"/>
        <v>99</v>
      </c>
      <c r="S15" s="62">
        <f t="shared" ref="S15:X15" si="10">SUM(S12:S14)</f>
        <v>0</v>
      </c>
      <c r="T15" s="62">
        <f t="shared" si="10"/>
        <v>0</v>
      </c>
      <c r="U15" s="62">
        <f t="shared" si="10"/>
        <v>0</v>
      </c>
      <c r="V15" s="62">
        <f t="shared" si="10"/>
        <v>0</v>
      </c>
      <c r="W15" s="62">
        <f t="shared" si="10"/>
        <v>19</v>
      </c>
      <c r="X15" s="62">
        <f t="shared" si="10"/>
        <v>19</v>
      </c>
      <c r="Y15" s="62"/>
      <c r="Z15" s="62"/>
      <c r="AA15" s="62"/>
      <c r="AB15" s="62"/>
      <c r="AC15" s="62"/>
      <c r="AD15" s="62"/>
      <c r="AE15" s="62">
        <f>SUM(AE12:AE14)</f>
        <v>0</v>
      </c>
      <c r="AF15" s="62">
        <f>SUM(AF12:AF14)</f>
        <v>950</v>
      </c>
      <c r="AG15" s="62">
        <f>SUM(AG12:AG14)</f>
        <v>950</v>
      </c>
    </row>
    <row r="16" spans="1:33" ht="12.9" customHeight="1">
      <c r="A16" s="3" t="s">
        <v>50</v>
      </c>
      <c r="B16" s="1007" t="s">
        <v>49</v>
      </c>
      <c r="C16" s="1007"/>
      <c r="D16" s="62">
        <f t="shared" si="1"/>
        <v>0</v>
      </c>
      <c r="E16" s="62">
        <f t="shared" si="6"/>
        <v>0</v>
      </c>
      <c r="F16" s="62">
        <f t="shared" si="7"/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ht="12.9" customHeight="1">
      <c r="A17" s="3" t="s">
        <v>52</v>
      </c>
      <c r="B17" s="1007" t="s">
        <v>51</v>
      </c>
      <c r="C17" s="1007"/>
      <c r="D17" s="62">
        <f t="shared" si="1"/>
        <v>0</v>
      </c>
      <c r="E17" s="62">
        <f t="shared" si="6"/>
        <v>0</v>
      </c>
      <c r="F17" s="62">
        <f t="shared" si="7"/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47" customFormat="1" ht="12.9" customHeight="1">
      <c r="A18" s="5" t="s">
        <v>53</v>
      </c>
      <c r="B18" s="1006" t="s">
        <v>170</v>
      </c>
      <c r="C18" s="1006"/>
      <c r="D18" s="62">
        <f t="shared" si="1"/>
        <v>0</v>
      </c>
      <c r="E18" s="62">
        <f t="shared" si="6"/>
        <v>0</v>
      </c>
      <c r="F18" s="62">
        <f t="shared" si="7"/>
        <v>0</v>
      </c>
      <c r="G18" s="62">
        <f t="shared" ref="G18:I18" si="11">+G16+G17</f>
        <v>0</v>
      </c>
      <c r="H18" s="62">
        <f t="shared" si="11"/>
        <v>0</v>
      </c>
      <c r="I18" s="62">
        <f t="shared" si="11"/>
        <v>0</v>
      </c>
      <c r="J18" s="62"/>
      <c r="K18" s="62"/>
      <c r="L18" s="62"/>
      <c r="M18" s="62">
        <f>+M16+M17</f>
        <v>0</v>
      </c>
      <c r="N18" s="62">
        <f>+N16+N17</f>
        <v>0</v>
      </c>
      <c r="O18" s="62">
        <f>+O16+O17</f>
        <v>0</v>
      </c>
      <c r="P18" s="62">
        <f t="shared" ref="P18:R18" si="12">+P16+P17</f>
        <v>0</v>
      </c>
      <c r="Q18" s="62">
        <f t="shared" si="12"/>
        <v>0</v>
      </c>
      <c r="R18" s="62">
        <f t="shared" si="12"/>
        <v>0</v>
      </c>
      <c r="S18" s="62">
        <f t="shared" ref="S18:X18" si="13">+S16+S17</f>
        <v>0</v>
      </c>
      <c r="T18" s="62">
        <f t="shared" si="13"/>
        <v>0</v>
      </c>
      <c r="U18" s="62">
        <f t="shared" si="13"/>
        <v>0</v>
      </c>
      <c r="V18" s="62">
        <f t="shared" si="13"/>
        <v>0</v>
      </c>
      <c r="W18" s="62">
        <f t="shared" si="13"/>
        <v>0</v>
      </c>
      <c r="X18" s="62">
        <f t="shared" si="13"/>
        <v>0</v>
      </c>
      <c r="Y18" s="62"/>
      <c r="Z18" s="62"/>
      <c r="AA18" s="62"/>
      <c r="AB18" s="62"/>
      <c r="AC18" s="62"/>
      <c r="AD18" s="62"/>
      <c r="AE18" s="62">
        <f>+AE16+AE17</f>
        <v>0</v>
      </c>
      <c r="AF18" s="62">
        <f>+AF16+AF17</f>
        <v>0</v>
      </c>
      <c r="AG18" s="62">
        <f>+AG16+AG17</f>
        <v>0</v>
      </c>
    </row>
    <row r="19" spans="1:33" ht="12.9" customHeight="1">
      <c r="A19" s="3" t="s">
        <v>55</v>
      </c>
      <c r="B19" s="1007" t="s">
        <v>54</v>
      </c>
      <c r="C19" s="1007"/>
      <c r="D19" s="62">
        <f t="shared" si="1"/>
        <v>0</v>
      </c>
      <c r="E19" s="62">
        <f t="shared" si="6"/>
        <v>0</v>
      </c>
      <c r="F19" s="62">
        <f t="shared" si="7"/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ht="12.9" customHeight="1">
      <c r="A20" s="3" t="s">
        <v>57</v>
      </c>
      <c r="B20" s="1007" t="s">
        <v>56</v>
      </c>
      <c r="C20" s="1007"/>
      <c r="D20" s="62">
        <f t="shared" si="1"/>
        <v>39686</v>
      </c>
      <c r="E20" s="62">
        <f t="shared" si="6"/>
        <v>195</v>
      </c>
      <c r="F20" s="62">
        <f t="shared" si="7"/>
        <v>39881</v>
      </c>
      <c r="G20" s="30"/>
      <c r="H20" s="30"/>
      <c r="I20" s="30">
        <f t="shared" ref="I20:I21" si="14">+G20+H20</f>
        <v>0</v>
      </c>
      <c r="J20" s="30">
        <f>+'[4]5.g. mell. Egyéb tev.'!$L20</f>
        <v>27188</v>
      </c>
      <c r="K20" s="30"/>
      <c r="L20" s="30">
        <f>+J20+K20</f>
        <v>27188</v>
      </c>
      <c r="M20" s="30">
        <f>+'[4]5.g. mell. Egyéb tev.'!O20</f>
        <v>12397</v>
      </c>
      <c r="N20" s="30"/>
      <c r="O20" s="30">
        <f>+M20+N20</f>
        <v>12397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>
        <f>+'[4]5.g. mell. Egyéb tev.'!AD20</f>
        <v>101</v>
      </c>
      <c r="AF20" s="30">
        <v>195</v>
      </c>
      <c r="AG20" s="30">
        <f>+AE20+AF20</f>
        <v>296</v>
      </c>
    </row>
    <row r="21" spans="1:33" ht="12.9" customHeight="1">
      <c r="A21" s="3" t="s">
        <v>58</v>
      </c>
      <c r="B21" s="1007" t="s">
        <v>168</v>
      </c>
      <c r="C21" s="1007"/>
      <c r="D21" s="62">
        <f t="shared" si="1"/>
        <v>610</v>
      </c>
      <c r="E21" s="62">
        <f t="shared" si="6"/>
        <v>0</v>
      </c>
      <c r="F21" s="62">
        <f t="shared" si="7"/>
        <v>610</v>
      </c>
      <c r="G21" s="30">
        <f>+'[4]5.g. mell. Egyéb tev.'!$I21</f>
        <v>610</v>
      </c>
      <c r="H21" s="30"/>
      <c r="I21" s="30">
        <f t="shared" si="14"/>
        <v>610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>
        <f t="shared" ref="AG21:AG22" si="15">+AE21+AF21</f>
        <v>0</v>
      </c>
    </row>
    <row r="22" spans="1:33" ht="12.9" customHeight="1">
      <c r="A22" s="3" t="s">
        <v>60</v>
      </c>
      <c r="B22" s="1007" t="s">
        <v>59</v>
      </c>
      <c r="C22" s="1007"/>
      <c r="D22" s="62">
        <f t="shared" si="1"/>
        <v>2221</v>
      </c>
      <c r="E22" s="62">
        <f t="shared" si="6"/>
        <v>1912</v>
      </c>
      <c r="F22" s="62">
        <f t="shared" si="7"/>
        <v>4133</v>
      </c>
      <c r="G22" s="30">
        <f>+'[4]5.g. mell. Egyéb tev.'!$I22</f>
        <v>429</v>
      </c>
      <c r="H22" s="30">
        <f>254+36+220+95</f>
        <v>605</v>
      </c>
      <c r="I22" s="30">
        <f>+G22+H22</f>
        <v>1034</v>
      </c>
      <c r="J22" s="30"/>
      <c r="K22" s="30"/>
      <c r="L22" s="30"/>
      <c r="M22" s="30"/>
      <c r="N22" s="30"/>
      <c r="O22" s="30"/>
      <c r="P22" s="30">
        <f>+'[4]5.g. mell. Egyéb tev.'!R22</f>
        <v>992</v>
      </c>
      <c r="Q22" s="30">
        <v>292</v>
      </c>
      <c r="R22" s="30">
        <f>+P22+Q22</f>
        <v>1284</v>
      </c>
      <c r="S22" s="30">
        <v>800</v>
      </c>
      <c r="T22" s="30"/>
      <c r="U22" s="30">
        <f>+S22+T22</f>
        <v>800</v>
      </c>
      <c r="V22" s="30"/>
      <c r="W22" s="30"/>
      <c r="X22" s="30"/>
      <c r="Y22" s="30"/>
      <c r="Z22" s="30"/>
      <c r="AA22" s="30"/>
      <c r="AB22" s="30"/>
      <c r="AC22" s="30">
        <v>983</v>
      </c>
      <c r="AD22" s="30">
        <f t="shared" ref="AD22:AD24" si="16">+AB22+AC22</f>
        <v>983</v>
      </c>
      <c r="AE22" s="30"/>
      <c r="AF22" s="30">
        <v>32</v>
      </c>
      <c r="AG22" s="30">
        <f t="shared" si="15"/>
        <v>32</v>
      </c>
    </row>
    <row r="23" spans="1:33" ht="12.9" customHeight="1">
      <c r="A23" s="3" t="s">
        <v>61</v>
      </c>
      <c r="B23" s="1007" t="s">
        <v>167</v>
      </c>
      <c r="C23" s="1007"/>
      <c r="D23" s="62">
        <f t="shared" si="1"/>
        <v>2800</v>
      </c>
      <c r="E23" s="62">
        <f t="shared" si="6"/>
        <v>0</v>
      </c>
      <c r="F23" s="62">
        <f t="shared" si="7"/>
        <v>2800</v>
      </c>
      <c r="G23" s="30">
        <f>+'[4]5.g. mell. Egyéb tev.'!$I23</f>
        <v>2800</v>
      </c>
      <c r="H23" s="30"/>
      <c r="I23" s="30">
        <f>+G23+H23</f>
        <v>2800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>
        <f t="shared" ref="U23:U25" si="17">+S23+T23</f>
        <v>0</v>
      </c>
      <c r="V23" s="30"/>
      <c r="W23" s="30"/>
      <c r="X23" s="30"/>
      <c r="Y23" s="30"/>
      <c r="Z23" s="30"/>
      <c r="AA23" s="30"/>
      <c r="AB23" s="30"/>
      <c r="AC23" s="30"/>
      <c r="AD23" s="30">
        <f t="shared" si="16"/>
        <v>0</v>
      </c>
      <c r="AE23" s="30"/>
      <c r="AF23" s="30"/>
      <c r="AG23" s="30"/>
    </row>
    <row r="24" spans="1:33" ht="12.9" customHeight="1">
      <c r="A24" s="3" t="s">
        <v>64</v>
      </c>
      <c r="B24" s="1007" t="s">
        <v>63</v>
      </c>
      <c r="C24" s="1007"/>
      <c r="D24" s="62">
        <f t="shared" si="1"/>
        <v>0</v>
      </c>
      <c r="E24" s="62">
        <f t="shared" si="6"/>
        <v>0</v>
      </c>
      <c r="F24" s="62">
        <f t="shared" si="7"/>
        <v>0</v>
      </c>
      <c r="G24" s="30">
        <f>+'[4]5.g. mell. Egyéb tev.'!$I24</f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>
        <f t="shared" si="17"/>
        <v>0</v>
      </c>
      <c r="V24" s="30"/>
      <c r="W24" s="30"/>
      <c r="X24" s="30"/>
      <c r="Y24" s="30"/>
      <c r="Z24" s="30"/>
      <c r="AA24" s="30"/>
      <c r="AB24" s="30"/>
      <c r="AC24" s="30"/>
      <c r="AD24" s="30">
        <f t="shared" si="16"/>
        <v>0</v>
      </c>
      <c r="AE24" s="30"/>
      <c r="AF24" s="30"/>
      <c r="AG24" s="30"/>
    </row>
    <row r="25" spans="1:33" ht="12.9" customHeight="1">
      <c r="A25" s="3" t="s">
        <v>66</v>
      </c>
      <c r="B25" s="1007" t="s">
        <v>65</v>
      </c>
      <c r="C25" s="1007"/>
      <c r="D25" s="62">
        <f t="shared" si="1"/>
        <v>9529</v>
      </c>
      <c r="E25" s="62">
        <f t="shared" si="6"/>
        <v>3443</v>
      </c>
      <c r="F25" s="62">
        <f t="shared" si="7"/>
        <v>12972</v>
      </c>
      <c r="G25" s="30">
        <f>+'[4]5.g. mell. Egyéb tev.'!$I25</f>
        <v>4880</v>
      </c>
      <c r="H25" s="30">
        <f>4+47+187+30</f>
        <v>268</v>
      </c>
      <c r="I25" s="30">
        <f>+G25+H25</f>
        <v>5148</v>
      </c>
      <c r="J25" s="30"/>
      <c r="K25" s="30"/>
      <c r="L25" s="30"/>
      <c r="M25" s="30"/>
      <c r="N25" s="30"/>
      <c r="O25" s="30"/>
      <c r="P25" s="30"/>
      <c r="Q25" s="30"/>
      <c r="R25" s="30"/>
      <c r="S25" s="30">
        <f>+'[4]5.g. mell. Egyéb tev.'!U25</f>
        <v>75</v>
      </c>
      <c r="T25" s="30"/>
      <c r="U25" s="30">
        <f t="shared" si="17"/>
        <v>75</v>
      </c>
      <c r="V25" s="30"/>
      <c r="W25" s="30"/>
      <c r="X25" s="30"/>
      <c r="Y25" s="30">
        <f>+'[4]5.g. mell. Egyéb tev.'!AA25</f>
        <v>4574</v>
      </c>
      <c r="Z25" s="30"/>
      <c r="AA25" s="30">
        <f>+Y25+Z25</f>
        <v>4574</v>
      </c>
      <c r="AB25" s="30">
        <f>+'[4]5.g. mell. Egyéb tev.'!AD25</f>
        <v>0</v>
      </c>
      <c r="AC25" s="30"/>
      <c r="AD25" s="30">
        <f>+AB25+AC25</f>
        <v>0</v>
      </c>
      <c r="AE25" s="30"/>
      <c r="AF25" s="30">
        <v>3175</v>
      </c>
      <c r="AG25" s="30">
        <f>+AE25+AF25</f>
        <v>3175</v>
      </c>
    </row>
    <row r="26" spans="1:33" s="47" customFormat="1" ht="12.9" customHeight="1">
      <c r="A26" s="5" t="s">
        <v>67</v>
      </c>
      <c r="B26" s="1006" t="s">
        <v>157</v>
      </c>
      <c r="C26" s="1006"/>
      <c r="D26" s="62">
        <f t="shared" si="1"/>
        <v>54846</v>
      </c>
      <c r="E26" s="62">
        <f t="shared" si="6"/>
        <v>5550</v>
      </c>
      <c r="F26" s="62">
        <f t="shared" si="7"/>
        <v>60396</v>
      </c>
      <c r="G26" s="62">
        <f t="shared" ref="G26:AG26" si="18">+G25+G24+G23+G22+G21+G20+G19</f>
        <v>8719</v>
      </c>
      <c r="H26" s="62">
        <f t="shared" si="18"/>
        <v>873</v>
      </c>
      <c r="I26" s="62">
        <f t="shared" si="18"/>
        <v>9592</v>
      </c>
      <c r="J26" s="62">
        <f t="shared" si="18"/>
        <v>27188</v>
      </c>
      <c r="K26" s="62">
        <f t="shared" si="18"/>
        <v>0</v>
      </c>
      <c r="L26" s="62">
        <f t="shared" si="18"/>
        <v>27188</v>
      </c>
      <c r="M26" s="62">
        <f t="shared" si="18"/>
        <v>12397</v>
      </c>
      <c r="N26" s="62">
        <f t="shared" si="18"/>
        <v>0</v>
      </c>
      <c r="O26" s="62">
        <f t="shared" si="18"/>
        <v>12397</v>
      </c>
      <c r="P26" s="62">
        <f t="shared" si="18"/>
        <v>992</v>
      </c>
      <c r="Q26" s="62">
        <f t="shared" si="18"/>
        <v>292</v>
      </c>
      <c r="R26" s="62">
        <f t="shared" si="18"/>
        <v>1284</v>
      </c>
      <c r="S26" s="62">
        <f t="shared" si="18"/>
        <v>875</v>
      </c>
      <c r="T26" s="62">
        <f t="shared" si="18"/>
        <v>0</v>
      </c>
      <c r="U26" s="62">
        <f t="shared" si="18"/>
        <v>875</v>
      </c>
      <c r="V26" s="62">
        <f t="shared" si="18"/>
        <v>0</v>
      </c>
      <c r="W26" s="62">
        <f t="shared" si="18"/>
        <v>0</v>
      </c>
      <c r="X26" s="62">
        <f t="shared" si="18"/>
        <v>0</v>
      </c>
      <c r="Y26" s="62">
        <f t="shared" si="18"/>
        <v>4574</v>
      </c>
      <c r="Z26" s="62">
        <f t="shared" si="18"/>
        <v>0</v>
      </c>
      <c r="AA26" s="62">
        <f t="shared" si="18"/>
        <v>4574</v>
      </c>
      <c r="AB26" s="62">
        <f t="shared" ref="AB26:AD26" si="19">+AB25+AB24+AB23+AB22+AB21+AB20+AB19</f>
        <v>0</v>
      </c>
      <c r="AC26" s="62">
        <f t="shared" si="19"/>
        <v>983</v>
      </c>
      <c r="AD26" s="62">
        <f t="shared" si="19"/>
        <v>983</v>
      </c>
      <c r="AE26" s="62">
        <f t="shared" si="18"/>
        <v>101</v>
      </c>
      <c r="AF26" s="62">
        <f t="shared" si="18"/>
        <v>3402</v>
      </c>
      <c r="AG26" s="62">
        <f t="shared" si="18"/>
        <v>3503</v>
      </c>
    </row>
    <row r="27" spans="1:33" ht="12.9" customHeight="1">
      <c r="A27" s="3" t="s">
        <v>69</v>
      </c>
      <c r="B27" s="1007" t="s">
        <v>68</v>
      </c>
      <c r="C27" s="1007"/>
      <c r="D27" s="62">
        <f t="shared" si="1"/>
        <v>0</v>
      </c>
      <c r="E27" s="62">
        <f t="shared" si="6"/>
        <v>0</v>
      </c>
      <c r="F27" s="62">
        <f t="shared" si="7"/>
        <v>0</v>
      </c>
      <c r="G27" s="30">
        <f>+'[4]5.g. mell. Egyéb tev.'!$I27</f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ht="12.9" customHeight="1">
      <c r="A28" s="3" t="s">
        <v>71</v>
      </c>
      <c r="B28" s="1007" t="s">
        <v>70</v>
      </c>
      <c r="C28" s="1007"/>
      <c r="D28" s="62">
        <f t="shared" si="1"/>
        <v>0</v>
      </c>
      <c r="E28" s="62">
        <f t="shared" si="6"/>
        <v>0</v>
      </c>
      <c r="F28" s="62">
        <f t="shared" si="7"/>
        <v>0</v>
      </c>
      <c r="G28" s="30">
        <f>+'[4]5.g. mell. Egyéb tev.'!$I28</f>
        <v>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47" customFormat="1" ht="12.9" customHeight="1">
      <c r="A29" s="5" t="s">
        <v>72</v>
      </c>
      <c r="B29" s="1006" t="s">
        <v>156</v>
      </c>
      <c r="C29" s="1006"/>
      <c r="D29" s="62">
        <f t="shared" si="1"/>
        <v>0</v>
      </c>
      <c r="E29" s="62">
        <f t="shared" si="6"/>
        <v>0</v>
      </c>
      <c r="F29" s="62">
        <f t="shared" si="7"/>
        <v>0</v>
      </c>
      <c r="G29" s="62">
        <f t="shared" ref="G29:I29" si="20">+G27+G28</f>
        <v>0</v>
      </c>
      <c r="H29" s="62">
        <f t="shared" si="20"/>
        <v>0</v>
      </c>
      <c r="I29" s="62">
        <f t="shared" si="20"/>
        <v>0</v>
      </c>
      <c r="J29" s="62"/>
      <c r="K29" s="62"/>
      <c r="L29" s="62"/>
      <c r="M29" s="62">
        <f>+M27+M28</f>
        <v>0</v>
      </c>
      <c r="N29" s="62">
        <f>+N27+N28</f>
        <v>0</v>
      </c>
      <c r="O29" s="62">
        <f>+O27+O28</f>
        <v>0</v>
      </c>
      <c r="P29" s="62">
        <f t="shared" ref="P29:AA29" si="21">+P27+P28</f>
        <v>0</v>
      </c>
      <c r="Q29" s="62">
        <f t="shared" si="21"/>
        <v>0</v>
      </c>
      <c r="R29" s="62">
        <f t="shared" si="21"/>
        <v>0</v>
      </c>
      <c r="S29" s="62">
        <f t="shared" si="21"/>
        <v>0</v>
      </c>
      <c r="T29" s="62">
        <f t="shared" si="21"/>
        <v>0</v>
      </c>
      <c r="U29" s="62">
        <f t="shared" si="21"/>
        <v>0</v>
      </c>
      <c r="V29" s="62">
        <f t="shared" si="21"/>
        <v>0</v>
      </c>
      <c r="W29" s="62">
        <f t="shared" si="21"/>
        <v>0</v>
      </c>
      <c r="X29" s="62">
        <f t="shared" si="21"/>
        <v>0</v>
      </c>
      <c r="Y29" s="62">
        <f t="shared" si="21"/>
        <v>0</v>
      </c>
      <c r="Z29" s="62">
        <f t="shared" si="21"/>
        <v>0</v>
      </c>
      <c r="AA29" s="62">
        <f t="shared" si="21"/>
        <v>0</v>
      </c>
      <c r="AB29" s="62">
        <f t="shared" ref="AB29:AD29" si="22">+AB27+AB28</f>
        <v>0</v>
      </c>
      <c r="AC29" s="62">
        <f t="shared" si="22"/>
        <v>0</v>
      </c>
      <c r="AD29" s="62">
        <f t="shared" si="22"/>
        <v>0</v>
      </c>
      <c r="AE29" s="62">
        <f>+AE27+AE28</f>
        <v>0</v>
      </c>
      <c r="AF29" s="62">
        <f>+AF27+AF28</f>
        <v>0</v>
      </c>
      <c r="AG29" s="62">
        <f>+AG27+AG28</f>
        <v>0</v>
      </c>
    </row>
    <row r="30" spans="1:33" ht="12.9" customHeight="1">
      <c r="A30" s="3" t="s">
        <v>74</v>
      </c>
      <c r="B30" s="1007" t="s">
        <v>73</v>
      </c>
      <c r="C30" s="1007"/>
      <c r="D30" s="62">
        <f t="shared" si="1"/>
        <v>13662</v>
      </c>
      <c r="E30" s="62">
        <f t="shared" si="6"/>
        <v>1000</v>
      </c>
      <c r="F30" s="62">
        <f t="shared" si="7"/>
        <v>14662</v>
      </c>
      <c r="G30" s="30">
        <f>+'[4]5.g. mell. Egyéb tev.'!$I30</f>
        <v>1546</v>
      </c>
      <c r="H30" s="30">
        <f>69+1+10+13+3+51+5+8+5+25+60</f>
        <v>250</v>
      </c>
      <c r="I30" s="30">
        <f>+G30+H30</f>
        <v>1796</v>
      </c>
      <c r="J30" s="30">
        <f>+'[4]5.g. mell. Egyéb tev.'!$L30</f>
        <v>7341</v>
      </c>
      <c r="K30" s="30"/>
      <c r="L30" s="30">
        <f>+J30+K30</f>
        <v>7341</v>
      </c>
      <c r="M30" s="30">
        <f>+'[4]5.g. mell. Egyéb tev.'!O30</f>
        <v>3348</v>
      </c>
      <c r="N30" s="30"/>
      <c r="O30" s="30">
        <f>+M30+N30</f>
        <v>3348</v>
      </c>
      <c r="P30" s="30">
        <f>+'[4]5.g. mell. Egyéb tev.'!R30</f>
        <v>268</v>
      </c>
      <c r="Q30" s="30">
        <f>22+79+5</f>
        <v>106</v>
      </c>
      <c r="R30" s="30">
        <f>+P30+Q30</f>
        <v>374</v>
      </c>
      <c r="S30" s="30">
        <f>+'[4]5.g. mell. Egyéb tev.'!U30</f>
        <v>236</v>
      </c>
      <c r="T30" s="30"/>
      <c r="U30" s="30">
        <f>+S30+T30</f>
        <v>236</v>
      </c>
      <c r="V30" s="30"/>
      <c r="W30" s="30">
        <v>5</v>
      </c>
      <c r="X30" s="30">
        <f>+V30+W30</f>
        <v>5</v>
      </c>
      <c r="Y30" s="30">
        <v>923</v>
      </c>
      <c r="Z30" s="30"/>
      <c r="AA30" s="30">
        <f t="shared" ref="AA30:AA31" si="23">+Y30+Z30</f>
        <v>923</v>
      </c>
      <c r="AB30" s="30"/>
      <c r="AC30" s="30">
        <v>265</v>
      </c>
      <c r="AD30" s="30">
        <f t="shared" ref="AD30:AD31" si="24">+AB30+AC30</f>
        <v>265</v>
      </c>
      <c r="AE30" s="30"/>
      <c r="AF30" s="30">
        <f>313+53+8</f>
        <v>374</v>
      </c>
      <c r="AG30" s="30">
        <f>+AE30+AF30</f>
        <v>374</v>
      </c>
    </row>
    <row r="31" spans="1:33" ht="12.9" customHeight="1">
      <c r="A31" s="3" t="s">
        <v>76</v>
      </c>
      <c r="B31" s="1007" t="s">
        <v>75</v>
      </c>
      <c r="C31" s="1007"/>
      <c r="D31" s="62">
        <f t="shared" si="1"/>
        <v>5659</v>
      </c>
      <c r="E31" s="62">
        <f t="shared" si="6"/>
        <v>9066</v>
      </c>
      <c r="F31" s="62">
        <f t="shared" si="7"/>
        <v>14725</v>
      </c>
      <c r="G31" s="30">
        <f>+'[4]5.g. mell. Egyéb tev.'!$I31</f>
        <v>1299</v>
      </c>
      <c r="H31" s="30">
        <f>57+9009</f>
        <v>9066</v>
      </c>
      <c r="I31" s="30">
        <f>+G31+H31</f>
        <v>10365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>
        <v>270</v>
      </c>
      <c r="Z31" s="30"/>
      <c r="AA31" s="30">
        <f t="shared" si="23"/>
        <v>270</v>
      </c>
      <c r="AB31" s="30"/>
      <c r="AC31" s="30"/>
      <c r="AD31" s="30">
        <f t="shared" si="24"/>
        <v>0</v>
      </c>
      <c r="AE31" s="30">
        <v>4090</v>
      </c>
      <c r="AF31" s="30"/>
      <c r="AG31" s="30">
        <f>+AE31+AF31</f>
        <v>4090</v>
      </c>
    </row>
    <row r="32" spans="1:33" ht="12.9" customHeight="1">
      <c r="A32" s="3" t="s">
        <v>77</v>
      </c>
      <c r="B32" s="1007" t="s">
        <v>155</v>
      </c>
      <c r="C32" s="1007"/>
      <c r="D32" s="62">
        <f t="shared" si="1"/>
        <v>0</v>
      </c>
      <c r="E32" s="62">
        <f t="shared" si="6"/>
        <v>0</v>
      </c>
      <c r="F32" s="62">
        <f t="shared" si="7"/>
        <v>0</v>
      </c>
      <c r="G32" s="30">
        <f>+'[4]5.g. mell. Egyéb tev.'!$I32</f>
        <v>0</v>
      </c>
      <c r="H32" s="30"/>
      <c r="I32" s="30">
        <f t="shared" ref="I32:I34" si="25">+G32+H32</f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ht="12.9" customHeight="1">
      <c r="A33" s="3" t="s">
        <v>78</v>
      </c>
      <c r="B33" s="1007" t="s">
        <v>154</v>
      </c>
      <c r="C33" s="1007"/>
      <c r="D33" s="62">
        <f t="shared" si="1"/>
        <v>0</v>
      </c>
      <c r="E33" s="62">
        <f t="shared" si="6"/>
        <v>0</v>
      </c>
      <c r="F33" s="62">
        <f t="shared" si="7"/>
        <v>0</v>
      </c>
      <c r="G33" s="30">
        <f>+'[4]5.g. mell. Egyéb tev.'!$I33</f>
        <v>0</v>
      </c>
      <c r="H33" s="30"/>
      <c r="I33" s="30">
        <f t="shared" si="25"/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ht="12.9" customHeight="1">
      <c r="A34" s="3" t="s">
        <v>80</v>
      </c>
      <c r="B34" s="1007" t="s">
        <v>79</v>
      </c>
      <c r="C34" s="1007"/>
      <c r="D34" s="62">
        <f t="shared" si="1"/>
        <v>3844</v>
      </c>
      <c r="E34" s="62">
        <f t="shared" si="6"/>
        <v>0</v>
      </c>
      <c r="F34" s="62">
        <f t="shared" si="7"/>
        <v>3844</v>
      </c>
      <c r="G34" s="30">
        <f>+'[4]5.g. mell. Egyéb tev.'!$I34</f>
        <v>3810</v>
      </c>
      <c r="H34" s="30"/>
      <c r="I34" s="30">
        <f t="shared" si="25"/>
        <v>3810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>
        <f>+'[4]5.g. mell. Egyéb tev.'!X34</f>
        <v>34</v>
      </c>
      <c r="W34" s="30"/>
      <c r="X34" s="30">
        <f>+V34+W34</f>
        <v>34</v>
      </c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s="47" customFormat="1" ht="12.9" customHeight="1">
      <c r="A35" s="5" t="s">
        <v>81</v>
      </c>
      <c r="B35" s="1006" t="s">
        <v>153</v>
      </c>
      <c r="C35" s="1006"/>
      <c r="D35" s="62">
        <f t="shared" si="1"/>
        <v>23165</v>
      </c>
      <c r="E35" s="62">
        <f t="shared" si="6"/>
        <v>10066</v>
      </c>
      <c r="F35" s="62">
        <f t="shared" si="7"/>
        <v>33231</v>
      </c>
      <c r="G35" s="62">
        <f t="shared" ref="G35:M35" si="26">SUM(G30:G34)</f>
        <v>6655</v>
      </c>
      <c r="H35" s="62">
        <f t="shared" si="26"/>
        <v>9316</v>
      </c>
      <c r="I35" s="62">
        <f t="shared" si="26"/>
        <v>15971</v>
      </c>
      <c r="J35" s="62">
        <f t="shared" si="26"/>
        <v>7341</v>
      </c>
      <c r="K35" s="62">
        <f t="shared" si="26"/>
        <v>0</v>
      </c>
      <c r="L35" s="62">
        <f t="shared" si="26"/>
        <v>7341</v>
      </c>
      <c r="M35" s="62">
        <f t="shared" si="26"/>
        <v>3348</v>
      </c>
      <c r="N35" s="62">
        <f>SUM(N30:N34)</f>
        <v>0</v>
      </c>
      <c r="O35" s="62">
        <f>SUM(O30:O34)</f>
        <v>3348</v>
      </c>
      <c r="P35" s="62">
        <f t="shared" ref="P35:AA35" si="27">SUM(P30:P34)</f>
        <v>268</v>
      </c>
      <c r="Q35" s="62">
        <f t="shared" si="27"/>
        <v>106</v>
      </c>
      <c r="R35" s="62">
        <f t="shared" si="27"/>
        <v>374</v>
      </c>
      <c r="S35" s="62">
        <f t="shared" si="27"/>
        <v>236</v>
      </c>
      <c r="T35" s="62">
        <f t="shared" si="27"/>
        <v>0</v>
      </c>
      <c r="U35" s="62">
        <f t="shared" si="27"/>
        <v>236</v>
      </c>
      <c r="V35" s="62">
        <f t="shared" si="27"/>
        <v>34</v>
      </c>
      <c r="W35" s="62">
        <f t="shared" si="27"/>
        <v>5</v>
      </c>
      <c r="X35" s="62">
        <f t="shared" si="27"/>
        <v>39</v>
      </c>
      <c r="Y35" s="62">
        <f t="shared" si="27"/>
        <v>1193</v>
      </c>
      <c r="Z35" s="62">
        <f t="shared" si="27"/>
        <v>0</v>
      </c>
      <c r="AA35" s="62">
        <f t="shared" si="27"/>
        <v>1193</v>
      </c>
      <c r="AB35" s="62">
        <f t="shared" ref="AB35:AD35" si="28">SUM(AB30:AB34)</f>
        <v>0</v>
      </c>
      <c r="AC35" s="62">
        <f t="shared" si="28"/>
        <v>265</v>
      </c>
      <c r="AD35" s="62">
        <f t="shared" si="28"/>
        <v>265</v>
      </c>
      <c r="AE35" s="62">
        <f>SUM(AE30:AE34)</f>
        <v>4090</v>
      </c>
      <c r="AF35" s="62">
        <f>SUM(AF30:AF34)</f>
        <v>374</v>
      </c>
      <c r="AG35" s="62">
        <f>SUM(AG30:AG34)</f>
        <v>4464</v>
      </c>
    </row>
    <row r="36" spans="1:33" s="47" customFormat="1" ht="12.9" customHeight="1">
      <c r="A36" s="6" t="s">
        <v>82</v>
      </c>
      <c r="B36" s="1003" t="s">
        <v>152</v>
      </c>
      <c r="C36" s="1003"/>
      <c r="D36" s="62">
        <f t="shared" si="1"/>
        <v>78801</v>
      </c>
      <c r="E36" s="62">
        <f t="shared" si="6"/>
        <v>16945</v>
      </c>
      <c r="F36" s="62">
        <f t="shared" si="7"/>
        <v>95746</v>
      </c>
      <c r="G36" s="59">
        <f>+G35+G29+G26+G18+G15</f>
        <v>16164</v>
      </c>
      <c r="H36" s="59">
        <f t="shared" ref="H36:AG36" si="29">+H35+H29+H26+H18+H15</f>
        <v>10450</v>
      </c>
      <c r="I36" s="59">
        <f t="shared" si="29"/>
        <v>26614</v>
      </c>
      <c r="J36" s="59">
        <f t="shared" si="29"/>
        <v>34529</v>
      </c>
      <c r="K36" s="59">
        <f t="shared" si="29"/>
        <v>0</v>
      </c>
      <c r="L36" s="59">
        <f t="shared" si="29"/>
        <v>34529</v>
      </c>
      <c r="M36" s="59">
        <f t="shared" si="29"/>
        <v>15745</v>
      </c>
      <c r="N36" s="59">
        <f t="shared" si="29"/>
        <v>0</v>
      </c>
      <c r="O36" s="59">
        <f t="shared" si="29"/>
        <v>15745</v>
      </c>
      <c r="P36" s="59">
        <f t="shared" si="29"/>
        <v>1260</v>
      </c>
      <c r="Q36" s="59">
        <f t="shared" si="29"/>
        <v>497</v>
      </c>
      <c r="R36" s="59">
        <f t="shared" si="29"/>
        <v>1757</v>
      </c>
      <c r="S36" s="59">
        <f t="shared" si="29"/>
        <v>1111</v>
      </c>
      <c r="T36" s="59">
        <f t="shared" si="29"/>
        <v>0</v>
      </c>
      <c r="U36" s="59">
        <f t="shared" si="29"/>
        <v>1111</v>
      </c>
      <c r="V36" s="59">
        <f t="shared" si="29"/>
        <v>34</v>
      </c>
      <c r="W36" s="59">
        <f t="shared" si="29"/>
        <v>24</v>
      </c>
      <c r="X36" s="59">
        <f t="shared" si="29"/>
        <v>58</v>
      </c>
      <c r="Y36" s="59">
        <f t="shared" si="29"/>
        <v>5767</v>
      </c>
      <c r="Z36" s="59">
        <f t="shared" si="29"/>
        <v>0</v>
      </c>
      <c r="AA36" s="59">
        <f t="shared" si="29"/>
        <v>5767</v>
      </c>
      <c r="AB36" s="59">
        <f t="shared" ref="AB36:AD36" si="30">+AB35+AB29+AB26+AB18+AB15</f>
        <v>0</v>
      </c>
      <c r="AC36" s="59">
        <f t="shared" si="30"/>
        <v>1248</v>
      </c>
      <c r="AD36" s="59">
        <f t="shared" si="30"/>
        <v>1248</v>
      </c>
      <c r="AE36" s="59">
        <f t="shared" si="29"/>
        <v>4191</v>
      </c>
      <c r="AF36" s="59">
        <f t="shared" si="29"/>
        <v>4726</v>
      </c>
      <c r="AG36" s="59">
        <f t="shared" si="29"/>
        <v>8917</v>
      </c>
    </row>
    <row r="37" spans="1:33" ht="8.25" customHeight="1">
      <c r="A37" s="7"/>
      <c r="B37" s="8"/>
      <c r="C37" s="8"/>
      <c r="D37" s="62"/>
      <c r="E37" s="62"/>
      <c r="F37" s="62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2.9" hidden="1" customHeight="1">
      <c r="A38" s="12" t="s">
        <v>84</v>
      </c>
      <c r="B38" s="1004" t="s">
        <v>83</v>
      </c>
      <c r="C38" s="1004"/>
      <c r="D38" s="62"/>
      <c r="E38" s="62"/>
      <c r="F38" s="6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1:33" ht="12.9" hidden="1" customHeight="1">
      <c r="A39" s="13" t="s">
        <v>85</v>
      </c>
      <c r="B39" s="1020" t="s">
        <v>137</v>
      </c>
      <c r="C39" s="1020"/>
      <c r="D39" s="62"/>
      <c r="E39" s="62"/>
      <c r="F39" s="6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s="43" customFormat="1" ht="12.9" hidden="1" customHeight="1">
      <c r="A40" s="35" t="s">
        <v>85</v>
      </c>
      <c r="B40" s="42"/>
      <c r="C40" s="38" t="s">
        <v>139</v>
      </c>
      <c r="D40" s="62"/>
      <c r="E40" s="62"/>
      <c r="F40" s="62"/>
      <c r="G40" s="61"/>
      <c r="H40" s="56"/>
      <c r="I40" s="56"/>
      <c r="J40" s="61"/>
      <c r="K40" s="61"/>
      <c r="L40" s="61"/>
      <c r="M40" s="61"/>
      <c r="N40" s="61"/>
      <c r="O40" s="61"/>
      <c r="P40" s="61"/>
      <c r="Q40" s="56"/>
      <c r="R40" s="56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ht="12.9" hidden="1" customHeight="1">
      <c r="A41" s="3" t="s">
        <v>87</v>
      </c>
      <c r="B41" s="1004" t="s">
        <v>86</v>
      </c>
      <c r="C41" s="1004"/>
      <c r="D41" s="62"/>
      <c r="E41" s="62"/>
      <c r="F41" s="6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12.9" hidden="1" customHeight="1">
      <c r="A42" s="13" t="s">
        <v>88</v>
      </c>
      <c r="B42" s="1020" t="s">
        <v>140</v>
      </c>
      <c r="C42" s="1020"/>
      <c r="D42" s="62"/>
      <c r="E42" s="62"/>
      <c r="F42" s="6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s="43" customFormat="1" ht="12.9" hidden="1" customHeight="1">
      <c r="A43" s="35" t="s">
        <v>88</v>
      </c>
      <c r="B43" s="42"/>
      <c r="C43" s="36" t="s">
        <v>89</v>
      </c>
      <c r="D43" s="62"/>
      <c r="E43" s="62"/>
      <c r="F43" s="62"/>
      <c r="G43" s="61"/>
      <c r="H43" s="56"/>
      <c r="I43" s="56"/>
      <c r="J43" s="61"/>
      <c r="K43" s="61"/>
      <c r="L43" s="61"/>
      <c r="M43" s="61"/>
      <c r="N43" s="61"/>
      <c r="O43" s="61"/>
      <c r="P43" s="61"/>
      <c r="Q43" s="56"/>
      <c r="R43" s="56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1:33" s="43" customFormat="1" ht="12.9" hidden="1" customHeight="1">
      <c r="A44" s="35" t="s">
        <v>88</v>
      </c>
      <c r="B44" s="42"/>
      <c r="C44" s="38" t="s">
        <v>141</v>
      </c>
      <c r="D44" s="62"/>
      <c r="E44" s="62"/>
      <c r="F44" s="62"/>
      <c r="G44" s="61"/>
      <c r="H44" s="56"/>
      <c r="I44" s="56"/>
      <c r="J44" s="61"/>
      <c r="K44" s="61"/>
      <c r="L44" s="61"/>
      <c r="M44" s="61"/>
      <c r="N44" s="61"/>
      <c r="O44" s="61"/>
      <c r="P44" s="61"/>
      <c r="Q44" s="56"/>
      <c r="R44" s="56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spans="1:33" ht="12.9" hidden="1" customHeight="1">
      <c r="A45" s="13" t="s">
        <v>90</v>
      </c>
      <c r="B45" s="1058" t="s">
        <v>142</v>
      </c>
      <c r="C45" s="1058"/>
      <c r="D45" s="62"/>
      <c r="E45" s="62"/>
      <c r="F45" s="6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s="43" customFormat="1" ht="12.9" hidden="1" customHeight="1">
      <c r="A46" s="39" t="s">
        <v>90</v>
      </c>
      <c r="B46" s="42"/>
      <c r="C46" s="38" t="s">
        <v>143</v>
      </c>
      <c r="D46" s="62"/>
      <c r="E46" s="62"/>
      <c r="F46" s="6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</row>
    <row r="47" spans="1:33" ht="12.9" hidden="1" customHeight="1">
      <c r="A47" s="13" t="s">
        <v>91</v>
      </c>
      <c r="B47" s="1002" t="s">
        <v>144</v>
      </c>
      <c r="C47" s="1002"/>
      <c r="D47" s="62"/>
      <c r="E47" s="62"/>
      <c r="F47" s="6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43" customFormat="1" ht="12.9" hidden="1" customHeight="1">
      <c r="A48" s="39" t="s">
        <v>91</v>
      </c>
      <c r="B48" s="42"/>
      <c r="C48" s="38" t="s">
        <v>145</v>
      </c>
      <c r="D48" s="62"/>
      <c r="E48" s="62"/>
      <c r="F48" s="62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</row>
    <row r="49" spans="1:33" ht="12.9" hidden="1" customHeight="1">
      <c r="A49" s="3" t="s">
        <v>92</v>
      </c>
      <c r="B49" s="1002" t="s">
        <v>146</v>
      </c>
      <c r="C49" s="1002"/>
      <c r="D49" s="62"/>
      <c r="E49" s="62"/>
      <c r="F49" s="6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s="43" customFormat="1" ht="12.9" hidden="1" customHeight="1">
      <c r="A50" s="39" t="s">
        <v>92</v>
      </c>
      <c r="B50" s="42"/>
      <c r="C50" s="38" t="s">
        <v>93</v>
      </c>
      <c r="D50" s="62"/>
      <c r="E50" s="62"/>
      <c r="F50" s="62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</row>
    <row r="51" spans="1:33" ht="12.9" hidden="1" customHeight="1">
      <c r="A51" s="13" t="s">
        <v>94</v>
      </c>
      <c r="B51" s="1059" t="s">
        <v>147</v>
      </c>
      <c r="C51" s="1002"/>
      <c r="D51" s="62"/>
      <c r="E51" s="62"/>
      <c r="F51" s="6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s="43" customFormat="1" ht="12.9" hidden="1" customHeight="1">
      <c r="A52" s="35" t="s">
        <v>94</v>
      </c>
      <c r="B52" s="42"/>
      <c r="C52" s="38" t="s">
        <v>148</v>
      </c>
      <c r="D52" s="62"/>
      <c r="E52" s="62"/>
      <c r="F52" s="6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</row>
    <row r="53" spans="1:33" s="43" customFormat="1" ht="12.9" hidden="1" customHeight="1">
      <c r="A53" s="35" t="s">
        <v>94</v>
      </c>
      <c r="B53" s="42"/>
      <c r="C53" s="38" t="s">
        <v>138</v>
      </c>
      <c r="D53" s="62"/>
      <c r="E53" s="62"/>
      <c r="F53" s="62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</row>
    <row r="54" spans="1:33" s="43" customFormat="1" ht="12.9" hidden="1" customHeight="1">
      <c r="A54" s="40" t="s">
        <v>94</v>
      </c>
      <c r="B54" s="42"/>
      <c r="C54" s="38" t="s">
        <v>149</v>
      </c>
      <c r="D54" s="62"/>
      <c r="E54" s="62"/>
      <c r="F54" s="62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</row>
    <row r="55" spans="1:33" s="43" customFormat="1" ht="12.9" hidden="1" customHeight="1">
      <c r="A55" s="35" t="s">
        <v>94</v>
      </c>
      <c r="B55" s="42"/>
      <c r="C55" s="38" t="s">
        <v>150</v>
      </c>
      <c r="D55" s="62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</row>
    <row r="56" spans="1:33" s="47" customFormat="1" ht="12.9" hidden="1" customHeight="1">
      <c r="A56" s="6" t="s">
        <v>95</v>
      </c>
      <c r="B56" s="1060" t="s">
        <v>151</v>
      </c>
      <c r="C56" s="10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7.5" customHeight="1">
      <c r="A57" s="7"/>
      <c r="B57" s="1018"/>
      <c r="C57" s="1018"/>
      <c r="D57" s="62"/>
      <c r="E57" s="62"/>
      <c r="F57" s="62"/>
      <c r="G57" s="345"/>
      <c r="H57" s="345"/>
      <c r="I57" s="345"/>
      <c r="J57" s="345"/>
      <c r="K57" s="345"/>
      <c r="L57" s="345"/>
      <c r="M57" s="345"/>
      <c r="N57" s="345"/>
      <c r="O57" s="345"/>
      <c r="P57" s="31"/>
      <c r="Q57" s="31"/>
      <c r="R57" s="32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2.9" customHeight="1">
      <c r="A58" s="12" t="s">
        <v>97</v>
      </c>
      <c r="B58" s="1002" t="s">
        <v>96</v>
      </c>
      <c r="C58" s="1002"/>
      <c r="D58" s="62">
        <f t="shared" ref="D58:D71" si="31">+G58+M58+P58+S58+V58+AE58+J58+Y58+AB58</f>
        <v>5347</v>
      </c>
      <c r="E58" s="62">
        <f t="shared" ref="E58:E71" si="32">+H58+N58+Q58+T58+W58+AF58+K58+Z58+AC58</f>
        <v>521</v>
      </c>
      <c r="F58" s="62">
        <f t="shared" ref="F58:F71" si="33">+I58+O58+R58+U58+X58+AG58+L58+AA58+AD58</f>
        <v>5868</v>
      </c>
      <c r="G58" s="30">
        <f>+'[4]5.g. mell. Egyéb tev.'!$I58</f>
        <v>0</v>
      </c>
      <c r="H58" s="30"/>
      <c r="I58" s="30"/>
      <c r="J58" s="30"/>
      <c r="K58" s="30"/>
      <c r="L58" s="30"/>
      <c r="M58" s="30"/>
      <c r="N58" s="30"/>
      <c r="O58" s="30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0">
        <f>+'[4]5.g. mell. Egyéb tev.'!AD58</f>
        <v>5347</v>
      </c>
      <c r="AF58" s="33">
        <v>521</v>
      </c>
      <c r="AG58" s="30">
        <f t="shared" ref="AG58:AG62" si="34">+AE58+AF58</f>
        <v>5868</v>
      </c>
    </row>
    <row r="59" spans="1:33" ht="12.9" customHeight="1">
      <c r="A59" s="3" t="s">
        <v>99</v>
      </c>
      <c r="B59" s="1002" t="s">
        <v>98</v>
      </c>
      <c r="C59" s="1002"/>
      <c r="D59" s="62">
        <f t="shared" si="31"/>
        <v>0</v>
      </c>
      <c r="E59" s="62">
        <f t="shared" si="32"/>
        <v>0</v>
      </c>
      <c r="F59" s="62">
        <f t="shared" si="33"/>
        <v>0</v>
      </c>
      <c r="G59" s="30">
        <f>+'[4]5.g. mell. Egyéb tev.'!$I59</f>
        <v>0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3"/>
      <c r="Z59" s="33"/>
      <c r="AA59" s="33"/>
      <c r="AB59" s="33"/>
      <c r="AC59" s="33"/>
      <c r="AD59" s="33"/>
      <c r="AE59" s="33"/>
      <c r="AF59" s="33"/>
      <c r="AG59" s="30">
        <f t="shared" si="34"/>
        <v>0</v>
      </c>
    </row>
    <row r="60" spans="1:33" ht="12.9" customHeight="1">
      <c r="A60" s="3" t="s">
        <v>102</v>
      </c>
      <c r="B60" s="1002" t="s">
        <v>166</v>
      </c>
      <c r="C60" s="1002"/>
      <c r="D60" s="62">
        <f t="shared" si="31"/>
        <v>0</v>
      </c>
      <c r="E60" s="62">
        <f t="shared" si="32"/>
        <v>0</v>
      </c>
      <c r="F60" s="62">
        <f t="shared" si="33"/>
        <v>0</v>
      </c>
      <c r="G60" s="30">
        <f>+'[4]5.g. mell. Egyéb tev.'!$I60</f>
        <v>0</v>
      </c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3"/>
      <c r="Z60" s="33"/>
      <c r="AA60" s="33"/>
      <c r="AB60" s="33"/>
      <c r="AC60" s="33"/>
      <c r="AD60" s="33"/>
      <c r="AE60" s="33"/>
      <c r="AF60" s="33"/>
      <c r="AG60" s="30">
        <f t="shared" si="34"/>
        <v>0</v>
      </c>
    </row>
    <row r="61" spans="1:33" ht="12.9" customHeight="1">
      <c r="A61" s="3" t="s">
        <v>104</v>
      </c>
      <c r="B61" s="1002" t="s">
        <v>103</v>
      </c>
      <c r="C61" s="1002"/>
      <c r="D61" s="62">
        <f t="shared" si="31"/>
        <v>0</v>
      </c>
      <c r="E61" s="62">
        <f t="shared" si="32"/>
        <v>2500</v>
      </c>
      <c r="F61" s="62">
        <f t="shared" si="33"/>
        <v>2500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3"/>
      <c r="Z61" s="33"/>
      <c r="AA61" s="33"/>
      <c r="AB61" s="33"/>
      <c r="AC61" s="33"/>
      <c r="AD61" s="33"/>
      <c r="AE61" s="33"/>
      <c r="AF61" s="33">
        <v>2500</v>
      </c>
      <c r="AG61" s="30">
        <f t="shared" si="34"/>
        <v>2500</v>
      </c>
    </row>
    <row r="62" spans="1:33" ht="12.9" customHeight="1">
      <c r="A62" s="3" t="s">
        <v>106</v>
      </c>
      <c r="B62" s="1002" t="s">
        <v>165</v>
      </c>
      <c r="C62" s="1002"/>
      <c r="D62" s="62">
        <f t="shared" si="31"/>
        <v>0</v>
      </c>
      <c r="E62" s="62">
        <f t="shared" si="32"/>
        <v>0</v>
      </c>
      <c r="F62" s="62">
        <f t="shared" si="33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3"/>
      <c r="Z62" s="33"/>
      <c r="AA62" s="33"/>
      <c r="AB62" s="33"/>
      <c r="AC62" s="33"/>
      <c r="AD62" s="33"/>
      <c r="AE62" s="33"/>
      <c r="AF62" s="33"/>
      <c r="AG62" s="30">
        <f t="shared" si="34"/>
        <v>0</v>
      </c>
    </row>
    <row r="63" spans="1:33" ht="12.9" customHeight="1">
      <c r="A63" s="3" t="s">
        <v>108</v>
      </c>
      <c r="B63" s="1007" t="s">
        <v>107</v>
      </c>
      <c r="C63" s="1007"/>
      <c r="D63" s="62">
        <f t="shared" si="31"/>
        <v>349666</v>
      </c>
      <c r="E63" s="62">
        <f t="shared" si="32"/>
        <v>-144937</v>
      </c>
      <c r="F63" s="62">
        <f t="shared" si="33"/>
        <v>204729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3"/>
      <c r="Z63" s="33"/>
      <c r="AA63" s="33"/>
      <c r="AB63" s="33"/>
      <c r="AC63" s="33"/>
      <c r="AD63" s="33"/>
      <c r="AE63" s="33">
        <f>SUM(AE64:AE70)</f>
        <v>349666</v>
      </c>
      <c r="AF63" s="33">
        <f t="shared" ref="AF63:AG63" si="35">SUM(AF64:AF70)</f>
        <v>-144937</v>
      </c>
      <c r="AG63" s="33">
        <f t="shared" si="35"/>
        <v>204729</v>
      </c>
    </row>
    <row r="64" spans="1:33" ht="12.9" customHeight="1">
      <c r="A64" s="475"/>
      <c r="B64" s="474"/>
      <c r="C64" s="632" t="s">
        <v>706</v>
      </c>
      <c r="D64" s="30">
        <f t="shared" si="31"/>
        <v>9084</v>
      </c>
      <c r="E64" s="30">
        <f t="shared" si="32"/>
        <v>-6522</v>
      </c>
      <c r="F64" s="30">
        <f t="shared" si="33"/>
        <v>2562</v>
      </c>
      <c r="G64" s="476"/>
      <c r="H64" s="476"/>
      <c r="I64" s="476"/>
      <c r="J64" s="476"/>
      <c r="K64" s="476"/>
      <c r="L64" s="476"/>
      <c r="M64" s="476"/>
      <c r="N64" s="476"/>
      <c r="O64" s="476"/>
      <c r="P64" s="476"/>
      <c r="Q64" s="476"/>
      <c r="R64" s="476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30">
        <f>+'[4]5.g. mell. Egyéb tev.'!AD64</f>
        <v>9084</v>
      </c>
      <c r="AF64" s="30">
        <v>-6522</v>
      </c>
      <c r="AG64" s="30">
        <f>+AE64+AF64</f>
        <v>2562</v>
      </c>
    </row>
    <row r="65" spans="1:33" ht="12.9" customHeight="1">
      <c r="A65" s="475"/>
      <c r="B65" s="632"/>
      <c r="C65" s="632" t="s">
        <v>707</v>
      </c>
      <c r="D65" s="30">
        <f t="shared" si="31"/>
        <v>14526</v>
      </c>
      <c r="E65" s="30">
        <f t="shared" si="32"/>
        <v>-175</v>
      </c>
      <c r="F65" s="30">
        <f t="shared" si="33"/>
        <v>14351</v>
      </c>
      <c r="G65" s="476"/>
      <c r="H65" s="476"/>
      <c r="I65" s="476"/>
      <c r="J65" s="476"/>
      <c r="K65" s="476"/>
      <c r="L65" s="476"/>
      <c r="M65" s="476"/>
      <c r="N65" s="476"/>
      <c r="O65" s="476"/>
      <c r="P65" s="476"/>
      <c r="Q65" s="476"/>
      <c r="R65" s="476"/>
      <c r="S65" s="476"/>
      <c r="T65" s="476"/>
      <c r="U65" s="476"/>
      <c r="V65" s="476"/>
      <c r="W65" s="476"/>
      <c r="X65" s="476"/>
      <c r="Y65" s="476"/>
      <c r="Z65" s="476"/>
      <c r="AA65" s="476"/>
      <c r="AB65" s="476"/>
      <c r="AC65" s="476"/>
      <c r="AD65" s="476"/>
      <c r="AE65" s="30">
        <f>+'[4]5.g. mell. Egyéb tev.'!AD65</f>
        <v>14526</v>
      </c>
      <c r="AF65" s="476">
        <v>-175</v>
      </c>
      <c r="AG65" s="30">
        <f t="shared" ref="AG65:AG70" si="36">+AE65+AF65</f>
        <v>14351</v>
      </c>
    </row>
    <row r="66" spans="1:33" ht="12.9" customHeight="1">
      <c r="A66" s="475"/>
      <c r="B66" s="626"/>
      <c r="C66" s="634" t="s">
        <v>719</v>
      </c>
      <c r="D66" s="30">
        <f t="shared" si="31"/>
        <v>79749</v>
      </c>
      <c r="E66" s="30">
        <f t="shared" si="32"/>
        <v>70158</v>
      </c>
      <c r="F66" s="30">
        <f t="shared" si="33"/>
        <v>149907</v>
      </c>
      <c r="G66" s="476"/>
      <c r="H66" s="476"/>
      <c r="I66" s="476"/>
      <c r="J66" s="476"/>
      <c r="K66" s="476"/>
      <c r="L66" s="476"/>
      <c r="M66" s="476"/>
      <c r="N66" s="476"/>
      <c r="O66" s="476"/>
      <c r="P66" s="476"/>
      <c r="Q66" s="476"/>
      <c r="R66" s="476"/>
      <c r="S66" s="476"/>
      <c r="T66" s="476"/>
      <c r="U66" s="476"/>
      <c r="V66" s="476"/>
      <c r="W66" s="476"/>
      <c r="X66" s="476"/>
      <c r="Y66" s="476"/>
      <c r="Z66" s="476"/>
      <c r="AA66" s="476"/>
      <c r="AB66" s="476"/>
      <c r="AC66" s="476"/>
      <c r="AD66" s="476"/>
      <c r="AE66" s="30">
        <f>+'[4]5.g. mell. Egyéb tev.'!AD66</f>
        <v>79749</v>
      </c>
      <c r="AF66" s="476">
        <f>-415-276-12682-140+28605-2198-43146-2627-944-48899+156331-3451</f>
        <v>70158</v>
      </c>
      <c r="AG66" s="30">
        <f t="shared" si="36"/>
        <v>149907</v>
      </c>
    </row>
    <row r="67" spans="1:33" ht="12.9" customHeight="1">
      <c r="A67" s="475"/>
      <c r="B67" s="631"/>
      <c r="C67" s="632" t="s">
        <v>710</v>
      </c>
      <c r="D67" s="30">
        <f t="shared" si="31"/>
        <v>156331</v>
      </c>
      <c r="E67" s="30">
        <f t="shared" si="32"/>
        <v>-156331</v>
      </c>
      <c r="F67" s="30">
        <f t="shared" si="33"/>
        <v>0</v>
      </c>
      <c r="G67" s="476"/>
      <c r="H67" s="476"/>
      <c r="I67" s="476"/>
      <c r="J67" s="476"/>
      <c r="K67" s="476"/>
      <c r="L67" s="476"/>
      <c r="M67" s="476"/>
      <c r="N67" s="476"/>
      <c r="O67" s="476"/>
      <c r="P67" s="476"/>
      <c r="Q67" s="476"/>
      <c r="R67" s="476"/>
      <c r="S67" s="476"/>
      <c r="T67" s="476"/>
      <c r="U67" s="476"/>
      <c r="V67" s="476"/>
      <c r="W67" s="476"/>
      <c r="X67" s="476"/>
      <c r="Y67" s="476"/>
      <c r="Z67" s="476"/>
      <c r="AA67" s="476"/>
      <c r="AB67" s="476"/>
      <c r="AC67" s="476"/>
      <c r="AD67" s="476"/>
      <c r="AE67" s="30">
        <f>+'[4]5.g. mell. Egyéb tev.'!AD67</f>
        <v>156331</v>
      </c>
      <c r="AF67" s="476">
        <v>-156331</v>
      </c>
      <c r="AG67" s="30">
        <f t="shared" si="36"/>
        <v>0</v>
      </c>
    </row>
    <row r="68" spans="1:33" ht="12.9" customHeight="1">
      <c r="A68" s="475"/>
      <c r="B68" s="626"/>
      <c r="C68" s="632" t="s">
        <v>708</v>
      </c>
      <c r="D68" s="30">
        <f t="shared" si="31"/>
        <v>18000</v>
      </c>
      <c r="E68" s="30">
        <f t="shared" si="32"/>
        <v>0</v>
      </c>
      <c r="F68" s="30">
        <f t="shared" si="33"/>
        <v>18000</v>
      </c>
      <c r="G68" s="476"/>
      <c r="H68" s="476"/>
      <c r="I68" s="476"/>
      <c r="J68" s="476"/>
      <c r="K68" s="476"/>
      <c r="L68" s="476"/>
      <c r="M68" s="476"/>
      <c r="N68" s="476"/>
      <c r="O68" s="476"/>
      <c r="P68" s="476"/>
      <c r="Q68" s="476"/>
      <c r="R68" s="476"/>
      <c r="S68" s="476"/>
      <c r="T68" s="476"/>
      <c r="U68" s="476"/>
      <c r="V68" s="476"/>
      <c r="W68" s="476"/>
      <c r="X68" s="476"/>
      <c r="Y68" s="476"/>
      <c r="Z68" s="476"/>
      <c r="AA68" s="476"/>
      <c r="AB68" s="476"/>
      <c r="AC68" s="476"/>
      <c r="AD68" s="476"/>
      <c r="AE68" s="30">
        <f>+'[4]5.g. mell. Egyéb tev.'!AD68</f>
        <v>18000</v>
      </c>
      <c r="AF68" s="476"/>
      <c r="AG68" s="30">
        <f t="shared" si="36"/>
        <v>18000</v>
      </c>
    </row>
    <row r="69" spans="1:33" ht="12.9" customHeight="1">
      <c r="A69" s="475"/>
      <c r="B69" s="474"/>
      <c r="C69" s="632" t="s">
        <v>709</v>
      </c>
      <c r="D69" s="30">
        <f t="shared" si="31"/>
        <v>17984</v>
      </c>
      <c r="E69" s="30">
        <f t="shared" si="32"/>
        <v>-17577</v>
      </c>
      <c r="F69" s="30">
        <f t="shared" si="33"/>
        <v>407</v>
      </c>
      <c r="G69" s="476"/>
      <c r="H69" s="476"/>
      <c r="I69" s="476"/>
      <c r="J69" s="476"/>
      <c r="K69" s="476"/>
      <c r="L69" s="476"/>
      <c r="M69" s="476"/>
      <c r="N69" s="476"/>
      <c r="O69" s="476"/>
      <c r="P69" s="476"/>
      <c r="Q69" s="476"/>
      <c r="R69" s="476"/>
      <c r="S69" s="476"/>
      <c r="T69" s="476"/>
      <c r="U69" s="476"/>
      <c r="V69" s="476"/>
      <c r="W69" s="476"/>
      <c r="X69" s="476"/>
      <c r="Y69" s="476"/>
      <c r="Z69" s="476"/>
      <c r="AA69" s="476"/>
      <c r="AB69" s="476"/>
      <c r="AC69" s="476"/>
      <c r="AD69" s="476"/>
      <c r="AE69" s="30">
        <f>+'[4]5.g. mell. Egyéb tev.'!AD69</f>
        <v>17984</v>
      </c>
      <c r="AF69" s="476">
        <f>-146-1-60-100+1-7904+12639-1504-20502</f>
        <v>-17577</v>
      </c>
      <c r="AG69" s="30">
        <f t="shared" si="36"/>
        <v>407</v>
      </c>
    </row>
    <row r="70" spans="1:33" ht="12.9" customHeight="1">
      <c r="A70" s="475"/>
      <c r="B70" s="626"/>
      <c r="C70" s="626" t="s">
        <v>681</v>
      </c>
      <c r="D70" s="30">
        <f t="shared" si="31"/>
        <v>53992</v>
      </c>
      <c r="E70" s="30">
        <f t="shared" si="32"/>
        <v>-34490</v>
      </c>
      <c r="F70" s="30">
        <f t="shared" si="33"/>
        <v>19502</v>
      </c>
      <c r="G70" s="476"/>
      <c r="H70" s="476"/>
      <c r="I70" s="476"/>
      <c r="J70" s="476"/>
      <c r="K70" s="476"/>
      <c r="L70" s="476"/>
      <c r="M70" s="476"/>
      <c r="N70" s="476"/>
      <c r="O70" s="476"/>
      <c r="P70" s="476"/>
      <c r="Q70" s="476"/>
      <c r="R70" s="476"/>
      <c r="S70" s="476"/>
      <c r="T70" s="476"/>
      <c r="U70" s="476"/>
      <c r="V70" s="476"/>
      <c r="W70" s="476"/>
      <c r="X70" s="476"/>
      <c r="Y70" s="476"/>
      <c r="Z70" s="476"/>
      <c r="AA70" s="476"/>
      <c r="AB70" s="476"/>
      <c r="AC70" s="476"/>
      <c r="AD70" s="476"/>
      <c r="AE70" s="30">
        <f>+'[4]5.g. mell. Egyéb tev.'!AD70</f>
        <v>53992</v>
      </c>
      <c r="AF70" s="476">
        <f>-3150-31340</f>
        <v>-34490</v>
      </c>
      <c r="AG70" s="30">
        <f t="shared" si="36"/>
        <v>19502</v>
      </c>
    </row>
    <row r="71" spans="1:33" s="47" customFormat="1" ht="12.9" customHeight="1">
      <c r="A71" s="6" t="s">
        <v>109</v>
      </c>
      <c r="B71" s="1003" t="s">
        <v>164</v>
      </c>
      <c r="C71" s="1003"/>
      <c r="D71" s="62">
        <f t="shared" si="31"/>
        <v>355013</v>
      </c>
      <c r="E71" s="62">
        <f t="shared" si="32"/>
        <v>-141916</v>
      </c>
      <c r="F71" s="62">
        <f t="shared" si="33"/>
        <v>213097</v>
      </c>
      <c r="G71" s="59">
        <f>+G63+G62+G61+G60+G59+G58</f>
        <v>0</v>
      </c>
      <c r="H71" s="59">
        <f>+H63+H62+H61+H60+H59+H58</f>
        <v>0</v>
      </c>
      <c r="I71" s="59">
        <f>+I63+I62+I61+I60+I59+I58</f>
        <v>0</v>
      </c>
      <c r="J71" s="59"/>
      <c r="K71" s="59"/>
      <c r="L71" s="59"/>
      <c r="M71" s="59"/>
      <c r="N71" s="59"/>
      <c r="O71" s="59"/>
      <c r="P71" s="59">
        <f t="shared" ref="P71:X71" si="37">+P63+P62+P61+P60+P59+P58</f>
        <v>0</v>
      </c>
      <c r="Q71" s="59">
        <f t="shared" si="37"/>
        <v>0</v>
      </c>
      <c r="R71" s="59">
        <f t="shared" si="37"/>
        <v>0</v>
      </c>
      <c r="S71" s="59">
        <f t="shared" si="37"/>
        <v>0</v>
      </c>
      <c r="T71" s="59">
        <f t="shared" si="37"/>
        <v>0</v>
      </c>
      <c r="U71" s="59">
        <f t="shared" si="37"/>
        <v>0</v>
      </c>
      <c r="V71" s="59">
        <f t="shared" si="37"/>
        <v>0</v>
      </c>
      <c r="W71" s="59">
        <f t="shared" si="37"/>
        <v>0</v>
      </c>
      <c r="X71" s="59">
        <f t="shared" si="37"/>
        <v>0</v>
      </c>
      <c r="Y71" s="59">
        <f t="shared" ref="Y71:AA71" si="38">+Y63+Y62+Y61+Y60+Y59+Y58</f>
        <v>0</v>
      </c>
      <c r="Z71" s="59">
        <f t="shared" si="38"/>
        <v>0</v>
      </c>
      <c r="AA71" s="59">
        <f t="shared" si="38"/>
        <v>0</v>
      </c>
      <c r="AB71" s="59">
        <f t="shared" ref="AB71:AD71" si="39">+AB63+AB62+AB61+AB60+AB59+AB58</f>
        <v>0</v>
      </c>
      <c r="AC71" s="59">
        <f t="shared" si="39"/>
        <v>0</v>
      </c>
      <c r="AD71" s="59">
        <f t="shared" si="39"/>
        <v>0</v>
      </c>
      <c r="AE71" s="59">
        <f>+AE63+AE62+AE61+AE60+AE59+AE58</f>
        <v>355013</v>
      </c>
      <c r="AF71" s="59">
        <f>+AF63+AF62+AF61+AF60+AF59+AF58</f>
        <v>-141916</v>
      </c>
      <c r="AG71" s="59">
        <f>+AG63+AG62+AG61+AG60+AG59+AG58</f>
        <v>213097</v>
      </c>
    </row>
    <row r="72" spans="1:33" ht="11.25" customHeight="1">
      <c r="A72" s="7"/>
      <c r="B72" s="8"/>
      <c r="C72" s="8"/>
      <c r="D72" s="62"/>
      <c r="E72" s="62"/>
      <c r="F72" s="62"/>
      <c r="G72" s="31"/>
      <c r="H72" s="31"/>
      <c r="I72" s="32"/>
      <c r="J72" s="31"/>
      <c r="K72" s="31"/>
      <c r="L72" s="31"/>
      <c r="M72" s="31"/>
      <c r="N72" s="31"/>
      <c r="O72" s="31"/>
      <c r="P72" s="31"/>
      <c r="Q72" s="31"/>
      <c r="R72" s="32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2.9" hidden="1" customHeight="1">
      <c r="A73" s="12" t="s">
        <v>111</v>
      </c>
      <c r="B73" s="1004" t="s">
        <v>110</v>
      </c>
      <c r="C73" s="1004"/>
      <c r="D73" s="62"/>
      <c r="E73" s="62"/>
      <c r="F73" s="6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1:33" ht="12.9" hidden="1" customHeight="1">
      <c r="A74" s="3" t="s">
        <v>112</v>
      </c>
      <c r="B74" s="1007" t="s">
        <v>163</v>
      </c>
      <c r="C74" s="1007"/>
      <c r="D74" s="62"/>
      <c r="E74" s="62"/>
      <c r="F74" s="6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s="43" customFormat="1" ht="12.9" hidden="1" customHeight="1">
      <c r="A75" s="39" t="s">
        <v>112</v>
      </c>
      <c r="B75" s="42"/>
      <c r="C75" s="45" t="s">
        <v>113</v>
      </c>
      <c r="D75" s="62"/>
      <c r="E75" s="62"/>
      <c r="F75" s="62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</row>
    <row r="76" spans="1:33" ht="12.9" hidden="1" customHeight="1">
      <c r="A76" s="3" t="s">
        <v>115</v>
      </c>
      <c r="B76" s="1007" t="s">
        <v>114</v>
      </c>
      <c r="C76" s="1007"/>
      <c r="D76" s="62"/>
      <c r="E76" s="62"/>
      <c r="F76" s="6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ht="12.9" hidden="1" customHeight="1">
      <c r="A77" s="3" t="s">
        <v>117</v>
      </c>
      <c r="B77" s="1007" t="s">
        <v>116</v>
      </c>
      <c r="C77" s="1007"/>
      <c r="D77" s="62"/>
      <c r="E77" s="62"/>
      <c r="F77" s="6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ht="12.9" hidden="1" customHeight="1">
      <c r="A78" s="3" t="s">
        <v>119</v>
      </c>
      <c r="B78" s="1007" t="s">
        <v>118</v>
      </c>
      <c r="C78" s="1007"/>
      <c r="D78" s="62"/>
      <c r="E78" s="62"/>
      <c r="F78" s="6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ht="12.9" hidden="1" customHeight="1">
      <c r="A79" s="3" t="s">
        <v>121</v>
      </c>
      <c r="B79" s="1007" t="s">
        <v>120</v>
      </c>
      <c r="C79" s="1007"/>
      <c r="D79" s="62"/>
      <c r="E79" s="62"/>
      <c r="F79" s="6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ht="12.9" hidden="1" customHeight="1">
      <c r="A80" s="3" t="s">
        <v>123</v>
      </c>
      <c r="B80" s="1007" t="s">
        <v>122</v>
      </c>
      <c r="C80" s="1007"/>
      <c r="D80" s="62"/>
      <c r="E80" s="62"/>
      <c r="F80" s="6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s="47" customFormat="1" ht="12.9" hidden="1" customHeight="1">
      <c r="A81" s="6" t="s">
        <v>124</v>
      </c>
      <c r="B81" s="1003" t="s">
        <v>162</v>
      </c>
      <c r="C81" s="1003"/>
      <c r="D81" s="62"/>
      <c r="E81" s="62"/>
      <c r="F81" s="62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1:33" ht="5.25" hidden="1" customHeight="1">
      <c r="A82" s="7"/>
      <c r="B82" s="8"/>
      <c r="C82" s="8"/>
      <c r="D82" s="62"/>
      <c r="E82" s="62"/>
      <c r="F82" s="62"/>
      <c r="G82" s="31"/>
      <c r="H82" s="31"/>
      <c r="I82" s="32"/>
      <c r="J82" s="31"/>
      <c r="K82" s="31"/>
      <c r="L82" s="31"/>
      <c r="M82" s="31"/>
      <c r="N82" s="31"/>
      <c r="O82" s="31"/>
      <c r="P82" s="31"/>
      <c r="Q82" s="31"/>
      <c r="R82" s="3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2.9" hidden="1" customHeight="1">
      <c r="A83" s="3" t="s">
        <v>126</v>
      </c>
      <c r="B83" s="1007" t="s">
        <v>125</v>
      </c>
      <c r="C83" s="1007"/>
      <c r="D83" s="62"/>
      <c r="E83" s="62"/>
      <c r="F83" s="6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ht="12.9" hidden="1" customHeight="1">
      <c r="A84" s="3" t="s">
        <v>128</v>
      </c>
      <c r="B84" s="1007" t="s">
        <v>127</v>
      </c>
      <c r="C84" s="1007"/>
      <c r="D84" s="62"/>
      <c r="E84" s="62"/>
      <c r="F84" s="62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ht="12.9" hidden="1" customHeight="1">
      <c r="A85" s="3" t="s">
        <v>130</v>
      </c>
      <c r="B85" s="1007" t="s">
        <v>129</v>
      </c>
      <c r="C85" s="1007"/>
      <c r="D85" s="62"/>
      <c r="E85" s="62"/>
      <c r="F85" s="62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ht="12.9" hidden="1" customHeight="1">
      <c r="A86" s="3" t="s">
        <v>132</v>
      </c>
      <c r="B86" s="1007" t="s">
        <v>131</v>
      </c>
      <c r="C86" s="1007"/>
      <c r="D86" s="62"/>
      <c r="E86" s="62"/>
      <c r="F86" s="62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s="47" customFormat="1" ht="12.9" hidden="1" customHeight="1">
      <c r="A87" s="6" t="s">
        <v>133</v>
      </c>
      <c r="B87" s="1003" t="s">
        <v>161</v>
      </c>
      <c r="C87" s="1003"/>
      <c r="D87" s="62"/>
      <c r="E87" s="62"/>
      <c r="F87" s="62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1:33" ht="12.9" hidden="1" customHeight="1">
      <c r="A88" s="7"/>
      <c r="B88" s="8"/>
      <c r="C88" s="8"/>
      <c r="D88" s="62"/>
      <c r="E88" s="62"/>
      <c r="F88" s="62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2.9" hidden="1" customHeight="1">
      <c r="A89" s="202" t="s">
        <v>391</v>
      </c>
      <c r="B89" s="1004" t="s">
        <v>392</v>
      </c>
      <c r="C89" s="1004"/>
      <c r="D89" s="62"/>
      <c r="E89" s="62"/>
      <c r="F89" s="62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</row>
    <row r="90" spans="1:33" ht="12.9" hidden="1" customHeight="1">
      <c r="A90" s="202" t="s">
        <v>407</v>
      </c>
      <c r="B90" s="1010" t="s">
        <v>408</v>
      </c>
      <c r="C90" s="1011"/>
      <c r="D90" s="62"/>
      <c r="E90" s="62"/>
      <c r="F90" s="62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</row>
    <row r="91" spans="1:33" ht="12.9" hidden="1" customHeight="1">
      <c r="A91" s="12" t="s">
        <v>134</v>
      </c>
      <c r="B91" s="1004" t="s">
        <v>160</v>
      </c>
      <c r="C91" s="1004"/>
      <c r="D91" s="62"/>
      <c r="E91" s="62"/>
      <c r="F91" s="6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</row>
    <row r="92" spans="1:33" s="47" customFormat="1" ht="12.9" hidden="1" customHeight="1">
      <c r="A92" s="15" t="s">
        <v>135</v>
      </c>
      <c r="B92" s="1008" t="s">
        <v>159</v>
      </c>
      <c r="C92" s="1008"/>
      <c r="D92" s="62"/>
      <c r="E92" s="62"/>
      <c r="F92" s="62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spans="1:33" ht="12.9" customHeight="1">
      <c r="A93" s="7"/>
      <c r="B93" s="16"/>
      <c r="C93" s="16"/>
      <c r="D93" s="62"/>
      <c r="E93" s="62"/>
      <c r="F93" s="62"/>
      <c r="G93" s="31"/>
      <c r="H93" s="31"/>
      <c r="I93" s="32"/>
      <c r="J93" s="31"/>
      <c r="K93" s="31"/>
      <c r="L93" s="31"/>
      <c r="M93" s="31"/>
      <c r="N93" s="31"/>
      <c r="O93" s="31"/>
      <c r="P93" s="31"/>
      <c r="Q93" s="31"/>
      <c r="R93" s="3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s="47" customFormat="1" ht="12.9" customHeight="1">
      <c r="A94" s="17" t="s">
        <v>136</v>
      </c>
      <c r="B94" s="1019" t="s">
        <v>158</v>
      </c>
      <c r="C94" s="1019"/>
      <c r="D94" s="62">
        <f t="shared" ref="D94" si="40">+G94+M94+P94+S94+V94+AE94+J94+Y94+AB94</f>
        <v>447969</v>
      </c>
      <c r="E94" s="62">
        <f t="shared" ref="E94" si="41">+H94+N94+Q94+T94+W94+AF94+K94+Z94+AC94</f>
        <v>-124646</v>
      </c>
      <c r="F94" s="62">
        <f t="shared" ref="F94" si="42">+I94+O94+R94+U94+X94+AG94+L94+AA94+AD94</f>
        <v>323323</v>
      </c>
      <c r="G94" s="58">
        <f t="shared" ref="G94:AG94" si="43">+G92+G87+G81+G71+G56+G36+G10+G8</f>
        <v>16164</v>
      </c>
      <c r="H94" s="58">
        <f t="shared" si="43"/>
        <v>10450</v>
      </c>
      <c r="I94" s="58">
        <f t="shared" si="43"/>
        <v>26614</v>
      </c>
      <c r="J94" s="58">
        <f t="shared" si="43"/>
        <v>34529</v>
      </c>
      <c r="K94" s="58">
        <f t="shared" si="43"/>
        <v>0</v>
      </c>
      <c r="L94" s="58">
        <f t="shared" si="43"/>
        <v>34529</v>
      </c>
      <c r="M94" s="58">
        <f t="shared" si="43"/>
        <v>15745</v>
      </c>
      <c r="N94" s="58">
        <f t="shared" si="43"/>
        <v>0</v>
      </c>
      <c r="O94" s="58">
        <f t="shared" si="43"/>
        <v>15745</v>
      </c>
      <c r="P94" s="58">
        <f t="shared" si="43"/>
        <v>1260</v>
      </c>
      <c r="Q94" s="58">
        <f t="shared" si="43"/>
        <v>497</v>
      </c>
      <c r="R94" s="58">
        <f t="shared" si="43"/>
        <v>1757</v>
      </c>
      <c r="S94" s="58">
        <f t="shared" si="43"/>
        <v>1111</v>
      </c>
      <c r="T94" s="58">
        <f t="shared" si="43"/>
        <v>0</v>
      </c>
      <c r="U94" s="58">
        <f t="shared" si="43"/>
        <v>1111</v>
      </c>
      <c r="V94" s="58">
        <f t="shared" si="43"/>
        <v>14189</v>
      </c>
      <c r="W94" s="58">
        <f t="shared" si="43"/>
        <v>0</v>
      </c>
      <c r="X94" s="58">
        <f t="shared" si="43"/>
        <v>14189</v>
      </c>
      <c r="Y94" s="58">
        <f t="shared" si="43"/>
        <v>5767</v>
      </c>
      <c r="Z94" s="58">
        <f t="shared" si="43"/>
        <v>0</v>
      </c>
      <c r="AA94" s="58">
        <f t="shared" si="43"/>
        <v>5767</v>
      </c>
      <c r="AB94" s="58">
        <f t="shared" ref="AB94:AD94" si="44">+AB92+AB87+AB81+AB71+AB56+AB36+AB10+AB8</f>
        <v>0</v>
      </c>
      <c r="AC94" s="58">
        <f t="shared" si="44"/>
        <v>1248</v>
      </c>
      <c r="AD94" s="58">
        <f t="shared" si="44"/>
        <v>1248</v>
      </c>
      <c r="AE94" s="58">
        <f t="shared" si="43"/>
        <v>359204</v>
      </c>
      <c r="AF94" s="58">
        <f t="shared" si="43"/>
        <v>-136841</v>
      </c>
      <c r="AG94" s="58">
        <f t="shared" si="43"/>
        <v>222363</v>
      </c>
    </row>
    <row r="95" spans="1:33" ht="12.9" customHeight="1">
      <c r="D95" s="62"/>
      <c r="E95" s="62"/>
      <c r="F95" s="62"/>
    </row>
    <row r="96" spans="1:33" ht="12.9" customHeight="1">
      <c r="A96" s="72" t="s">
        <v>266</v>
      </c>
      <c r="B96" s="1052" t="s">
        <v>265</v>
      </c>
      <c r="C96" s="1053"/>
      <c r="D96" s="62">
        <f t="shared" ref="D96:D102" si="45">+G96+M96+P96+S96+V96+AE96+J96+Y96+AB96</f>
        <v>6673</v>
      </c>
      <c r="E96" s="62">
        <f t="shared" ref="E96:E102" si="46">+H96+N96+Q96+T96+W96+AF96+K96+Z96+AC96</f>
        <v>0</v>
      </c>
      <c r="F96" s="62">
        <f t="shared" ref="F96:F102" si="47">+I96+O96+R96+U96+X96+AG96+L96+AA96+AD96</f>
        <v>6673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>
        <v>6673</v>
      </c>
      <c r="AF96" s="20"/>
      <c r="AG96" s="20">
        <f>+AE96+AF96</f>
        <v>6673</v>
      </c>
    </row>
    <row r="97" spans="1:33" ht="12.9" customHeight="1">
      <c r="A97" s="72" t="s">
        <v>384</v>
      </c>
      <c r="B97" s="1052" t="s">
        <v>387</v>
      </c>
      <c r="C97" s="1053"/>
      <c r="D97" s="62">
        <f t="shared" si="45"/>
        <v>0</v>
      </c>
      <c r="E97" s="62">
        <f t="shared" si="46"/>
        <v>0</v>
      </c>
      <c r="F97" s="62">
        <f t="shared" si="47"/>
        <v>0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</row>
    <row r="98" spans="1:33" ht="12.9" customHeight="1">
      <c r="A98" s="72" t="s">
        <v>385</v>
      </c>
      <c r="B98" s="1052" t="s">
        <v>386</v>
      </c>
      <c r="C98" s="1053"/>
      <c r="D98" s="62">
        <f t="shared" si="45"/>
        <v>0</v>
      </c>
      <c r="E98" s="62">
        <f t="shared" si="46"/>
        <v>0</v>
      </c>
      <c r="F98" s="62">
        <f t="shared" si="47"/>
        <v>0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</row>
    <row r="99" spans="1:33" s="47" customFormat="1" ht="12.9" customHeight="1">
      <c r="A99" s="71" t="s">
        <v>268</v>
      </c>
      <c r="B99" s="1056" t="s">
        <v>267</v>
      </c>
      <c r="C99" s="1056"/>
      <c r="D99" s="62">
        <f t="shared" si="45"/>
        <v>6673</v>
      </c>
      <c r="E99" s="62">
        <f t="shared" si="46"/>
        <v>0</v>
      </c>
      <c r="F99" s="62">
        <f t="shared" si="47"/>
        <v>6673</v>
      </c>
      <c r="G99" s="48"/>
      <c r="H99" s="48"/>
      <c r="I99" s="48"/>
      <c r="J99" s="48"/>
      <c r="K99" s="48"/>
      <c r="L99" s="48"/>
      <c r="M99" s="48"/>
      <c r="N99" s="48"/>
      <c r="O99" s="48"/>
      <c r="P99" s="48">
        <f t="shared" ref="P99:AE99" si="48">SUM(P96:P98)</f>
        <v>0</v>
      </c>
      <c r="Q99" s="48">
        <f t="shared" si="48"/>
        <v>0</v>
      </c>
      <c r="R99" s="48">
        <f t="shared" si="48"/>
        <v>0</v>
      </c>
      <c r="S99" s="48">
        <f t="shared" si="48"/>
        <v>0</v>
      </c>
      <c r="T99" s="48">
        <f t="shared" si="48"/>
        <v>0</v>
      </c>
      <c r="U99" s="48">
        <f t="shared" si="48"/>
        <v>0</v>
      </c>
      <c r="V99" s="48">
        <f t="shared" si="48"/>
        <v>0</v>
      </c>
      <c r="W99" s="48">
        <f t="shared" si="48"/>
        <v>0</v>
      </c>
      <c r="X99" s="48">
        <f t="shared" si="48"/>
        <v>0</v>
      </c>
      <c r="Y99" s="48"/>
      <c r="Z99" s="48"/>
      <c r="AA99" s="48"/>
      <c r="AB99" s="48"/>
      <c r="AC99" s="48"/>
      <c r="AD99" s="48"/>
      <c r="AE99" s="48">
        <f t="shared" si="48"/>
        <v>6673</v>
      </c>
      <c r="AF99" s="48">
        <f>SUM(AF96:AF98)</f>
        <v>0</v>
      </c>
      <c r="AG99" s="48">
        <f>SUM(AG96:AG98)</f>
        <v>6673</v>
      </c>
    </row>
    <row r="100" spans="1:33" s="47" customFormat="1" ht="12.9" customHeight="1">
      <c r="A100" s="71" t="s">
        <v>759</v>
      </c>
      <c r="B100" s="1057" t="s">
        <v>760</v>
      </c>
      <c r="C100" s="1057"/>
      <c r="D100" s="62">
        <f t="shared" si="45"/>
        <v>19584</v>
      </c>
      <c r="E100" s="62">
        <f t="shared" si="46"/>
        <v>0</v>
      </c>
      <c r="F100" s="62">
        <f t="shared" si="47"/>
        <v>19584</v>
      </c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62">
        <f>+'[4]5.g. mell. Egyéb tev.'!AD100</f>
        <v>19584</v>
      </c>
      <c r="AF100" s="48"/>
      <c r="AG100" s="48">
        <f>+AE100+AF100</f>
        <v>19584</v>
      </c>
    </row>
    <row r="101" spans="1:33" s="47" customFormat="1" ht="12.9" customHeight="1">
      <c r="A101" s="71" t="s">
        <v>388</v>
      </c>
      <c r="B101" s="1054" t="s">
        <v>389</v>
      </c>
      <c r="C101" s="1055"/>
      <c r="D101" s="62">
        <f t="shared" si="45"/>
        <v>380710</v>
      </c>
      <c r="E101" s="62">
        <f t="shared" si="46"/>
        <v>14655</v>
      </c>
      <c r="F101" s="62">
        <f t="shared" si="47"/>
        <v>395365</v>
      </c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62">
        <f>+'[4]5.g. mell. Egyéb tev.'!AD101</f>
        <v>380710</v>
      </c>
      <c r="AF101" s="48">
        <f>276-46+6521+7904</f>
        <v>14655</v>
      </c>
      <c r="AG101" s="48">
        <f>+AE101+AF101</f>
        <v>395365</v>
      </c>
    </row>
    <row r="102" spans="1:33" s="47" customFormat="1" ht="12.9" customHeight="1">
      <c r="A102" s="71" t="s">
        <v>269</v>
      </c>
      <c r="B102" s="85" t="s">
        <v>275</v>
      </c>
      <c r="C102" s="97"/>
      <c r="D102" s="62">
        <f t="shared" si="45"/>
        <v>406967</v>
      </c>
      <c r="E102" s="62">
        <f t="shared" si="46"/>
        <v>14655</v>
      </c>
      <c r="F102" s="62">
        <f t="shared" si="47"/>
        <v>421622</v>
      </c>
      <c r="G102" s="48"/>
      <c r="H102" s="48"/>
      <c r="I102" s="48"/>
      <c r="J102" s="48"/>
      <c r="K102" s="48"/>
      <c r="L102" s="48"/>
      <c r="M102" s="48"/>
      <c r="N102" s="48"/>
      <c r="O102" s="48"/>
      <c r="P102" s="48">
        <f t="shared" ref="P102:AA102" si="49">+P101+P99</f>
        <v>0</v>
      </c>
      <c r="Q102" s="48">
        <f t="shared" si="49"/>
        <v>0</v>
      </c>
      <c r="R102" s="48">
        <f t="shared" si="49"/>
        <v>0</v>
      </c>
      <c r="S102" s="48">
        <f t="shared" si="49"/>
        <v>0</v>
      </c>
      <c r="T102" s="48">
        <f t="shared" si="49"/>
        <v>0</v>
      </c>
      <c r="U102" s="48">
        <f t="shared" si="49"/>
        <v>0</v>
      </c>
      <c r="V102" s="48">
        <f t="shared" si="49"/>
        <v>0</v>
      </c>
      <c r="W102" s="48">
        <f t="shared" si="49"/>
        <v>0</v>
      </c>
      <c r="X102" s="48">
        <f t="shared" si="49"/>
        <v>0</v>
      </c>
      <c r="Y102" s="48">
        <f t="shared" si="49"/>
        <v>0</v>
      </c>
      <c r="Z102" s="48">
        <f t="shared" si="49"/>
        <v>0</v>
      </c>
      <c r="AA102" s="48">
        <f t="shared" si="49"/>
        <v>0</v>
      </c>
      <c r="AB102" s="48">
        <f t="shared" ref="AB102:AD102" si="50">+AB101+AB99</f>
        <v>0</v>
      </c>
      <c r="AC102" s="48">
        <f t="shared" si="50"/>
        <v>0</v>
      </c>
      <c r="AD102" s="48">
        <f t="shared" si="50"/>
        <v>0</v>
      </c>
      <c r="AE102" s="48">
        <f>+AE101+AE99+AE100</f>
        <v>406967</v>
      </c>
      <c r="AF102" s="48">
        <f>+AF101+AF99+AF100</f>
        <v>14655</v>
      </c>
      <c r="AG102" s="48">
        <f>+AG101+AG99+AG100</f>
        <v>421622</v>
      </c>
    </row>
  </sheetData>
  <mergeCells count="93"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AB4:AD4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B10:C10"/>
    <mergeCell ref="B12:C12"/>
    <mergeCell ref="J3:L3"/>
    <mergeCell ref="B28:C28"/>
    <mergeCell ref="B96:C96"/>
    <mergeCell ref="B22:C22"/>
    <mergeCell ref="B90:C90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42:C42"/>
    <mergeCell ref="B45:C45"/>
    <mergeCell ref="B47:C47"/>
    <mergeCell ref="B49:C49"/>
    <mergeCell ref="B38:C38"/>
    <mergeCell ref="B87:C87"/>
    <mergeCell ref="B91:C91"/>
    <mergeCell ref="B92:C92"/>
    <mergeCell ref="B77:C77"/>
    <mergeCell ref="B78:C78"/>
    <mergeCell ref="B79:C79"/>
    <mergeCell ref="B80:C80"/>
    <mergeCell ref="B81:C81"/>
    <mergeCell ref="B83:C83"/>
    <mergeCell ref="B84:C84"/>
    <mergeCell ref="B85:C85"/>
    <mergeCell ref="B86:C86"/>
    <mergeCell ref="B26:C26"/>
    <mergeCell ref="B33:C33"/>
    <mergeCell ref="B23:C23"/>
    <mergeCell ref="B76:C76"/>
    <mergeCell ref="B61:C61"/>
    <mergeCell ref="B62:C62"/>
    <mergeCell ref="B63:C63"/>
    <mergeCell ref="B71:C71"/>
    <mergeCell ref="B73:C73"/>
    <mergeCell ref="B74:C74"/>
    <mergeCell ref="B58:C58"/>
    <mergeCell ref="B29:C29"/>
    <mergeCell ref="B30:C30"/>
    <mergeCell ref="B31:C31"/>
    <mergeCell ref="B32:C32"/>
    <mergeCell ref="B41:C41"/>
    <mergeCell ref="B97:C97"/>
    <mergeCell ref="B98:C98"/>
    <mergeCell ref="B101:C101"/>
    <mergeCell ref="B89:C89"/>
    <mergeCell ref="B94:C94"/>
    <mergeCell ref="B99:C99"/>
    <mergeCell ref="B100:C100"/>
  </mergeCells>
  <printOptions horizontalCentered="1"/>
  <pageMargins left="0.41" right="0.31496062992125984" top="0.74803149606299213" bottom="0.15748031496062992" header="0.31496062992125984" footer="0.31496062992125984"/>
  <pageSetup paperSize="9" scale="60" orientation="portrait" r:id="rId1"/>
  <headerFooter>
    <oddHeader>&amp;C&amp;"Times New Roman,Félkövér"&amp;14Martonvásár Város Önkormányzatának kiadásai 2016.
Egyéb tevékenység&amp;R&amp;"-,Félkövér"&amp;12 5.g melléklet&amp;"-,Normál"&amp;11
Adatok E FT-ban</oddHeader>
  </headerFooter>
  <colBreaks count="1" manualBreakCount="1">
    <brk id="15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12"/>
  <sheetViews>
    <sheetView workbookViewId="0">
      <pane xSplit="3" ySplit="3" topLeftCell="D4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32" sqref="N32"/>
    </sheetView>
  </sheetViews>
  <sheetFormatPr defaultColWidth="9.109375" defaultRowHeight="13.2"/>
  <cols>
    <col min="1" max="1" width="7.44140625" style="838" customWidth="1"/>
    <col min="2" max="2" width="9.44140625" style="78" customWidth="1"/>
    <col min="3" max="3" width="32.33203125" style="78" customWidth="1"/>
    <col min="4" max="4" width="9.44140625" style="19" customWidth="1"/>
    <col min="5" max="5" width="7.5546875" style="19" customWidth="1"/>
    <col min="6" max="6" width="7.44140625" style="19" customWidth="1"/>
    <col min="7" max="7" width="9.44140625" style="19" customWidth="1"/>
    <col min="8" max="8" width="6.33203125" style="19" customWidth="1"/>
    <col min="9" max="9" width="7.33203125" style="19" customWidth="1"/>
    <col min="10" max="10" width="8.88671875" style="19" customWidth="1"/>
    <col min="11" max="11" width="6.5546875" style="19" customWidth="1"/>
    <col min="12" max="12" width="7.33203125" style="19" customWidth="1"/>
    <col min="13" max="13" width="8.88671875" style="19" bestFit="1" customWidth="1"/>
    <col min="14" max="15" width="7" style="19" customWidth="1"/>
    <col min="16" max="16384" width="9.109375" style="19"/>
  </cols>
  <sheetData>
    <row r="1" spans="1:27" s="1" customFormat="1" ht="3.75" customHeight="1">
      <c r="A1" s="838"/>
      <c r="B1" s="28"/>
      <c r="C1" s="28"/>
      <c r="M1" s="1017" t="s">
        <v>406</v>
      </c>
      <c r="N1" s="1017"/>
      <c r="O1" s="1017"/>
      <c r="Z1" s="78"/>
      <c r="AA1" s="78"/>
    </row>
    <row r="2" spans="1:27" ht="29.4" customHeight="1">
      <c r="A2" s="1005" t="s">
        <v>0</v>
      </c>
      <c r="B2" s="1080" t="s">
        <v>280</v>
      </c>
      <c r="C2" s="1103"/>
      <c r="D2" s="1071" t="s">
        <v>297</v>
      </c>
      <c r="E2" s="1071"/>
      <c r="F2" s="1071"/>
      <c r="G2" s="1071" t="s">
        <v>289</v>
      </c>
      <c r="H2" s="1071"/>
      <c r="I2" s="1071"/>
      <c r="J2" s="1071" t="s">
        <v>290</v>
      </c>
      <c r="K2" s="1071"/>
      <c r="L2" s="1071"/>
      <c r="M2" s="1071" t="s">
        <v>754</v>
      </c>
      <c r="N2" s="1071"/>
      <c r="O2" s="1071"/>
    </row>
    <row r="3" spans="1:27" ht="26.4" customHeight="1">
      <c r="A3" s="1005"/>
      <c r="B3" s="1082"/>
      <c r="C3" s="1104"/>
      <c r="D3" s="75" t="s">
        <v>747</v>
      </c>
      <c r="E3" s="75" t="s">
        <v>745</v>
      </c>
      <c r="F3" s="75" t="s">
        <v>912</v>
      </c>
      <c r="G3" s="75" t="s">
        <v>747</v>
      </c>
      <c r="H3" s="75" t="s">
        <v>745</v>
      </c>
      <c r="I3" s="75" t="s">
        <v>912</v>
      </c>
      <c r="J3" s="75" t="s">
        <v>747</v>
      </c>
      <c r="K3" s="75" t="s">
        <v>745</v>
      </c>
      <c r="L3" s="75" t="s">
        <v>912</v>
      </c>
      <c r="M3" s="75" t="s">
        <v>747</v>
      </c>
      <c r="N3" s="75" t="s">
        <v>745</v>
      </c>
      <c r="O3" s="75" t="s">
        <v>912</v>
      </c>
    </row>
    <row r="4" spans="1:27">
      <c r="A4" s="80" t="s">
        <v>204</v>
      </c>
      <c r="B4" s="1089" t="s">
        <v>203</v>
      </c>
      <c r="C4" s="1093"/>
      <c r="D4" s="597">
        <f>+G4+J4+M4</f>
        <v>0</v>
      </c>
      <c r="E4" s="597">
        <f t="shared" ref="E4:F19" si="0">+H4+K4+N4</f>
        <v>3000</v>
      </c>
      <c r="F4" s="597">
        <f t="shared" si="0"/>
        <v>3000</v>
      </c>
      <c r="G4" s="112"/>
      <c r="H4" s="112"/>
      <c r="I4" s="112"/>
      <c r="J4" s="112">
        <f>SUM(J5:J14)</f>
        <v>0</v>
      </c>
      <c r="K4" s="112"/>
      <c r="L4" s="112"/>
      <c r="M4" s="112">
        <f>SUM(M5:M14)</f>
        <v>0</v>
      </c>
      <c r="N4" s="112">
        <f t="shared" ref="N4:O4" si="1">SUM(N5:N14)</f>
        <v>3000</v>
      </c>
      <c r="O4" s="112">
        <f t="shared" si="1"/>
        <v>3000</v>
      </c>
    </row>
    <row r="5" spans="1:27" s="43" customFormat="1">
      <c r="A5" s="111"/>
      <c r="B5" s="1087" t="s">
        <v>331</v>
      </c>
      <c r="C5" s="1088"/>
      <c r="D5" s="597">
        <f t="shared" ref="D5:F27" si="2">+G5+J5+M5</f>
        <v>0</v>
      </c>
      <c r="E5" s="597">
        <f t="shared" si="0"/>
        <v>3000</v>
      </c>
      <c r="F5" s="597">
        <f t="shared" si="0"/>
        <v>3000</v>
      </c>
      <c r="G5" s="113"/>
      <c r="H5" s="113"/>
      <c r="I5" s="113"/>
      <c r="J5" s="113"/>
      <c r="K5" s="113"/>
      <c r="L5" s="113"/>
      <c r="M5" s="113"/>
      <c r="N5" s="113">
        <v>3000</v>
      </c>
      <c r="O5" s="110">
        <f>SUM(M5:N5)</f>
        <v>3000</v>
      </c>
    </row>
    <row r="6" spans="1:27" s="43" customFormat="1">
      <c r="A6" s="111"/>
      <c r="B6" s="1087" t="s">
        <v>321</v>
      </c>
      <c r="C6" s="1088"/>
      <c r="D6" s="597">
        <f t="shared" si="2"/>
        <v>0</v>
      </c>
      <c r="E6" s="597">
        <f t="shared" si="0"/>
        <v>0</v>
      </c>
      <c r="F6" s="597">
        <f t="shared" si="0"/>
        <v>0</v>
      </c>
      <c r="G6" s="113"/>
      <c r="H6" s="113"/>
      <c r="I6" s="113"/>
      <c r="J6" s="113"/>
      <c r="K6" s="113"/>
      <c r="L6" s="113"/>
      <c r="M6" s="113"/>
      <c r="N6" s="113"/>
      <c r="O6" s="110"/>
    </row>
    <row r="7" spans="1:27" s="43" customFormat="1">
      <c r="A7" s="111"/>
      <c r="B7" s="1087" t="s">
        <v>322</v>
      </c>
      <c r="C7" s="1088"/>
      <c r="D7" s="597">
        <f t="shared" si="2"/>
        <v>0</v>
      </c>
      <c r="E7" s="597">
        <f t="shared" si="0"/>
        <v>0</v>
      </c>
      <c r="F7" s="597">
        <f t="shared" si="0"/>
        <v>0</v>
      </c>
      <c r="G7" s="113"/>
      <c r="H7" s="113"/>
      <c r="I7" s="113"/>
      <c r="J7" s="113"/>
      <c r="K7" s="113"/>
      <c r="L7" s="113"/>
      <c r="M7" s="113"/>
      <c r="N7" s="113"/>
      <c r="O7" s="110"/>
    </row>
    <row r="8" spans="1:27" s="43" customFormat="1">
      <c r="A8" s="111"/>
      <c r="B8" s="1087" t="s">
        <v>323</v>
      </c>
      <c r="C8" s="1088"/>
      <c r="D8" s="597">
        <f t="shared" si="2"/>
        <v>0</v>
      </c>
      <c r="E8" s="597">
        <f t="shared" si="0"/>
        <v>0</v>
      </c>
      <c r="F8" s="597">
        <f t="shared" si="0"/>
        <v>0</v>
      </c>
      <c r="G8" s="113"/>
      <c r="H8" s="113"/>
      <c r="I8" s="113"/>
      <c r="J8" s="113"/>
      <c r="K8" s="113"/>
      <c r="L8" s="113"/>
      <c r="M8" s="113"/>
      <c r="N8" s="113"/>
      <c r="O8" s="110"/>
    </row>
    <row r="9" spans="1:27" s="43" customFormat="1">
      <c r="A9" s="111"/>
      <c r="B9" s="1087" t="s">
        <v>324</v>
      </c>
      <c r="C9" s="1088"/>
      <c r="D9" s="597">
        <f t="shared" si="2"/>
        <v>0</v>
      </c>
      <c r="E9" s="597">
        <f t="shared" si="0"/>
        <v>0</v>
      </c>
      <c r="F9" s="597">
        <f t="shared" si="0"/>
        <v>0</v>
      </c>
      <c r="G9" s="113"/>
      <c r="H9" s="113"/>
      <c r="I9" s="113"/>
      <c r="J9" s="113"/>
      <c r="K9" s="113"/>
      <c r="L9" s="113"/>
      <c r="M9" s="113"/>
      <c r="N9" s="113"/>
      <c r="O9" s="110"/>
    </row>
    <row r="10" spans="1:27" s="43" customFormat="1">
      <c r="A10" s="111"/>
      <c r="B10" s="1087" t="s">
        <v>325</v>
      </c>
      <c r="C10" s="1088"/>
      <c r="D10" s="597">
        <f t="shared" si="2"/>
        <v>0</v>
      </c>
      <c r="E10" s="597">
        <f t="shared" si="0"/>
        <v>0</v>
      </c>
      <c r="F10" s="597">
        <f t="shared" si="0"/>
        <v>0</v>
      </c>
      <c r="G10" s="113"/>
      <c r="H10" s="113"/>
      <c r="I10" s="113"/>
      <c r="J10" s="113"/>
      <c r="K10" s="113"/>
      <c r="L10" s="113"/>
      <c r="M10" s="113"/>
      <c r="N10" s="113"/>
      <c r="O10" s="110"/>
    </row>
    <row r="11" spans="1:27" s="43" customFormat="1">
      <c r="A11" s="111"/>
      <c r="B11" s="1087" t="s">
        <v>100</v>
      </c>
      <c r="C11" s="1088"/>
      <c r="D11" s="597">
        <f t="shared" si="2"/>
        <v>0</v>
      </c>
      <c r="E11" s="597">
        <f t="shared" si="0"/>
        <v>0</v>
      </c>
      <c r="F11" s="597">
        <f t="shared" si="0"/>
        <v>0</v>
      </c>
      <c r="G11" s="113"/>
      <c r="H11" s="113"/>
      <c r="I11" s="113"/>
      <c r="J11" s="113"/>
      <c r="K11" s="113"/>
      <c r="L11" s="113"/>
      <c r="M11" s="113"/>
      <c r="N11" s="113"/>
      <c r="O11" s="110"/>
    </row>
    <row r="12" spans="1:27" s="43" customFormat="1">
      <c r="A12" s="111"/>
      <c r="B12" s="1087" t="s">
        <v>101</v>
      </c>
      <c r="C12" s="1088"/>
      <c r="D12" s="597">
        <f t="shared" si="2"/>
        <v>0</v>
      </c>
      <c r="E12" s="597">
        <f t="shared" si="0"/>
        <v>0</v>
      </c>
      <c r="F12" s="597">
        <f t="shared" si="0"/>
        <v>0</v>
      </c>
      <c r="G12" s="113"/>
      <c r="H12" s="113"/>
      <c r="I12" s="113"/>
      <c r="J12" s="113"/>
      <c r="K12" s="113"/>
      <c r="L12" s="113"/>
      <c r="M12" s="113"/>
      <c r="N12" s="113"/>
      <c r="O12" s="110"/>
    </row>
    <row r="13" spans="1:27" s="43" customFormat="1">
      <c r="A13" s="111"/>
      <c r="B13" s="1087" t="s">
        <v>326</v>
      </c>
      <c r="C13" s="1088"/>
      <c r="D13" s="597">
        <f t="shared" si="2"/>
        <v>0</v>
      </c>
      <c r="E13" s="597">
        <f t="shared" si="0"/>
        <v>0</v>
      </c>
      <c r="F13" s="597">
        <f t="shared" si="0"/>
        <v>0</v>
      </c>
      <c r="G13" s="113"/>
      <c r="H13" s="113"/>
      <c r="I13" s="113"/>
      <c r="J13" s="113"/>
      <c r="K13" s="113"/>
      <c r="L13" s="113"/>
      <c r="M13" s="113"/>
      <c r="N13" s="113"/>
      <c r="O13" s="110"/>
    </row>
    <row r="14" spans="1:27" s="43" customFormat="1">
      <c r="A14" s="111"/>
      <c r="B14" s="1087" t="s">
        <v>327</v>
      </c>
      <c r="C14" s="1088"/>
      <c r="D14" s="597">
        <f t="shared" si="2"/>
        <v>0</v>
      </c>
      <c r="E14" s="597">
        <f t="shared" si="0"/>
        <v>0</v>
      </c>
      <c r="F14" s="597">
        <f t="shared" si="0"/>
        <v>0</v>
      </c>
      <c r="G14" s="113"/>
      <c r="H14" s="113"/>
      <c r="I14" s="113"/>
      <c r="J14" s="113"/>
      <c r="K14" s="113"/>
      <c r="L14" s="113"/>
      <c r="M14" s="113"/>
      <c r="N14" s="113"/>
      <c r="O14" s="110"/>
    </row>
    <row r="15" spans="1:27" s="47" customFormat="1">
      <c r="A15" s="81" t="s">
        <v>205</v>
      </c>
      <c r="B15" s="1091" t="s">
        <v>423</v>
      </c>
      <c r="C15" s="1092"/>
      <c r="D15" s="243">
        <f t="shared" si="2"/>
        <v>0</v>
      </c>
      <c r="E15" s="243">
        <f t="shared" si="0"/>
        <v>3000</v>
      </c>
      <c r="F15" s="243">
        <f t="shared" si="0"/>
        <v>3000</v>
      </c>
      <c r="G15" s="114"/>
      <c r="H15" s="114"/>
      <c r="I15" s="114"/>
      <c r="J15" s="114">
        <f>+J4</f>
        <v>0</v>
      </c>
      <c r="K15" s="114"/>
      <c r="L15" s="114"/>
      <c r="M15" s="114">
        <f>+M4</f>
        <v>0</v>
      </c>
      <c r="N15" s="114">
        <f t="shared" ref="N15:O15" si="3">+N4</f>
        <v>3000</v>
      </c>
      <c r="O15" s="114">
        <f t="shared" si="3"/>
        <v>3000</v>
      </c>
    </row>
    <row r="16" spans="1:27">
      <c r="A16" s="80" t="s">
        <v>207</v>
      </c>
      <c r="B16" s="1089" t="s">
        <v>206</v>
      </c>
      <c r="C16" s="1093"/>
      <c r="D16" s="597">
        <f t="shared" si="2"/>
        <v>0</v>
      </c>
      <c r="E16" s="597">
        <f t="shared" si="0"/>
        <v>0</v>
      </c>
      <c r="F16" s="597">
        <f t="shared" si="0"/>
        <v>0</v>
      </c>
      <c r="G16" s="112"/>
      <c r="H16" s="112"/>
      <c r="I16" s="112"/>
      <c r="J16" s="112">
        <f>+J19</f>
        <v>0</v>
      </c>
      <c r="K16" s="112"/>
      <c r="L16" s="112"/>
      <c r="M16" s="112">
        <f>+M19</f>
        <v>0</v>
      </c>
      <c r="N16" s="112"/>
      <c r="O16" s="75"/>
    </row>
    <row r="17" spans="1:15" s="43" customFormat="1" ht="12.75" customHeight="1">
      <c r="A17" s="111"/>
      <c r="B17" s="1087" t="s">
        <v>331</v>
      </c>
      <c r="C17" s="1088"/>
      <c r="D17" s="597">
        <f t="shared" si="2"/>
        <v>0</v>
      </c>
      <c r="E17" s="597">
        <f t="shared" si="0"/>
        <v>0</v>
      </c>
      <c r="F17" s="597">
        <f t="shared" si="0"/>
        <v>0</v>
      </c>
      <c r="G17" s="113"/>
      <c r="H17" s="113"/>
      <c r="I17" s="113"/>
      <c r="J17" s="113"/>
      <c r="K17" s="113"/>
      <c r="L17" s="113"/>
      <c r="M17" s="113"/>
      <c r="N17" s="113"/>
      <c r="O17" s="110"/>
    </row>
    <row r="18" spans="1:15" s="43" customFormat="1" ht="12.75" customHeight="1">
      <c r="A18" s="111"/>
      <c r="B18" s="1087" t="s">
        <v>321</v>
      </c>
      <c r="C18" s="1088"/>
      <c r="D18" s="597">
        <f t="shared" si="2"/>
        <v>0</v>
      </c>
      <c r="E18" s="597">
        <f t="shared" si="0"/>
        <v>0</v>
      </c>
      <c r="F18" s="597">
        <f t="shared" si="0"/>
        <v>0</v>
      </c>
      <c r="G18" s="113"/>
      <c r="H18" s="113"/>
      <c r="I18" s="113"/>
      <c r="J18" s="113"/>
      <c r="K18" s="113"/>
      <c r="L18" s="113"/>
      <c r="M18" s="113"/>
      <c r="N18" s="113"/>
      <c r="O18" s="110"/>
    </row>
    <row r="19" spans="1:15" s="43" customFormat="1" ht="12.75" customHeight="1">
      <c r="A19" s="111"/>
      <c r="B19" s="1087" t="s">
        <v>322</v>
      </c>
      <c r="C19" s="1088"/>
      <c r="D19" s="597">
        <f t="shared" si="2"/>
        <v>0</v>
      </c>
      <c r="E19" s="597">
        <f t="shared" si="0"/>
        <v>0</v>
      </c>
      <c r="F19" s="597">
        <f t="shared" si="0"/>
        <v>0</v>
      </c>
      <c r="G19" s="113"/>
      <c r="H19" s="113"/>
      <c r="I19" s="113"/>
      <c r="J19" s="113"/>
      <c r="K19" s="113"/>
      <c r="L19" s="113"/>
      <c r="M19" s="113"/>
      <c r="N19" s="113"/>
      <c r="O19" s="110"/>
    </row>
    <row r="20" spans="1:15" s="43" customFormat="1" ht="12.75" customHeight="1">
      <c r="A20" s="111"/>
      <c r="B20" s="1087" t="s">
        <v>323</v>
      </c>
      <c r="C20" s="1088"/>
      <c r="D20" s="597">
        <f t="shared" si="2"/>
        <v>0</v>
      </c>
      <c r="E20" s="597">
        <f t="shared" si="2"/>
        <v>0</v>
      </c>
      <c r="F20" s="597">
        <f t="shared" si="2"/>
        <v>0</v>
      </c>
      <c r="G20" s="113"/>
      <c r="H20" s="113"/>
      <c r="I20" s="113"/>
      <c r="J20" s="113"/>
      <c r="K20" s="113"/>
      <c r="L20" s="113"/>
      <c r="M20" s="113"/>
      <c r="N20" s="113"/>
      <c r="O20" s="110"/>
    </row>
    <row r="21" spans="1:15" s="43" customFormat="1" ht="12.75" customHeight="1">
      <c r="A21" s="111"/>
      <c r="B21" s="1087" t="s">
        <v>324</v>
      </c>
      <c r="C21" s="1088"/>
      <c r="D21" s="597">
        <f t="shared" si="2"/>
        <v>0</v>
      </c>
      <c r="E21" s="597">
        <f t="shared" si="2"/>
        <v>0</v>
      </c>
      <c r="F21" s="597">
        <f t="shared" si="2"/>
        <v>0</v>
      </c>
      <c r="G21" s="113"/>
      <c r="H21" s="113"/>
      <c r="I21" s="113"/>
      <c r="J21" s="113"/>
      <c r="K21" s="113"/>
      <c r="L21" s="113"/>
      <c r="M21" s="113"/>
      <c r="N21" s="113"/>
      <c r="O21" s="110"/>
    </row>
    <row r="22" spans="1:15" s="43" customFormat="1" ht="12.75" customHeight="1">
      <c r="A22" s="111"/>
      <c r="B22" s="1087" t="s">
        <v>325</v>
      </c>
      <c r="C22" s="1088"/>
      <c r="D22" s="597">
        <f t="shared" si="2"/>
        <v>0</v>
      </c>
      <c r="E22" s="597">
        <f t="shared" si="2"/>
        <v>0</v>
      </c>
      <c r="F22" s="597">
        <f t="shared" si="2"/>
        <v>0</v>
      </c>
      <c r="G22" s="113"/>
      <c r="H22" s="113"/>
      <c r="I22" s="113"/>
      <c r="J22" s="113"/>
      <c r="K22" s="113"/>
      <c r="L22" s="113"/>
      <c r="M22" s="113"/>
      <c r="N22" s="113"/>
      <c r="O22" s="110"/>
    </row>
    <row r="23" spans="1:15" s="43" customFormat="1" ht="12.75" customHeight="1">
      <c r="A23" s="111"/>
      <c r="B23" s="1087" t="s">
        <v>100</v>
      </c>
      <c r="C23" s="1088"/>
      <c r="D23" s="597">
        <f t="shared" si="2"/>
        <v>0</v>
      </c>
      <c r="E23" s="597">
        <f t="shared" si="2"/>
        <v>0</v>
      </c>
      <c r="F23" s="597">
        <f t="shared" si="2"/>
        <v>0</v>
      </c>
      <c r="G23" s="113"/>
      <c r="H23" s="113"/>
      <c r="I23" s="113"/>
      <c r="J23" s="113"/>
      <c r="K23" s="113"/>
      <c r="L23" s="113"/>
      <c r="M23" s="113"/>
      <c r="N23" s="113"/>
      <c r="O23" s="110"/>
    </row>
    <row r="24" spans="1:15" s="43" customFormat="1" ht="12.75" customHeight="1">
      <c r="A24" s="111"/>
      <c r="B24" s="1087" t="s">
        <v>101</v>
      </c>
      <c r="C24" s="1088"/>
      <c r="D24" s="597">
        <f t="shared" si="2"/>
        <v>0</v>
      </c>
      <c r="E24" s="597">
        <f t="shared" si="2"/>
        <v>0</v>
      </c>
      <c r="F24" s="597">
        <f t="shared" si="2"/>
        <v>0</v>
      </c>
      <c r="G24" s="113"/>
      <c r="H24" s="113"/>
      <c r="I24" s="113"/>
      <c r="J24" s="113"/>
      <c r="K24" s="113"/>
      <c r="L24" s="113"/>
      <c r="M24" s="113"/>
      <c r="N24" s="113"/>
      <c r="O24" s="110"/>
    </row>
    <row r="25" spans="1:15" s="43" customFormat="1" ht="12.75" customHeight="1">
      <c r="A25" s="111"/>
      <c r="B25" s="1087" t="s">
        <v>326</v>
      </c>
      <c r="C25" s="1088"/>
      <c r="D25" s="597">
        <f t="shared" si="2"/>
        <v>0</v>
      </c>
      <c r="E25" s="597">
        <f t="shared" si="2"/>
        <v>0</v>
      </c>
      <c r="F25" s="597">
        <f t="shared" si="2"/>
        <v>0</v>
      </c>
      <c r="G25" s="113"/>
      <c r="H25" s="113"/>
      <c r="I25" s="113"/>
      <c r="J25" s="113"/>
      <c r="K25" s="113"/>
      <c r="L25" s="113"/>
      <c r="M25" s="113"/>
      <c r="N25" s="113"/>
      <c r="O25" s="110"/>
    </row>
    <row r="26" spans="1:15" s="43" customFormat="1" ht="12.75" customHeight="1">
      <c r="A26" s="111"/>
      <c r="B26" s="1087" t="s">
        <v>327</v>
      </c>
      <c r="C26" s="1088"/>
      <c r="D26" s="597">
        <f t="shared" si="2"/>
        <v>0</v>
      </c>
      <c r="E26" s="597">
        <f t="shared" si="2"/>
        <v>0</v>
      </c>
      <c r="F26" s="597">
        <f t="shared" si="2"/>
        <v>0</v>
      </c>
      <c r="G26" s="113"/>
      <c r="H26" s="113"/>
      <c r="I26" s="113"/>
      <c r="J26" s="113"/>
      <c r="K26" s="113"/>
      <c r="L26" s="113"/>
      <c r="M26" s="113"/>
      <c r="N26" s="113"/>
      <c r="O26" s="110"/>
    </row>
    <row r="27" spans="1:15" s="47" customFormat="1" ht="13.2" customHeight="1">
      <c r="A27" s="81" t="s">
        <v>208</v>
      </c>
      <c r="B27" s="1091" t="s">
        <v>329</v>
      </c>
      <c r="C27" s="1092"/>
      <c r="D27" s="243">
        <f t="shared" si="2"/>
        <v>0</v>
      </c>
      <c r="E27" s="243">
        <f t="shared" si="2"/>
        <v>0</v>
      </c>
      <c r="F27" s="243">
        <f t="shared" si="2"/>
        <v>0</v>
      </c>
      <c r="G27" s="114"/>
      <c r="H27" s="114"/>
      <c r="I27" s="114"/>
      <c r="J27" s="114">
        <f>+J16</f>
        <v>0</v>
      </c>
      <c r="K27" s="114"/>
      <c r="L27" s="114"/>
      <c r="M27" s="114">
        <f>+M16</f>
        <v>0</v>
      </c>
      <c r="N27" s="114"/>
      <c r="O27" s="833"/>
    </row>
    <row r="28" spans="1:15" s="47" customFormat="1" ht="15" customHeight="1">
      <c r="A28" s="81" t="s">
        <v>233</v>
      </c>
      <c r="B28" s="1054" t="s">
        <v>395</v>
      </c>
      <c r="C28" s="1055"/>
      <c r="D28" s="243">
        <f>+G28+J28+M28</f>
        <v>0</v>
      </c>
      <c r="E28" s="243">
        <f t="shared" ref="E28:F35" si="4">+H28+K28+N28</f>
        <v>0</v>
      </c>
      <c r="F28" s="243">
        <f t="shared" si="4"/>
        <v>0</v>
      </c>
      <c r="G28" s="114"/>
      <c r="H28" s="114"/>
      <c r="I28" s="114"/>
      <c r="J28" s="114"/>
      <c r="K28" s="114"/>
      <c r="L28" s="114"/>
      <c r="M28" s="114"/>
      <c r="N28" s="114"/>
      <c r="O28" s="833"/>
    </row>
    <row r="29" spans="1:15" ht="13.2" customHeight="1">
      <c r="A29" s="80" t="s">
        <v>237</v>
      </c>
      <c r="B29" s="1089" t="s">
        <v>236</v>
      </c>
      <c r="C29" s="1093"/>
      <c r="D29" s="64">
        <f>+G29+J29+M29</f>
        <v>2271</v>
      </c>
      <c r="E29" s="64">
        <f t="shared" si="4"/>
        <v>1512</v>
      </c>
      <c r="F29" s="64">
        <f>+I29+L29+O29</f>
        <v>3783</v>
      </c>
      <c r="G29" s="64">
        <f>+'[4]6. mell. Int.összesen'!I29</f>
        <v>442</v>
      </c>
      <c r="H29" s="64">
        <v>216</v>
      </c>
      <c r="I29" s="30">
        <f>+G29+H29</f>
        <v>658</v>
      </c>
      <c r="J29" s="64">
        <f>+'[4]6. mell. Int.összesen'!$L29</f>
        <v>123</v>
      </c>
      <c r="K29" s="64">
        <v>49</v>
      </c>
      <c r="L29" s="30">
        <f>SUM(J29:K29)</f>
        <v>172</v>
      </c>
      <c r="M29" s="64">
        <f>+'[4]6. mell. Int.összesen'!$O$29</f>
        <v>1706</v>
      </c>
      <c r="N29" s="64">
        <v>1247</v>
      </c>
      <c r="O29" s="30">
        <f>+M29+N29</f>
        <v>2953</v>
      </c>
    </row>
    <row r="30" spans="1:15" ht="13.2" customHeight="1">
      <c r="A30" s="80" t="s">
        <v>239</v>
      </c>
      <c r="B30" s="1089" t="s">
        <v>238</v>
      </c>
      <c r="C30" s="1090"/>
      <c r="D30" s="64">
        <f t="shared" ref="D30:D35" si="5">+G30+J30+M30</f>
        <v>80</v>
      </c>
      <c r="E30" s="64">
        <f t="shared" si="4"/>
        <v>7</v>
      </c>
      <c r="F30" s="64">
        <f>+I30+L30+O30</f>
        <v>87</v>
      </c>
      <c r="G30" s="64">
        <f>+'[4]6. mell. Int.összesen'!I30</f>
        <v>40</v>
      </c>
      <c r="H30" s="64">
        <v>7</v>
      </c>
      <c r="I30" s="30">
        <f>+G30+H30</f>
        <v>47</v>
      </c>
      <c r="J30" s="64"/>
      <c r="K30" s="64"/>
      <c r="L30" s="30"/>
      <c r="M30" s="64">
        <f>+'[4]6. mell. Int.összesen'!$O30</f>
        <v>40</v>
      </c>
      <c r="N30" s="64"/>
      <c r="O30" s="30">
        <f t="shared" ref="O30:O33" si="6">+M30+N30</f>
        <v>40</v>
      </c>
    </row>
    <row r="31" spans="1:15" ht="13.2" customHeight="1">
      <c r="A31" s="80" t="s">
        <v>241</v>
      </c>
      <c r="B31" s="1089" t="s">
        <v>240</v>
      </c>
      <c r="C31" s="1090"/>
      <c r="D31" s="64">
        <f t="shared" si="5"/>
        <v>478</v>
      </c>
      <c r="E31" s="64">
        <f t="shared" si="4"/>
        <v>46</v>
      </c>
      <c r="F31" s="64">
        <f>+I31+L31+O31</f>
        <v>524</v>
      </c>
      <c r="G31" s="64"/>
      <c r="H31" s="64"/>
      <c r="I31" s="30">
        <f t="shared" ref="I31:I35" si="7">+G31+H31</f>
        <v>0</v>
      </c>
      <c r="J31" s="64"/>
      <c r="K31" s="64"/>
      <c r="L31" s="30"/>
      <c r="M31" s="64">
        <f>+'[4]6. mell. Int.összesen'!$O31</f>
        <v>478</v>
      </c>
      <c r="N31" s="64">
        <v>46</v>
      </c>
      <c r="O31" s="30">
        <f t="shared" si="6"/>
        <v>524</v>
      </c>
    </row>
    <row r="32" spans="1:15" ht="13.2" customHeight="1">
      <c r="A32" s="80" t="s">
        <v>245</v>
      </c>
      <c r="B32" s="1052" t="s">
        <v>244</v>
      </c>
      <c r="C32" s="1053"/>
      <c r="D32" s="64">
        <f t="shared" si="5"/>
        <v>349</v>
      </c>
      <c r="E32" s="64">
        <f t="shared" si="4"/>
        <v>88</v>
      </c>
      <c r="F32" s="64">
        <f t="shared" si="4"/>
        <v>437</v>
      </c>
      <c r="G32" s="64"/>
      <c r="H32" s="64"/>
      <c r="I32" s="30">
        <f t="shared" si="7"/>
        <v>0</v>
      </c>
      <c r="J32" s="64"/>
      <c r="K32" s="64"/>
      <c r="L32" s="20"/>
      <c r="M32" s="64">
        <f>+'[4]6. mell. Int.összesen'!$O32</f>
        <v>349</v>
      </c>
      <c r="N32" s="64">
        <v>88</v>
      </c>
      <c r="O32" s="30">
        <f t="shared" si="6"/>
        <v>437</v>
      </c>
    </row>
    <row r="33" spans="1:15" ht="13.2" customHeight="1">
      <c r="A33" s="80" t="s">
        <v>247</v>
      </c>
      <c r="B33" s="1052" t="s">
        <v>246</v>
      </c>
      <c r="C33" s="1053"/>
      <c r="D33" s="64">
        <f t="shared" si="5"/>
        <v>338</v>
      </c>
      <c r="E33" s="64">
        <f t="shared" si="4"/>
        <v>0</v>
      </c>
      <c r="F33" s="64">
        <f t="shared" si="4"/>
        <v>338</v>
      </c>
      <c r="G33" s="64"/>
      <c r="H33" s="64"/>
      <c r="I33" s="30">
        <f t="shared" si="7"/>
        <v>0</v>
      </c>
      <c r="J33" s="64"/>
      <c r="K33" s="64"/>
      <c r="L33" s="20"/>
      <c r="M33" s="64">
        <f>+'[4]6. mell. Int.összesen'!$O33</f>
        <v>338</v>
      </c>
      <c r="N33" s="64"/>
      <c r="O33" s="30">
        <f t="shared" si="6"/>
        <v>338</v>
      </c>
    </row>
    <row r="34" spans="1:15" ht="13.2" customHeight="1">
      <c r="A34" s="80" t="s">
        <v>249</v>
      </c>
      <c r="B34" s="1089" t="s">
        <v>248</v>
      </c>
      <c r="C34" s="1093"/>
      <c r="D34" s="64">
        <f t="shared" si="5"/>
        <v>0</v>
      </c>
      <c r="E34" s="64">
        <f t="shared" si="4"/>
        <v>0</v>
      </c>
      <c r="F34" s="64">
        <f t="shared" si="4"/>
        <v>0</v>
      </c>
      <c r="G34" s="64"/>
      <c r="H34" s="64"/>
      <c r="I34" s="30">
        <f t="shared" si="7"/>
        <v>0</v>
      </c>
      <c r="J34" s="64"/>
      <c r="K34" s="64"/>
      <c r="L34" s="20"/>
      <c r="M34" s="64">
        <f>+'[4]6. mell. Int.összesen'!$O34</f>
        <v>0</v>
      </c>
      <c r="N34" s="64"/>
      <c r="O34" s="20"/>
    </row>
    <row r="35" spans="1:15" ht="13.2" customHeight="1">
      <c r="A35" s="80" t="s">
        <v>713</v>
      </c>
      <c r="B35" s="1089" t="s">
        <v>252</v>
      </c>
      <c r="C35" s="1093"/>
      <c r="D35" s="64">
        <f t="shared" si="5"/>
        <v>0</v>
      </c>
      <c r="E35" s="64">
        <f t="shared" si="4"/>
        <v>458</v>
      </c>
      <c r="F35" s="64">
        <f t="shared" si="4"/>
        <v>458</v>
      </c>
      <c r="G35" s="64"/>
      <c r="H35" s="64">
        <f>448+10</f>
        <v>458</v>
      </c>
      <c r="I35" s="30">
        <f t="shared" si="7"/>
        <v>458</v>
      </c>
      <c r="J35" s="64"/>
      <c r="K35" s="64"/>
      <c r="L35" s="20"/>
      <c r="M35" s="64"/>
      <c r="N35" s="64"/>
      <c r="O35" s="20"/>
    </row>
    <row r="36" spans="1:15" ht="13.2" customHeight="1">
      <c r="A36" s="81" t="s">
        <v>253</v>
      </c>
      <c r="B36" s="1095" t="s">
        <v>278</v>
      </c>
      <c r="C36" s="1095"/>
      <c r="D36" s="73">
        <f>SUM(D29:D35)</f>
        <v>3516</v>
      </c>
      <c r="E36" s="73">
        <f>SUM(E29:E35)</f>
        <v>2111</v>
      </c>
      <c r="F36" s="73">
        <f t="shared" ref="F36" si="8">SUM(F29:F35)</f>
        <v>5627</v>
      </c>
      <c r="G36" s="73">
        <f>SUM(G29:G35)</f>
        <v>482</v>
      </c>
      <c r="H36" s="73">
        <f>SUM(H29:H35)</f>
        <v>681</v>
      </c>
      <c r="I36" s="73">
        <f>SUM(I29:I35)</f>
        <v>1163</v>
      </c>
      <c r="J36" s="73">
        <f>SUM(J29:J35)</f>
        <v>123</v>
      </c>
      <c r="K36" s="73">
        <f t="shared" ref="K36:L36" si="9">SUM(K29:K35)</f>
        <v>49</v>
      </c>
      <c r="L36" s="73">
        <f t="shared" si="9"/>
        <v>172</v>
      </c>
      <c r="M36" s="73">
        <f>SUM(M29:M35)</f>
        <v>2911</v>
      </c>
      <c r="N36" s="73">
        <f>SUM(N29:N35)</f>
        <v>1381</v>
      </c>
      <c r="O36" s="73">
        <f t="shared" ref="O36" si="10">SUM(O29:O35)</f>
        <v>4292</v>
      </c>
    </row>
    <row r="37" spans="1:15" ht="13.2" customHeight="1">
      <c r="A37" s="81" t="s">
        <v>254</v>
      </c>
      <c r="B37" s="1095" t="s">
        <v>277</v>
      </c>
      <c r="C37" s="1095">
        <v>0</v>
      </c>
      <c r="D37" s="73">
        <f>+G37+J37+M37</f>
        <v>0</v>
      </c>
      <c r="E37" s="73">
        <f t="shared" ref="E37:F38" si="11">+H37+K37+N37</f>
        <v>0</v>
      </c>
      <c r="F37" s="73">
        <f t="shared" si="11"/>
        <v>0</v>
      </c>
      <c r="G37" s="73"/>
      <c r="H37" s="73"/>
      <c r="I37" s="48"/>
      <c r="J37" s="73"/>
      <c r="K37" s="73"/>
      <c r="L37" s="48"/>
      <c r="M37" s="73"/>
      <c r="N37" s="73"/>
      <c r="O37" s="48"/>
    </row>
    <row r="38" spans="1:15" ht="13.2" customHeight="1">
      <c r="A38" s="80" t="s">
        <v>256</v>
      </c>
      <c r="B38" s="1102" t="s">
        <v>255</v>
      </c>
      <c r="C38" s="1102">
        <v>42</v>
      </c>
      <c r="D38" s="64">
        <f>+G38+J38+M38</f>
        <v>0</v>
      </c>
      <c r="E38" s="64">
        <f t="shared" si="11"/>
        <v>0</v>
      </c>
      <c r="F38" s="64">
        <f t="shared" si="11"/>
        <v>0</v>
      </c>
      <c r="G38" s="64"/>
      <c r="H38" s="64"/>
      <c r="I38" s="20"/>
      <c r="J38" s="64">
        <v>0</v>
      </c>
      <c r="K38" s="64"/>
      <c r="L38" s="20"/>
      <c r="M38" s="64">
        <v>0</v>
      </c>
      <c r="N38" s="64"/>
      <c r="O38" s="20"/>
    </row>
    <row r="39" spans="1:15" ht="13.2" customHeight="1">
      <c r="A39" s="81" t="s">
        <v>257</v>
      </c>
      <c r="B39" s="1095" t="s">
        <v>276</v>
      </c>
      <c r="C39" s="1095">
        <f>+C38</f>
        <v>42</v>
      </c>
      <c r="D39" s="73">
        <f>SUM(D38)</f>
        <v>0</v>
      </c>
      <c r="E39" s="73">
        <f t="shared" ref="E39:F39" si="12">SUM(E38)</f>
        <v>0</v>
      </c>
      <c r="F39" s="73">
        <f t="shared" si="12"/>
        <v>0</v>
      </c>
      <c r="G39" s="73">
        <f>+G38</f>
        <v>0</v>
      </c>
      <c r="H39" s="73"/>
      <c r="I39" s="48"/>
      <c r="J39" s="73">
        <f>+J38</f>
        <v>0</v>
      </c>
      <c r="K39" s="73"/>
      <c r="L39" s="48"/>
      <c r="M39" s="73">
        <f>+M38</f>
        <v>0</v>
      </c>
      <c r="N39" s="73"/>
      <c r="O39" s="48"/>
    </row>
    <row r="40" spans="1:15" ht="13.2" customHeight="1">
      <c r="A40" s="80" t="s">
        <v>259</v>
      </c>
      <c r="B40" s="1102" t="s">
        <v>258</v>
      </c>
      <c r="C40" s="1102"/>
      <c r="D40" s="64">
        <f>+G40+J40+M40</f>
        <v>0</v>
      </c>
      <c r="E40" s="64">
        <f t="shared" ref="E40:F40" si="13">+H40+K40+N40</f>
        <v>0</v>
      </c>
      <c r="F40" s="64">
        <f t="shared" si="13"/>
        <v>0</v>
      </c>
      <c r="G40" s="64"/>
      <c r="H40" s="64"/>
      <c r="I40" s="20"/>
      <c r="J40" s="64"/>
      <c r="K40" s="64"/>
      <c r="L40" s="20"/>
      <c r="M40" s="64">
        <v>0</v>
      </c>
      <c r="N40" s="64"/>
      <c r="O40" s="20"/>
    </row>
    <row r="41" spans="1:15" ht="13.2" customHeight="1">
      <c r="A41" s="81" t="s">
        <v>260</v>
      </c>
      <c r="B41" s="1095" t="s">
        <v>281</v>
      </c>
      <c r="C41" s="1095"/>
      <c r="D41" s="73">
        <f>+D40</f>
        <v>0</v>
      </c>
      <c r="E41" s="73">
        <f t="shared" ref="E41:F41" si="14">+E40</f>
        <v>0</v>
      </c>
      <c r="F41" s="73">
        <f t="shared" si="14"/>
        <v>0</v>
      </c>
      <c r="G41" s="73">
        <f>+G40</f>
        <v>0</v>
      </c>
      <c r="H41" s="73"/>
      <c r="I41" s="48"/>
      <c r="J41" s="73">
        <f>+J40</f>
        <v>0</v>
      </c>
      <c r="K41" s="73"/>
      <c r="L41" s="48"/>
      <c r="M41" s="73">
        <f>+M40</f>
        <v>0</v>
      </c>
      <c r="N41" s="73"/>
      <c r="O41" s="48"/>
    </row>
    <row r="42" spans="1:15" ht="10.5" customHeight="1">
      <c r="A42" s="81" t="s">
        <v>261</v>
      </c>
      <c r="B42" s="1095" t="s">
        <v>274</v>
      </c>
      <c r="C42" s="1095"/>
      <c r="D42" s="73">
        <f>+D41+D39+D37+D36+D27+D15+D28</f>
        <v>3516</v>
      </c>
      <c r="E42" s="73">
        <f t="shared" ref="E42:F42" si="15">+E41+E39+E37+E36+E27+E15+E28</f>
        <v>5111</v>
      </c>
      <c r="F42" s="73">
        <f t="shared" si="15"/>
        <v>8627</v>
      </c>
      <c r="G42" s="73">
        <f t="shared" ref="G42:O42" si="16">+G41+G39+G37+G36+G27+G15</f>
        <v>482</v>
      </c>
      <c r="H42" s="73">
        <f t="shared" si="16"/>
        <v>681</v>
      </c>
      <c r="I42" s="73">
        <f t="shared" si="16"/>
        <v>1163</v>
      </c>
      <c r="J42" s="73">
        <f t="shared" si="16"/>
        <v>123</v>
      </c>
      <c r="K42" s="73">
        <f t="shared" si="16"/>
        <v>49</v>
      </c>
      <c r="L42" s="73">
        <f t="shared" si="16"/>
        <v>172</v>
      </c>
      <c r="M42" s="73">
        <f t="shared" si="16"/>
        <v>2911</v>
      </c>
      <c r="N42" s="73">
        <f t="shared" si="16"/>
        <v>4381</v>
      </c>
      <c r="O42" s="73">
        <f t="shared" si="16"/>
        <v>7292</v>
      </c>
    </row>
    <row r="43" spans="1:15" ht="11.25" customHeight="1">
      <c r="A43" s="477" t="s">
        <v>271</v>
      </c>
      <c r="B43" s="1096" t="s">
        <v>270</v>
      </c>
      <c r="C43" s="1096"/>
      <c r="D43" s="64">
        <f>+G43+J43+M43</f>
        <v>888</v>
      </c>
      <c r="E43" s="64">
        <f t="shared" ref="E43:F45" si="17">+H43+K43+N43</f>
        <v>0</v>
      </c>
      <c r="F43" s="64">
        <f t="shared" si="17"/>
        <v>888</v>
      </c>
      <c r="G43" s="64">
        <f>+G44+G45</f>
        <v>492</v>
      </c>
      <c r="H43" s="64">
        <f t="shared" ref="H43:O43" si="18">+H44+H45</f>
        <v>0</v>
      </c>
      <c r="I43" s="64">
        <f t="shared" si="18"/>
        <v>492</v>
      </c>
      <c r="J43" s="64">
        <f t="shared" si="18"/>
        <v>58</v>
      </c>
      <c r="K43" s="64">
        <f t="shared" si="18"/>
        <v>0</v>
      </c>
      <c r="L43" s="64">
        <f t="shared" si="18"/>
        <v>58</v>
      </c>
      <c r="M43" s="64">
        <f t="shared" si="18"/>
        <v>338</v>
      </c>
      <c r="N43" s="64">
        <f t="shared" si="18"/>
        <v>0</v>
      </c>
      <c r="O43" s="64">
        <f t="shared" si="18"/>
        <v>338</v>
      </c>
    </row>
    <row r="44" spans="1:15" s="43" customFormat="1" ht="13.2" customHeight="1">
      <c r="A44" s="478"/>
      <c r="B44" s="598"/>
      <c r="C44" s="599" t="s">
        <v>410</v>
      </c>
      <c r="D44" s="235">
        <f>+G44+J44+M44</f>
        <v>888</v>
      </c>
      <c r="E44" s="235">
        <f t="shared" si="17"/>
        <v>0</v>
      </c>
      <c r="F44" s="235">
        <f t="shared" si="17"/>
        <v>888</v>
      </c>
      <c r="G44" s="64">
        <f>+'[4]6. mell. Int.összesen'!I44</f>
        <v>492</v>
      </c>
      <c r="H44" s="235"/>
      <c r="I44" s="235">
        <f>SUM(G44:H44)</f>
        <v>492</v>
      </c>
      <c r="J44" s="64">
        <f>+'[4]6. mell. Int.összesen'!$L44</f>
        <v>58</v>
      </c>
      <c r="K44" s="235"/>
      <c r="L44" s="235">
        <v>58</v>
      </c>
      <c r="M44" s="64">
        <f>+'[4]6. mell. Int.összesen'!$O44</f>
        <v>338</v>
      </c>
      <c r="N44" s="235"/>
      <c r="O44" s="235">
        <f>SUM(M44:N44)</f>
        <v>338</v>
      </c>
    </row>
    <row r="45" spans="1:15" s="43" customFormat="1" ht="13.2" customHeight="1">
      <c r="A45" s="478"/>
      <c r="B45" s="598"/>
      <c r="C45" s="599" t="s">
        <v>411</v>
      </c>
      <c r="D45" s="235">
        <f>+G45+J45+M45</f>
        <v>0</v>
      </c>
      <c r="E45" s="235">
        <f t="shared" si="17"/>
        <v>0</v>
      </c>
      <c r="F45" s="235">
        <f t="shared" si="17"/>
        <v>0</v>
      </c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5" ht="13.2" customHeight="1">
      <c r="A46" s="234" t="s">
        <v>272</v>
      </c>
      <c r="B46" s="1054" t="s">
        <v>335</v>
      </c>
      <c r="C46" s="1055"/>
      <c r="D46" s="73">
        <f>+D43</f>
        <v>888</v>
      </c>
      <c r="E46" s="73">
        <f t="shared" ref="E46:O46" si="19">+E43</f>
        <v>0</v>
      </c>
      <c r="F46" s="73">
        <f t="shared" si="19"/>
        <v>888</v>
      </c>
      <c r="G46" s="73">
        <f t="shared" si="19"/>
        <v>492</v>
      </c>
      <c r="H46" s="73">
        <f t="shared" si="19"/>
        <v>0</v>
      </c>
      <c r="I46" s="73">
        <f t="shared" si="19"/>
        <v>492</v>
      </c>
      <c r="J46" s="73">
        <f t="shared" si="19"/>
        <v>58</v>
      </c>
      <c r="K46" s="73">
        <f t="shared" si="19"/>
        <v>0</v>
      </c>
      <c r="L46" s="73">
        <f t="shared" si="19"/>
        <v>58</v>
      </c>
      <c r="M46" s="73">
        <f t="shared" si="19"/>
        <v>338</v>
      </c>
      <c r="N46" s="73">
        <f t="shared" si="19"/>
        <v>0</v>
      </c>
      <c r="O46" s="73">
        <f t="shared" si="19"/>
        <v>338</v>
      </c>
    </row>
    <row r="47" spans="1:15">
      <c r="A47" s="80" t="s">
        <v>282</v>
      </c>
      <c r="B47" s="1097" t="s">
        <v>283</v>
      </c>
      <c r="C47" s="1097"/>
      <c r="D47" s="64">
        <f>+G47+J47+M47</f>
        <v>380710</v>
      </c>
      <c r="E47" s="64">
        <f t="shared" ref="E47:F47" si="20">+H47+K47+N47</f>
        <v>14655</v>
      </c>
      <c r="F47" s="64">
        <f t="shared" si="20"/>
        <v>395365</v>
      </c>
      <c r="G47" s="64">
        <f>+'[4]6. mell. Int.összesen'!I47</f>
        <v>154296</v>
      </c>
      <c r="H47" s="73">
        <f>276+7904</f>
        <v>8180</v>
      </c>
      <c r="I47" s="62">
        <f>+G47+H47</f>
        <v>162476</v>
      </c>
      <c r="J47" s="64">
        <f>+'[4]6. mell. Int.összesen'!$L47</f>
        <v>172511</v>
      </c>
      <c r="K47" s="73"/>
      <c r="L47" s="62">
        <f>+J47+K47</f>
        <v>172511</v>
      </c>
      <c r="M47" s="64">
        <f>+'[4]6. mell. Int.összesen'!$O47</f>
        <v>53903</v>
      </c>
      <c r="N47" s="73">
        <v>6475</v>
      </c>
      <c r="O47" s="62">
        <f>+M47+N47</f>
        <v>60378</v>
      </c>
    </row>
    <row r="48" spans="1:15">
      <c r="A48" s="81" t="s">
        <v>273</v>
      </c>
      <c r="B48" s="1091" t="s">
        <v>284</v>
      </c>
      <c r="C48" s="1092"/>
      <c r="D48" s="73">
        <f>+D47+D46</f>
        <v>381598</v>
      </c>
      <c r="E48" s="73">
        <f t="shared" ref="E48:O48" si="21">+E47+E46</f>
        <v>14655</v>
      </c>
      <c r="F48" s="73">
        <f t="shared" si="21"/>
        <v>396253</v>
      </c>
      <c r="G48" s="73">
        <f t="shared" si="21"/>
        <v>154788</v>
      </c>
      <c r="H48" s="73">
        <f t="shared" si="21"/>
        <v>8180</v>
      </c>
      <c r="I48" s="73">
        <f t="shared" si="21"/>
        <v>162968</v>
      </c>
      <c r="J48" s="73">
        <f t="shared" si="21"/>
        <v>172569</v>
      </c>
      <c r="K48" s="73">
        <f>+K47+K46</f>
        <v>0</v>
      </c>
      <c r="L48" s="73">
        <f t="shared" si="21"/>
        <v>172569</v>
      </c>
      <c r="M48" s="73">
        <f t="shared" si="21"/>
        <v>54241</v>
      </c>
      <c r="N48" s="73">
        <f>+N47+N46</f>
        <v>6475</v>
      </c>
      <c r="O48" s="73">
        <f t="shared" si="21"/>
        <v>60716</v>
      </c>
    </row>
    <row r="49" spans="1:15" ht="33.75" customHeight="1">
      <c r="A49" s="1098" t="s">
        <v>285</v>
      </c>
      <c r="B49" s="1098"/>
      <c r="C49" s="1098"/>
      <c r="D49" s="73">
        <f t="shared" ref="D49:O49" si="22">+D48+D42</f>
        <v>385114</v>
      </c>
      <c r="E49" s="73">
        <f t="shared" si="22"/>
        <v>19766</v>
      </c>
      <c r="F49" s="73">
        <f t="shared" si="22"/>
        <v>404880</v>
      </c>
      <c r="G49" s="73">
        <f t="shared" si="22"/>
        <v>155270</v>
      </c>
      <c r="H49" s="73">
        <f t="shared" si="22"/>
        <v>8861</v>
      </c>
      <c r="I49" s="73">
        <f t="shared" si="22"/>
        <v>164131</v>
      </c>
      <c r="J49" s="73">
        <f t="shared" si="22"/>
        <v>172692</v>
      </c>
      <c r="K49" s="73">
        <f>+K48+K42</f>
        <v>49</v>
      </c>
      <c r="L49" s="73">
        <f t="shared" si="22"/>
        <v>172741</v>
      </c>
      <c r="M49" s="73">
        <f t="shared" si="22"/>
        <v>57152</v>
      </c>
      <c r="N49" s="73">
        <f t="shared" si="22"/>
        <v>10856</v>
      </c>
      <c r="O49" s="73">
        <f t="shared" si="22"/>
        <v>68008</v>
      </c>
    </row>
    <row r="50" spans="1:15" ht="25.5" customHeight="1">
      <c r="D50" s="68"/>
      <c r="E50" s="68"/>
      <c r="F50" s="68"/>
    </row>
    <row r="51" spans="1:15" s="41" customFormat="1" ht="13.2" customHeight="1">
      <c r="A51" s="1078" t="s">
        <v>0</v>
      </c>
      <c r="B51" s="1080" t="s">
        <v>180</v>
      </c>
      <c r="C51" s="1081"/>
      <c r="D51" s="1084" t="s">
        <v>178</v>
      </c>
      <c r="E51" s="1084"/>
      <c r="F51" s="1084"/>
      <c r="G51" s="1071" t="s">
        <v>289</v>
      </c>
      <c r="H51" s="1071"/>
      <c r="I51" s="1071"/>
      <c r="J51" s="1071" t="s">
        <v>290</v>
      </c>
      <c r="K51" s="1071"/>
      <c r="L51" s="1071"/>
      <c r="M51" s="1071" t="s">
        <v>754</v>
      </c>
      <c r="N51" s="1071"/>
      <c r="O51" s="1071"/>
    </row>
    <row r="52" spans="1:15" s="76" customFormat="1" ht="27.6" customHeight="1">
      <c r="A52" s="1079"/>
      <c r="B52" s="1082"/>
      <c r="C52" s="1083"/>
      <c r="D52" s="75" t="s">
        <v>747</v>
      </c>
      <c r="E52" s="75" t="s">
        <v>745</v>
      </c>
      <c r="F52" s="75" t="s">
        <v>912</v>
      </c>
      <c r="G52" s="75" t="s">
        <v>747</v>
      </c>
      <c r="H52" s="75" t="s">
        <v>745</v>
      </c>
      <c r="I52" s="75" t="s">
        <v>912</v>
      </c>
      <c r="J52" s="75" t="s">
        <v>747</v>
      </c>
      <c r="K52" s="75" t="s">
        <v>745</v>
      </c>
      <c r="L52" s="75" t="s">
        <v>912</v>
      </c>
      <c r="M52" s="75" t="s">
        <v>747</v>
      </c>
      <c r="N52" s="75" t="s">
        <v>745</v>
      </c>
      <c r="O52" s="75" t="s">
        <v>912</v>
      </c>
    </row>
    <row r="53" spans="1:15" ht="13.2" customHeight="1">
      <c r="A53" s="3" t="s">
        <v>27</v>
      </c>
      <c r="B53" s="1094" t="s">
        <v>175</v>
      </c>
      <c r="C53" s="1094"/>
      <c r="D53" s="584">
        <f>+G53+J53+M53</f>
        <v>220289</v>
      </c>
      <c r="E53" s="584">
        <f t="shared" ref="E53:F56" si="23">+H53+K53+N53</f>
        <v>5637</v>
      </c>
      <c r="F53" s="584">
        <f t="shared" si="23"/>
        <v>225926</v>
      </c>
      <c r="G53" s="584">
        <f>+'6.a. mell. PH'!D19</f>
        <v>98833</v>
      </c>
      <c r="H53" s="584">
        <f>+'6.a. mell. PH'!E19</f>
        <v>6224</v>
      </c>
      <c r="I53" s="584">
        <f>+'6.a. mell. PH'!F19</f>
        <v>105057</v>
      </c>
      <c r="J53" s="584">
        <f>+'6.b. mell. Óvoda'!D19</f>
        <v>106177</v>
      </c>
      <c r="K53" s="584">
        <f>+'6.b. mell. Óvoda'!E19</f>
        <v>-529</v>
      </c>
      <c r="L53" s="584">
        <f>+'6.b. mell. Óvoda'!F19</f>
        <v>105648</v>
      </c>
      <c r="M53" s="584">
        <f>+'6.c. mell. BBKP'!D19</f>
        <v>15279</v>
      </c>
      <c r="N53" s="584">
        <f>+'6.c. mell. BBKP'!E19</f>
        <v>-58</v>
      </c>
      <c r="O53" s="584">
        <f>+'6.c. mell. BBKP'!F19</f>
        <v>15221</v>
      </c>
    </row>
    <row r="54" spans="1:15" ht="13.2" customHeight="1">
      <c r="A54" s="3" t="s">
        <v>34</v>
      </c>
      <c r="B54" s="1094" t="s">
        <v>174</v>
      </c>
      <c r="C54" s="1094"/>
      <c r="D54" s="584">
        <f t="shared" ref="D54:F77" si="24">+G54+J54+M54</f>
        <v>4202</v>
      </c>
      <c r="E54" s="584">
        <f t="shared" si="23"/>
        <v>744</v>
      </c>
      <c r="F54" s="584">
        <f t="shared" si="23"/>
        <v>4946</v>
      </c>
      <c r="G54" s="584">
        <f>+'6.a. mell. PH'!D23</f>
        <v>777</v>
      </c>
      <c r="H54" s="584">
        <f>+'6.a. mell. PH'!E23</f>
        <v>0</v>
      </c>
      <c r="I54" s="584">
        <f>+'6.a. mell. PH'!F23</f>
        <v>777</v>
      </c>
      <c r="J54" s="584">
        <f>+'6.b. mell. Óvoda'!D23</f>
        <v>1805</v>
      </c>
      <c r="K54" s="584">
        <f>+'6.b. mell. Óvoda'!E23</f>
        <v>529</v>
      </c>
      <c r="L54" s="584">
        <f>+'6.b. mell. Óvoda'!F23</f>
        <v>2334</v>
      </c>
      <c r="M54" s="584">
        <f>+'6.c. mell. BBKP'!D23</f>
        <v>1620</v>
      </c>
      <c r="N54" s="584">
        <f>+'6.c. mell. BBKP'!E23</f>
        <v>215</v>
      </c>
      <c r="O54" s="584">
        <f>+'6.c. mell. BBKP'!F23</f>
        <v>1835</v>
      </c>
    </row>
    <row r="55" spans="1:15" s="47" customFormat="1">
      <c r="A55" s="5" t="s">
        <v>35</v>
      </c>
      <c r="B55" s="1072" t="s">
        <v>173</v>
      </c>
      <c r="C55" s="1072"/>
      <c r="D55" s="575">
        <f t="shared" si="24"/>
        <v>224491</v>
      </c>
      <c r="E55" s="575">
        <f t="shared" si="23"/>
        <v>6381</v>
      </c>
      <c r="F55" s="575">
        <f t="shared" si="23"/>
        <v>230872</v>
      </c>
      <c r="G55" s="575">
        <f>SUM(G53:G54)</f>
        <v>99610</v>
      </c>
      <c r="H55" s="575">
        <f t="shared" ref="H55:I55" si="25">SUM(H53:H54)</f>
        <v>6224</v>
      </c>
      <c r="I55" s="575">
        <f t="shared" si="25"/>
        <v>105834</v>
      </c>
      <c r="J55" s="575">
        <f>+J54+J53</f>
        <v>107982</v>
      </c>
      <c r="K55" s="575">
        <f t="shared" ref="K55:L55" si="26">+K54+K53</f>
        <v>0</v>
      </c>
      <c r="L55" s="575">
        <f t="shared" si="26"/>
        <v>107982</v>
      </c>
      <c r="M55" s="575">
        <f>+M54+M53</f>
        <v>16899</v>
      </c>
      <c r="N55" s="575">
        <f t="shared" ref="N55:O55" si="27">+N54+N53</f>
        <v>157</v>
      </c>
      <c r="O55" s="575">
        <f t="shared" si="27"/>
        <v>17056</v>
      </c>
    </row>
    <row r="56" spans="1:15" s="47" customFormat="1" ht="13.2" customHeight="1">
      <c r="A56" s="5" t="s">
        <v>36</v>
      </c>
      <c r="B56" s="1072" t="s">
        <v>172</v>
      </c>
      <c r="C56" s="1072"/>
      <c r="D56" s="575">
        <f t="shared" si="24"/>
        <v>63136</v>
      </c>
      <c r="E56" s="575">
        <f t="shared" si="23"/>
        <v>1743</v>
      </c>
      <c r="F56" s="575">
        <f t="shared" si="23"/>
        <v>64879</v>
      </c>
      <c r="G56" s="575">
        <f>+'6.a. mell. PH'!D26</f>
        <v>28350</v>
      </c>
      <c r="H56" s="575">
        <f>+'6.a. mell. PH'!E26</f>
        <v>1680</v>
      </c>
      <c r="I56" s="575">
        <f>+'6.a. mell. PH'!F26</f>
        <v>30030</v>
      </c>
      <c r="J56" s="575">
        <f>+'6.b. mell. Óvoda'!D26</f>
        <v>30287</v>
      </c>
      <c r="K56" s="575">
        <f>+'6.b. mell. Óvoda'!E26</f>
        <v>0</v>
      </c>
      <c r="L56" s="575">
        <f>+'6.b. mell. Óvoda'!F26</f>
        <v>30287</v>
      </c>
      <c r="M56" s="575">
        <f>+'6.c. mell. BBKP'!D26</f>
        <v>4499</v>
      </c>
      <c r="N56" s="575">
        <f>+'6.c. mell. BBKP'!E26</f>
        <v>63</v>
      </c>
      <c r="O56" s="575">
        <f>+'6.c. mell. BBKP'!F26</f>
        <v>4562</v>
      </c>
    </row>
    <row r="57" spans="1:15" ht="13.2" customHeight="1">
      <c r="A57" s="1073"/>
      <c r="B57" s="1074"/>
      <c r="C57" s="1075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</row>
    <row r="58" spans="1:15" ht="13.2" customHeight="1">
      <c r="A58" s="3" t="s">
        <v>48</v>
      </c>
      <c r="B58" s="1094" t="s">
        <v>171</v>
      </c>
      <c r="C58" s="1094"/>
      <c r="D58" s="584">
        <f t="shared" si="24"/>
        <v>6952</v>
      </c>
      <c r="E58" s="584">
        <f t="shared" si="24"/>
        <v>1477</v>
      </c>
      <c r="F58" s="584">
        <f t="shared" si="24"/>
        <v>8429</v>
      </c>
      <c r="G58" s="584">
        <f>+'6.a. mell. PH'!D36</f>
        <v>1940</v>
      </c>
      <c r="H58" s="584">
        <f>+'6.a. mell. PH'!E36</f>
        <v>357</v>
      </c>
      <c r="I58" s="584">
        <f>+'6.a. mell. PH'!F36</f>
        <v>2297</v>
      </c>
      <c r="J58" s="584">
        <f>+'6.b. mell. Óvoda'!D36</f>
        <v>1957</v>
      </c>
      <c r="K58" s="584">
        <f>+'6.b. mell. Óvoda'!E36</f>
        <v>49</v>
      </c>
      <c r="L58" s="584">
        <f>+'6.b. mell. Óvoda'!F36</f>
        <v>2006</v>
      </c>
      <c r="M58" s="584">
        <f>+'6.c. mell. BBKP'!D37</f>
        <v>3055</v>
      </c>
      <c r="N58" s="584">
        <f>+'6.c. mell. BBKP'!E37</f>
        <v>1071</v>
      </c>
      <c r="O58" s="584">
        <f>+'6.c. mell. BBKP'!F37</f>
        <v>4126</v>
      </c>
    </row>
    <row r="59" spans="1:15" ht="13.2" customHeight="1">
      <c r="A59" s="3" t="s">
        <v>53</v>
      </c>
      <c r="B59" s="1094" t="s">
        <v>170</v>
      </c>
      <c r="C59" s="1094"/>
      <c r="D59" s="584">
        <f t="shared" si="24"/>
        <v>3290</v>
      </c>
      <c r="E59" s="584">
        <f t="shared" si="24"/>
        <v>0</v>
      </c>
      <c r="F59" s="584">
        <f t="shared" si="24"/>
        <v>3290</v>
      </c>
      <c r="G59" s="584">
        <f>+'6.a. mell. PH'!D39</f>
        <v>2500</v>
      </c>
      <c r="H59" s="584">
        <f>+'6.a. mell. PH'!E39</f>
        <v>0</v>
      </c>
      <c r="I59" s="584">
        <f>+'6.a. mell. PH'!F39</f>
        <v>2500</v>
      </c>
      <c r="J59" s="584">
        <f>+'6.b. mell. Óvoda'!D39</f>
        <v>250</v>
      </c>
      <c r="K59" s="584">
        <f>+'6.b. mell. Óvoda'!E39</f>
        <v>0</v>
      </c>
      <c r="L59" s="584">
        <f>+'6.b. mell. Óvoda'!F39</f>
        <v>250</v>
      </c>
      <c r="M59" s="584">
        <f>+'6.c. mell. BBKP'!D40</f>
        <v>540</v>
      </c>
      <c r="N59" s="584">
        <f>+'6.c. mell. BBKP'!E40</f>
        <v>0</v>
      </c>
      <c r="O59" s="584">
        <f>+'6.c. mell. BBKP'!F40</f>
        <v>540</v>
      </c>
    </row>
    <row r="60" spans="1:15" ht="13.2" customHeight="1">
      <c r="A60" s="3" t="s">
        <v>67</v>
      </c>
      <c r="B60" s="1094" t="s">
        <v>157</v>
      </c>
      <c r="C60" s="1094"/>
      <c r="D60" s="584">
        <f t="shared" si="24"/>
        <v>30794</v>
      </c>
      <c r="E60" s="584">
        <f t="shared" si="24"/>
        <v>8587</v>
      </c>
      <c r="F60" s="584">
        <f t="shared" si="24"/>
        <v>39381</v>
      </c>
      <c r="G60" s="584">
        <f>+'6.a. mell. PH'!D49</f>
        <v>8340</v>
      </c>
      <c r="H60" s="584">
        <f>+'6.a. mell. PH'!E49</f>
        <v>268</v>
      </c>
      <c r="I60" s="584">
        <f>+'6.a. mell. PH'!F49</f>
        <v>8608</v>
      </c>
      <c r="J60" s="584">
        <f>+'6.b. mell. Óvoda'!D49</f>
        <v>16252</v>
      </c>
      <c r="K60" s="584">
        <f>+'6.b. mell. Óvoda'!E49</f>
        <v>-100</v>
      </c>
      <c r="L60" s="584">
        <f>+'6.b. mell. Óvoda'!F49</f>
        <v>16152</v>
      </c>
      <c r="M60" s="584">
        <f>+'6.c. mell. BBKP'!D50</f>
        <v>6202</v>
      </c>
      <c r="N60" s="584">
        <f>+'6.c. mell. BBKP'!E50</f>
        <v>8419</v>
      </c>
      <c r="O60" s="584">
        <f>+'6.c. mell. BBKP'!F50</f>
        <v>14621</v>
      </c>
    </row>
    <row r="61" spans="1:15" ht="13.2" customHeight="1">
      <c r="A61" s="3" t="s">
        <v>72</v>
      </c>
      <c r="B61" s="1094" t="s">
        <v>156</v>
      </c>
      <c r="C61" s="1094"/>
      <c r="D61" s="584">
        <f t="shared" si="24"/>
        <v>1336</v>
      </c>
      <c r="E61" s="584">
        <f t="shared" si="24"/>
        <v>158</v>
      </c>
      <c r="F61" s="584">
        <f t="shared" si="24"/>
        <v>1494</v>
      </c>
      <c r="G61" s="584">
        <f>+'6.a. mell. PH'!D52</f>
        <v>350</v>
      </c>
      <c r="H61" s="584">
        <f>+'6.a. mell. PH'!E52</f>
        <v>100</v>
      </c>
      <c r="I61" s="584">
        <f>+'6.a. mell. PH'!F52</f>
        <v>450</v>
      </c>
      <c r="J61" s="584">
        <f>+'6.b. mell. Óvoda'!D52</f>
        <v>50</v>
      </c>
      <c r="K61" s="584">
        <f>+'6.b. mell. Óvoda'!E52</f>
        <v>0</v>
      </c>
      <c r="L61" s="584">
        <f>+'6.b. mell. Óvoda'!F52</f>
        <v>50</v>
      </c>
      <c r="M61" s="584">
        <f>+'6.c. mell. BBKP'!D53</f>
        <v>936</v>
      </c>
      <c r="N61" s="584">
        <f>+'6.c. mell. BBKP'!E53</f>
        <v>58</v>
      </c>
      <c r="O61" s="584">
        <f>+'6.c. mell. BBKP'!F53</f>
        <v>994</v>
      </c>
    </row>
    <row r="62" spans="1:15">
      <c r="A62" s="3" t="s">
        <v>81</v>
      </c>
      <c r="B62" s="1094" t="s">
        <v>153</v>
      </c>
      <c r="C62" s="1094"/>
      <c r="D62" s="584">
        <f t="shared" si="24"/>
        <v>9148</v>
      </c>
      <c r="E62" s="584">
        <f t="shared" si="24"/>
        <v>1200</v>
      </c>
      <c r="F62" s="584">
        <f t="shared" si="24"/>
        <v>10348</v>
      </c>
      <c r="G62" s="584">
        <f>+'6.a. mell. PH'!D58</f>
        <v>1836</v>
      </c>
      <c r="H62" s="584">
        <f>+'6.a. mell. PH'!E58</f>
        <v>12</v>
      </c>
      <c r="I62" s="584">
        <f>+'6.a. mell. PH'!F58</f>
        <v>1848</v>
      </c>
      <c r="J62" s="584">
        <f>+'6.b. mell. Óvoda'!D58</f>
        <v>4650</v>
      </c>
      <c r="K62" s="584">
        <f>+'6.b. mell. Óvoda'!E58</f>
        <v>100</v>
      </c>
      <c r="L62" s="584">
        <f>+'6.b. mell. Óvoda'!F58</f>
        <v>4750</v>
      </c>
      <c r="M62" s="584">
        <f>+'6.c. mell. BBKP'!D59</f>
        <v>2662</v>
      </c>
      <c r="N62" s="584">
        <f>+'6.c. mell. BBKP'!E59</f>
        <v>1088</v>
      </c>
      <c r="O62" s="584">
        <f>+'6.c. mell. BBKP'!F59</f>
        <v>3750</v>
      </c>
    </row>
    <row r="63" spans="1:15" s="47" customFormat="1" ht="13.2" customHeight="1">
      <c r="A63" s="5" t="s">
        <v>82</v>
      </c>
      <c r="B63" s="1072" t="s">
        <v>152</v>
      </c>
      <c r="C63" s="1072"/>
      <c r="D63" s="575">
        <f t="shared" si="24"/>
        <v>51520</v>
      </c>
      <c r="E63" s="575">
        <f t="shared" si="24"/>
        <v>11422</v>
      </c>
      <c r="F63" s="575">
        <f t="shared" si="24"/>
        <v>62942</v>
      </c>
      <c r="G63" s="575">
        <f>SUM(G58:G62)</f>
        <v>14966</v>
      </c>
      <c r="H63" s="575">
        <f t="shared" ref="H63:I63" si="28">SUM(H58:H62)</f>
        <v>737</v>
      </c>
      <c r="I63" s="575">
        <f t="shared" si="28"/>
        <v>15703</v>
      </c>
      <c r="J63" s="575">
        <f>SUM(J58:J62)</f>
        <v>23159</v>
      </c>
      <c r="K63" s="575">
        <f t="shared" ref="K63:L63" si="29">SUM(K58:K62)</f>
        <v>49</v>
      </c>
      <c r="L63" s="575">
        <f t="shared" si="29"/>
        <v>23208</v>
      </c>
      <c r="M63" s="575">
        <f>SUM(M58:M62)</f>
        <v>13395</v>
      </c>
      <c r="N63" s="575">
        <f t="shared" ref="N63:O63" si="30">SUM(N58:N62)</f>
        <v>10636</v>
      </c>
      <c r="O63" s="575">
        <f t="shared" si="30"/>
        <v>24031</v>
      </c>
    </row>
    <row r="64" spans="1:15" ht="13.2" customHeight="1">
      <c r="A64" s="3"/>
      <c r="B64" s="1100"/>
      <c r="C64" s="1101"/>
      <c r="D64" s="584"/>
      <c r="E64" s="584"/>
      <c r="F64" s="584"/>
      <c r="G64" s="584"/>
      <c r="H64" s="584"/>
      <c r="I64" s="584"/>
      <c r="J64" s="584"/>
      <c r="K64" s="584"/>
      <c r="L64" s="584"/>
      <c r="M64" s="584"/>
      <c r="N64" s="584"/>
      <c r="O64" s="584"/>
    </row>
    <row r="65" spans="1:15" ht="14.4">
      <c r="A65" s="3" t="s">
        <v>102</v>
      </c>
      <c r="B65" s="1085" t="s">
        <v>859</v>
      </c>
      <c r="C65" s="1086"/>
      <c r="D65" s="584">
        <f t="shared" ref="D65:F66" si="31">+G65+J65+M65</f>
        <v>1178</v>
      </c>
      <c r="E65" s="584">
        <f t="shared" si="31"/>
        <v>0</v>
      </c>
      <c r="F65" s="584">
        <f t="shared" si="31"/>
        <v>1178</v>
      </c>
      <c r="G65" s="584">
        <f>+'6.a. mell. PH'!D61</f>
        <v>499</v>
      </c>
      <c r="H65" s="584">
        <f>+'6.a. mell. PH'!E61</f>
        <v>0</v>
      </c>
      <c r="I65" s="584">
        <f>+'6.a. mell. PH'!F61</f>
        <v>499</v>
      </c>
      <c r="J65" s="584">
        <f>+'6.b. mell. Óvoda'!D61</f>
        <v>95</v>
      </c>
      <c r="K65" s="584">
        <f>+'6.b. mell. Óvoda'!E61</f>
        <v>0</v>
      </c>
      <c r="L65" s="584">
        <f>+'6.b. mell. Óvoda'!F61</f>
        <v>95</v>
      </c>
      <c r="M65" s="584">
        <f>+'6.c. mell. BBKP'!D62</f>
        <v>584</v>
      </c>
      <c r="N65" s="584">
        <f>+'6.c. mell. BBKP'!E62</f>
        <v>0</v>
      </c>
      <c r="O65" s="584">
        <f>+'6.c. mell. BBKP'!F62</f>
        <v>584</v>
      </c>
    </row>
    <row r="66" spans="1:15" ht="13.2" customHeight="1">
      <c r="A66" s="3" t="s">
        <v>106</v>
      </c>
      <c r="B66" s="1099" t="s">
        <v>165</v>
      </c>
      <c r="C66" s="1099"/>
      <c r="D66" s="584">
        <f t="shared" si="24"/>
        <v>38373</v>
      </c>
      <c r="E66" s="584">
        <f t="shared" si="31"/>
        <v>0</v>
      </c>
      <c r="F66" s="584">
        <f t="shared" si="31"/>
        <v>38373</v>
      </c>
      <c r="G66" s="584">
        <f>+'6.a. mell. PH'!D63</f>
        <v>8646</v>
      </c>
      <c r="H66" s="584">
        <f>+'6.a. mell. PH'!E63</f>
        <v>0</v>
      </c>
      <c r="I66" s="584">
        <f>+'6.a. mell. PH'!F63</f>
        <v>8646</v>
      </c>
      <c r="J66" s="584">
        <f>+'6.b. mell. Óvoda'!D63</f>
        <v>11152</v>
      </c>
      <c r="K66" s="584">
        <f>+'6.b. mell. Óvoda'!E63</f>
        <v>0</v>
      </c>
      <c r="L66" s="584">
        <f>+'6.b. mell. Óvoda'!F63</f>
        <v>11152</v>
      </c>
      <c r="M66" s="584">
        <f>+'6.c. mell. BBKP'!D64</f>
        <v>18575</v>
      </c>
      <c r="N66" s="584">
        <f>+'6.c. mell. BBKP'!E64</f>
        <v>0</v>
      </c>
      <c r="O66" s="584">
        <f>+'6.c. mell. BBKP'!F64</f>
        <v>18575</v>
      </c>
    </row>
    <row r="67" spans="1:15" s="47" customFormat="1">
      <c r="A67" s="5" t="s">
        <v>109</v>
      </c>
      <c r="B67" s="1072" t="s">
        <v>164</v>
      </c>
      <c r="C67" s="1072"/>
      <c r="D67" s="575">
        <f t="shared" si="24"/>
        <v>39551</v>
      </c>
      <c r="E67" s="575">
        <f>+H67+K67+N67</f>
        <v>0</v>
      </c>
      <c r="F67" s="575">
        <f>+I67+L67+O67</f>
        <v>39551</v>
      </c>
      <c r="G67" s="575">
        <f t="shared" ref="G67:O67" si="32">+G66+G65</f>
        <v>9145</v>
      </c>
      <c r="H67" s="575">
        <f t="shared" si="32"/>
        <v>0</v>
      </c>
      <c r="I67" s="575">
        <f t="shared" si="32"/>
        <v>9145</v>
      </c>
      <c r="J67" s="575">
        <f t="shared" si="32"/>
        <v>11247</v>
      </c>
      <c r="K67" s="575">
        <f t="shared" si="32"/>
        <v>0</v>
      </c>
      <c r="L67" s="575">
        <f t="shared" si="32"/>
        <v>11247</v>
      </c>
      <c r="M67" s="575">
        <f t="shared" si="32"/>
        <v>19159</v>
      </c>
      <c r="N67" s="575">
        <f t="shared" si="32"/>
        <v>0</v>
      </c>
      <c r="O67" s="575">
        <f t="shared" si="32"/>
        <v>19159</v>
      </c>
    </row>
    <row r="68" spans="1:15" s="47" customFormat="1" ht="13.2" customHeight="1">
      <c r="A68" s="5"/>
      <c r="B68" s="1076"/>
      <c r="C68" s="1077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</row>
    <row r="69" spans="1:15" s="47" customFormat="1">
      <c r="A69" s="5" t="s">
        <v>124</v>
      </c>
      <c r="B69" s="1072" t="s">
        <v>162</v>
      </c>
      <c r="C69" s="1072"/>
      <c r="D69" s="575">
        <f t="shared" si="24"/>
        <v>6416</v>
      </c>
      <c r="E69" s="575">
        <f t="shared" si="24"/>
        <v>220</v>
      </c>
      <c r="F69" s="575">
        <f t="shared" si="24"/>
        <v>6636</v>
      </c>
      <c r="G69" s="575">
        <f>+'6.a. mell. PH'!D75</f>
        <v>3199</v>
      </c>
      <c r="H69" s="575">
        <f>+'6.a. mell. PH'!E75</f>
        <v>220</v>
      </c>
      <c r="I69" s="575">
        <f>+'6.a. mell. PH'!F75</f>
        <v>3419</v>
      </c>
      <c r="J69" s="575">
        <f>+'6.b. mell. Óvoda'!D76</f>
        <v>17</v>
      </c>
      <c r="K69" s="575">
        <f>+'6.b. mell. Óvoda'!E76</f>
        <v>0</v>
      </c>
      <c r="L69" s="575">
        <f>+'6.b. mell. Óvoda'!F76</f>
        <v>17</v>
      </c>
      <c r="M69" s="575">
        <f>+'6.c. mell. BBKP'!D77</f>
        <v>3200</v>
      </c>
      <c r="N69" s="575">
        <f>+'6.c. mell. BBKP'!E77</f>
        <v>0</v>
      </c>
      <c r="O69" s="575">
        <f>+'6.c. mell. BBKP'!F77</f>
        <v>3200</v>
      </c>
    </row>
    <row r="70" spans="1:15" s="47" customFormat="1" ht="13.2" customHeight="1">
      <c r="A70" s="5"/>
      <c r="B70" s="1076"/>
      <c r="C70" s="1077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</row>
    <row r="71" spans="1:15" s="47" customFormat="1">
      <c r="A71" s="5" t="s">
        <v>133</v>
      </c>
      <c r="B71" s="1072" t="s">
        <v>161</v>
      </c>
      <c r="C71" s="1072"/>
      <c r="D71" s="575">
        <f t="shared" si="24"/>
        <v>0</v>
      </c>
      <c r="E71" s="575">
        <f t="shared" si="24"/>
        <v>0</v>
      </c>
      <c r="F71" s="575">
        <f t="shared" si="24"/>
        <v>0</v>
      </c>
      <c r="G71" s="575">
        <f>+'6.a. mell. PH'!D81</f>
        <v>0</v>
      </c>
      <c r="H71" s="575">
        <f>+'6.a. mell. PH'!E81</f>
        <v>0</v>
      </c>
      <c r="I71" s="575">
        <f>+'6.a. mell. PH'!F81</f>
        <v>0</v>
      </c>
      <c r="J71" s="575">
        <f>+'6.b. mell. Óvoda'!D82</f>
        <v>0</v>
      </c>
      <c r="K71" s="575">
        <f>+'6.b. mell. Óvoda'!E82</f>
        <v>0</v>
      </c>
      <c r="L71" s="575">
        <f>+'6.b. mell. Óvoda'!F82</f>
        <v>0</v>
      </c>
      <c r="M71" s="575">
        <f>+'6.c. mell. BBKP'!D83</f>
        <v>0</v>
      </c>
      <c r="N71" s="575">
        <f>+'6.c. mell. BBKP'!E83</f>
        <v>0</v>
      </c>
      <c r="O71" s="575">
        <f>+'6.c. mell. BBKP'!F83</f>
        <v>0</v>
      </c>
    </row>
    <row r="72" spans="1:15" s="47" customFormat="1" ht="13.2" customHeight="1">
      <c r="A72" s="5"/>
      <c r="B72" s="1076"/>
      <c r="C72" s="1077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</row>
    <row r="73" spans="1:15" s="47" customFormat="1">
      <c r="A73" s="5" t="s">
        <v>135</v>
      </c>
      <c r="B73" s="1072" t="s">
        <v>159</v>
      </c>
      <c r="C73" s="1072"/>
      <c r="D73" s="575">
        <f t="shared" si="24"/>
        <v>0</v>
      </c>
      <c r="E73" s="575">
        <f t="shared" si="24"/>
        <v>0</v>
      </c>
      <c r="F73" s="575">
        <f t="shared" si="24"/>
        <v>0</v>
      </c>
      <c r="G73" s="575">
        <f>+'6.a. mell. PH'!D83</f>
        <v>0</v>
      </c>
      <c r="H73" s="575">
        <f>+'6.a. mell. PH'!E83</f>
        <v>0</v>
      </c>
      <c r="I73" s="575">
        <f>+'6.a. mell. PH'!F83</f>
        <v>0</v>
      </c>
      <c r="J73" s="575">
        <f>+'6.b. mell. Óvoda'!D84</f>
        <v>0</v>
      </c>
      <c r="K73" s="575">
        <f>+'6.b. mell. Óvoda'!E84</f>
        <v>0</v>
      </c>
      <c r="L73" s="575">
        <f>+'6.b. mell. Óvoda'!F84</f>
        <v>0</v>
      </c>
      <c r="M73" s="575">
        <f>+'6.c. mell. BBKP'!D85</f>
        <v>0</v>
      </c>
      <c r="N73" s="575">
        <f>+'6.c. mell. BBKP'!E85</f>
        <v>0</v>
      </c>
      <c r="O73" s="575">
        <f>+'6.c. mell. BBKP'!F85</f>
        <v>0</v>
      </c>
    </row>
    <row r="74" spans="1:15" s="47" customFormat="1">
      <c r="A74" s="5"/>
      <c r="B74" s="1076"/>
      <c r="C74" s="1077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</row>
    <row r="75" spans="1:15" s="47" customFormat="1">
      <c r="A75" s="77" t="s">
        <v>136</v>
      </c>
      <c r="B75" s="1072" t="s">
        <v>158</v>
      </c>
      <c r="C75" s="1072"/>
      <c r="D75" s="575">
        <f t="shared" si="24"/>
        <v>385114</v>
      </c>
      <c r="E75" s="575">
        <f t="shared" si="24"/>
        <v>19766</v>
      </c>
      <c r="F75" s="575">
        <f t="shared" si="24"/>
        <v>404880</v>
      </c>
      <c r="G75" s="575">
        <f>+G73+G71+G69+G67+G63+G56+G55</f>
        <v>155270</v>
      </c>
      <c r="H75" s="575">
        <f t="shared" ref="H75:I75" si="33">+H73+H71+H69+H67+H63+H56+H55</f>
        <v>8861</v>
      </c>
      <c r="I75" s="575">
        <f t="shared" si="33"/>
        <v>164131</v>
      </c>
      <c r="J75" s="575">
        <f>+J73+J71+J69+J67+J63+J56+J55</f>
        <v>172692</v>
      </c>
      <c r="K75" s="575">
        <f t="shared" ref="K75:L75" si="34">+K73+K71+K69+K67+K63+K56+K55</f>
        <v>49</v>
      </c>
      <c r="L75" s="575">
        <f t="shared" si="34"/>
        <v>172741</v>
      </c>
      <c r="M75" s="575">
        <f>+M73+M71+M69+M67+M63+M56+M55</f>
        <v>57152</v>
      </c>
      <c r="N75" s="575">
        <f t="shared" ref="N75:O75" si="35">+N73+N71+N69+N67+N63+N56+N55</f>
        <v>10856</v>
      </c>
      <c r="O75" s="575">
        <f t="shared" si="35"/>
        <v>68008</v>
      </c>
    </row>
    <row r="76" spans="1:15" s="47" customFormat="1">
      <c r="A76" s="86"/>
      <c r="B76" s="1066"/>
      <c r="C76" s="1067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</row>
    <row r="77" spans="1:15" s="47" customFormat="1">
      <c r="A77" s="86" t="s">
        <v>269</v>
      </c>
      <c r="B77" s="87" t="s">
        <v>275</v>
      </c>
      <c r="C77" s="87"/>
      <c r="D77" s="575">
        <f t="shared" si="24"/>
        <v>0</v>
      </c>
      <c r="E77" s="575">
        <f t="shared" si="24"/>
        <v>0</v>
      </c>
      <c r="F77" s="575">
        <f t="shared" si="24"/>
        <v>0</v>
      </c>
      <c r="G77" s="575">
        <v>0</v>
      </c>
      <c r="H77" s="575">
        <v>0</v>
      </c>
      <c r="I77" s="575">
        <v>0</v>
      </c>
      <c r="J77" s="575">
        <v>0</v>
      </c>
      <c r="K77" s="575">
        <v>0</v>
      </c>
      <c r="L77" s="575">
        <v>0</v>
      </c>
      <c r="M77" s="575">
        <v>0</v>
      </c>
      <c r="N77" s="575">
        <v>0</v>
      </c>
      <c r="O77" s="575">
        <v>0</v>
      </c>
    </row>
    <row r="78" spans="1:15" s="47" customFormat="1">
      <c r="A78" s="86"/>
      <c r="B78" s="1066"/>
      <c r="C78" s="1067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</row>
    <row r="79" spans="1:15" s="47" customFormat="1">
      <c r="A79" s="1068" t="s">
        <v>286</v>
      </c>
      <c r="B79" s="1069"/>
      <c r="C79" s="1070"/>
      <c r="D79" s="575">
        <f>+G79+J79+M79</f>
        <v>385114</v>
      </c>
      <c r="E79" s="575">
        <f t="shared" ref="E79:F79" si="36">+H79+K79+N79</f>
        <v>19766</v>
      </c>
      <c r="F79" s="575">
        <f t="shared" si="36"/>
        <v>404880</v>
      </c>
      <c r="G79" s="575">
        <f>+G77+G75</f>
        <v>155270</v>
      </c>
      <c r="H79" s="575">
        <f t="shared" ref="H79:I79" si="37">+H77+H75</f>
        <v>8861</v>
      </c>
      <c r="I79" s="575">
        <f t="shared" si="37"/>
        <v>164131</v>
      </c>
      <c r="J79" s="575">
        <f>+J77+J75</f>
        <v>172692</v>
      </c>
      <c r="K79" s="575">
        <f t="shared" ref="K79:L79" si="38">+K77+K75</f>
        <v>49</v>
      </c>
      <c r="L79" s="575">
        <f t="shared" si="38"/>
        <v>172741</v>
      </c>
      <c r="M79" s="575">
        <f>+M77+M75</f>
        <v>57152</v>
      </c>
      <c r="N79" s="575">
        <f t="shared" ref="N79:O79" si="39">+N77+N75</f>
        <v>10856</v>
      </c>
      <c r="O79" s="575">
        <f t="shared" si="39"/>
        <v>68008</v>
      </c>
    </row>
    <row r="80" spans="1:15"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>
      <c r="G89" s="68"/>
      <c r="H89" s="68"/>
      <c r="I89" s="68"/>
      <c r="J89" s="68"/>
      <c r="K89" s="68"/>
      <c r="L89" s="68"/>
      <c r="M89" s="68"/>
      <c r="N89" s="68"/>
      <c r="O89" s="68"/>
    </row>
    <row r="93" spans="1:15">
      <c r="A93" s="82"/>
      <c r="B93" s="79"/>
      <c r="C93" s="79"/>
      <c r="D93" s="65"/>
      <c r="E93" s="65"/>
      <c r="G93" s="65"/>
      <c r="H93" s="65"/>
      <c r="J93" s="65"/>
      <c r="K93" s="65"/>
      <c r="M93" s="65"/>
      <c r="N93" s="65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</sheetData>
  <mergeCells count="83">
    <mergeCell ref="A2:A3"/>
    <mergeCell ref="D2:F2"/>
    <mergeCell ref="B9:C9"/>
    <mergeCell ref="B54:C54"/>
    <mergeCell ref="B40:C40"/>
    <mergeCell ref="B53:C53"/>
    <mergeCell ref="B41:C41"/>
    <mergeCell ref="B39:C39"/>
    <mergeCell ref="B36:C36"/>
    <mergeCell ref="B37:C37"/>
    <mergeCell ref="B38:C38"/>
    <mergeCell ref="B10:C10"/>
    <mergeCell ref="B22:C22"/>
    <mergeCell ref="B2:C3"/>
    <mergeCell ref="B28:C28"/>
    <mergeCell ref="B33:C33"/>
    <mergeCell ref="M1:O1"/>
    <mergeCell ref="M2:O2"/>
    <mergeCell ref="B27:C27"/>
    <mergeCell ref="B20:C20"/>
    <mergeCell ref="B21:C21"/>
    <mergeCell ref="J2:L2"/>
    <mergeCell ref="B4:C4"/>
    <mergeCell ref="B14:C14"/>
    <mergeCell ref="G2:I2"/>
    <mergeCell ref="B12:C12"/>
    <mergeCell ref="B16:C16"/>
    <mergeCell ref="B5:C5"/>
    <mergeCell ref="B6:C6"/>
    <mergeCell ref="B7:C7"/>
    <mergeCell ref="B8:C8"/>
    <mergeCell ref="B11:C11"/>
    <mergeCell ref="B72:C72"/>
    <mergeCell ref="B67:C67"/>
    <mergeCell ref="B68:C68"/>
    <mergeCell ref="B69:C69"/>
    <mergeCell ref="B70:C70"/>
    <mergeCell ref="B60:C60"/>
    <mergeCell ref="B61:C61"/>
    <mergeCell ref="B62:C62"/>
    <mergeCell ref="B63:C63"/>
    <mergeCell ref="B66:C66"/>
    <mergeCell ref="B64:C64"/>
    <mergeCell ref="B32:C32"/>
    <mergeCell ref="B29:C29"/>
    <mergeCell ref="B59:C59"/>
    <mergeCell ref="B23:C23"/>
    <mergeCell ref="B24:C24"/>
    <mergeCell ref="B25:C25"/>
    <mergeCell ref="B56:C56"/>
    <mergeCell ref="B58:C58"/>
    <mergeCell ref="B46:C46"/>
    <mergeCell ref="B34:C34"/>
    <mergeCell ref="B35:C35"/>
    <mergeCell ref="B42:C42"/>
    <mergeCell ref="B43:C43"/>
    <mergeCell ref="B47:C47"/>
    <mergeCell ref="B48:C48"/>
    <mergeCell ref="A49:C49"/>
    <mergeCell ref="B13:C13"/>
    <mergeCell ref="B30:C30"/>
    <mergeCell ref="B31:C31"/>
    <mergeCell ref="B15:C15"/>
    <mergeCell ref="B26:C26"/>
    <mergeCell ref="B17:C17"/>
    <mergeCell ref="B18:C18"/>
    <mergeCell ref="B19:C19"/>
    <mergeCell ref="B78:C78"/>
    <mergeCell ref="A79:C79"/>
    <mergeCell ref="M51:O51"/>
    <mergeCell ref="B55:C55"/>
    <mergeCell ref="A57:C57"/>
    <mergeCell ref="B74:C74"/>
    <mergeCell ref="B76:C76"/>
    <mergeCell ref="A51:A52"/>
    <mergeCell ref="B51:C52"/>
    <mergeCell ref="D51:F51"/>
    <mergeCell ref="G51:I51"/>
    <mergeCell ref="J51:L51"/>
    <mergeCell ref="B75:C75"/>
    <mergeCell ref="B71:C71"/>
    <mergeCell ref="B65:C65"/>
    <mergeCell ref="B73:C7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&amp;C&amp;"Times New Roman,Félkövér"&amp;12Martonvásár Város Önkormányzatának kiadásai 2016.
Intézmények mindösszesen&amp;R&amp;"Times New Roman,Félkövér"&amp;12 6. melléklet
&amp;"Times New Roman,Normál"&amp;11Adatok E FT-ban</oddHeader>
  </headerFooter>
  <rowBreaks count="1" manualBreakCount="1">
    <brk id="49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workbookViewId="0">
      <selection activeCell="E74" sqref="E74"/>
    </sheetView>
  </sheetViews>
  <sheetFormatPr defaultColWidth="9.109375" defaultRowHeight="14.4"/>
  <cols>
    <col min="1" max="1" width="7.33203125" style="838" customWidth="1"/>
    <col min="2" max="2" width="7.109375" style="28" customWidth="1"/>
    <col min="3" max="3" width="48.88671875" style="28" customWidth="1"/>
    <col min="4" max="4" width="10.33203125" style="68" customWidth="1"/>
    <col min="5" max="6" width="10.33203125" style="19" customWidth="1"/>
    <col min="7" max="16384" width="9.109375" style="1"/>
  </cols>
  <sheetData>
    <row r="1" spans="1:6" ht="18.75" customHeight="1">
      <c r="D1" s="1017" t="s">
        <v>406</v>
      </c>
      <c r="E1" s="1017"/>
      <c r="F1" s="1017"/>
    </row>
    <row r="2" spans="1:6" ht="40.950000000000003" customHeight="1">
      <c r="A2" s="1078" t="s">
        <v>0</v>
      </c>
      <c r="B2" s="1103" t="s">
        <v>180</v>
      </c>
      <c r="C2" s="1081"/>
      <c r="D2" s="1071" t="s">
        <v>292</v>
      </c>
      <c r="E2" s="1071"/>
      <c r="F2" s="1071"/>
    </row>
    <row r="3" spans="1:6" s="2" customFormat="1" ht="16.2" customHeight="1">
      <c r="A3" s="1111"/>
      <c r="B3" s="1108"/>
      <c r="C3" s="1109"/>
      <c r="D3" s="921" t="s">
        <v>747</v>
      </c>
      <c r="E3" s="833" t="s">
        <v>745</v>
      </c>
      <c r="F3" s="921" t="s">
        <v>912</v>
      </c>
    </row>
    <row r="4" spans="1:6" s="88" customFormat="1" ht="13.5" customHeight="1">
      <c r="A4" s="1079"/>
      <c r="B4" s="1104"/>
      <c r="C4" s="1083"/>
      <c r="D4" s="1105" t="s">
        <v>187</v>
      </c>
      <c r="E4" s="1106"/>
      <c r="F4" s="1107"/>
    </row>
    <row r="5" spans="1:6" ht="12" customHeight="1">
      <c r="A5" s="12" t="s">
        <v>2</v>
      </c>
      <c r="B5" s="1007" t="s">
        <v>1</v>
      </c>
      <c r="C5" s="1007"/>
      <c r="D5" s="29">
        <f>+'[4]6.a. mell. PH'!$F5</f>
        <v>81994</v>
      </c>
      <c r="E5" s="4">
        <f>6174-994</f>
        <v>5180</v>
      </c>
      <c r="F5" s="29">
        <f>+D5+E5</f>
        <v>87174</v>
      </c>
    </row>
    <row r="6" spans="1:6" ht="12" customHeight="1">
      <c r="A6" s="3" t="s">
        <v>4</v>
      </c>
      <c r="B6" s="1007" t="s">
        <v>3</v>
      </c>
      <c r="C6" s="1007"/>
      <c r="D6" s="29">
        <f>+'[4]6.a. mell. PH'!$F6</f>
        <v>141</v>
      </c>
      <c r="E6" s="4">
        <v>50</v>
      </c>
      <c r="F6" s="29">
        <f t="shared" ref="F6:F18" si="0">+D6+E6</f>
        <v>191</v>
      </c>
    </row>
    <row r="7" spans="1:6" ht="12" customHeight="1">
      <c r="A7" s="3" t="s">
        <v>6</v>
      </c>
      <c r="B7" s="1007" t="s">
        <v>5</v>
      </c>
      <c r="C7" s="1007"/>
      <c r="D7" s="29">
        <f>+'[4]6.a. mell. PH'!$F7</f>
        <v>5776</v>
      </c>
      <c r="E7" s="4"/>
      <c r="F7" s="29">
        <f t="shared" si="0"/>
        <v>5776</v>
      </c>
    </row>
    <row r="8" spans="1:6" ht="12" customHeight="1">
      <c r="A8" s="3" t="s">
        <v>8</v>
      </c>
      <c r="B8" s="1007" t="s">
        <v>7</v>
      </c>
      <c r="C8" s="1007"/>
      <c r="D8" s="29">
        <f>+'[4]6.a. mell. PH'!$F8</f>
        <v>976</v>
      </c>
      <c r="E8" s="4">
        <v>327</v>
      </c>
      <c r="F8" s="29">
        <f t="shared" si="0"/>
        <v>1303</v>
      </c>
    </row>
    <row r="9" spans="1:6" ht="12" customHeight="1">
      <c r="A9" s="3" t="s">
        <v>10</v>
      </c>
      <c r="B9" s="1007" t="s">
        <v>9</v>
      </c>
      <c r="C9" s="1007"/>
      <c r="D9" s="29">
        <f>+'[4]6.a. mell. PH'!$F9</f>
        <v>0</v>
      </c>
      <c r="E9" s="4"/>
      <c r="F9" s="29">
        <f t="shared" si="0"/>
        <v>0</v>
      </c>
    </row>
    <row r="10" spans="1:6" ht="12" customHeight="1">
      <c r="A10" s="3" t="s">
        <v>12</v>
      </c>
      <c r="B10" s="1007" t="s">
        <v>11</v>
      </c>
      <c r="C10" s="1007"/>
      <c r="D10" s="29">
        <f>+'[4]6.a. mell. PH'!$F10</f>
        <v>1851</v>
      </c>
      <c r="E10" s="20">
        <v>46</v>
      </c>
      <c r="F10" s="29">
        <f t="shared" si="0"/>
        <v>1897</v>
      </c>
    </row>
    <row r="11" spans="1:6" ht="12" customHeight="1">
      <c r="A11" s="3" t="s">
        <v>14</v>
      </c>
      <c r="B11" s="1007" t="s">
        <v>13</v>
      </c>
      <c r="C11" s="1007"/>
      <c r="D11" s="29">
        <f>+'[4]6.a. mell. PH'!$F11</f>
        <v>3893</v>
      </c>
      <c r="E11" s="20"/>
      <c r="F11" s="29">
        <f t="shared" si="0"/>
        <v>3893</v>
      </c>
    </row>
    <row r="12" spans="1:6" ht="12" customHeight="1">
      <c r="A12" s="3" t="s">
        <v>16</v>
      </c>
      <c r="B12" s="1007" t="s">
        <v>15</v>
      </c>
      <c r="C12" s="1007"/>
      <c r="D12" s="29">
        <f>+'[4]6.a. mell. PH'!$F12</f>
        <v>0</v>
      </c>
      <c r="E12" s="20"/>
      <c r="F12" s="29">
        <f t="shared" si="0"/>
        <v>0</v>
      </c>
    </row>
    <row r="13" spans="1:6" ht="12" customHeight="1">
      <c r="A13" s="3" t="s">
        <v>18</v>
      </c>
      <c r="B13" s="1007" t="s">
        <v>17</v>
      </c>
      <c r="C13" s="1007"/>
      <c r="D13" s="29">
        <f>+'[4]6.a. mell. PH'!$F13</f>
        <v>2836</v>
      </c>
      <c r="E13" s="20"/>
      <c r="F13" s="29">
        <f t="shared" si="0"/>
        <v>2836</v>
      </c>
    </row>
    <row r="14" spans="1:6" ht="12" customHeight="1">
      <c r="A14" s="3" t="s">
        <v>20</v>
      </c>
      <c r="B14" s="1007" t="s">
        <v>19</v>
      </c>
      <c r="C14" s="1007"/>
      <c r="D14" s="29">
        <f>+'[4]6.a. mell. PH'!$F14</f>
        <v>153</v>
      </c>
      <c r="E14" s="20"/>
      <c r="F14" s="29">
        <f t="shared" si="0"/>
        <v>153</v>
      </c>
    </row>
    <row r="15" spans="1:6" ht="12" customHeight="1">
      <c r="A15" s="3" t="s">
        <v>22</v>
      </c>
      <c r="B15" s="1007" t="s">
        <v>21</v>
      </c>
      <c r="C15" s="1007"/>
      <c r="D15" s="29">
        <f>+'[4]6.a. mell. PH'!$F15</f>
        <v>0</v>
      </c>
      <c r="E15" s="20"/>
      <c r="F15" s="29">
        <f t="shared" si="0"/>
        <v>0</v>
      </c>
    </row>
    <row r="16" spans="1:6" ht="12" customHeight="1">
      <c r="A16" s="3" t="s">
        <v>24</v>
      </c>
      <c r="B16" s="1007" t="s">
        <v>23</v>
      </c>
      <c r="C16" s="1007"/>
      <c r="D16" s="29">
        <f>+'[4]6.a. mell. PH'!$F16</f>
        <v>200</v>
      </c>
      <c r="E16" s="20">
        <v>72</v>
      </c>
      <c r="F16" s="29">
        <f t="shared" si="0"/>
        <v>272</v>
      </c>
    </row>
    <row r="17" spans="1:6" ht="12" customHeight="1">
      <c r="A17" s="3" t="s">
        <v>25</v>
      </c>
      <c r="B17" s="1007" t="s">
        <v>176</v>
      </c>
      <c r="C17" s="1007"/>
      <c r="D17" s="29">
        <f>+'[4]6.a. mell. PH'!$F17</f>
        <v>1013</v>
      </c>
      <c r="E17" s="20">
        <v>549</v>
      </c>
      <c r="F17" s="29">
        <f t="shared" si="0"/>
        <v>1562</v>
      </c>
    </row>
    <row r="18" spans="1:6" ht="12" customHeight="1">
      <c r="A18" s="3" t="s">
        <v>25</v>
      </c>
      <c r="B18" s="1007" t="s">
        <v>26</v>
      </c>
      <c r="C18" s="1007"/>
      <c r="D18" s="29">
        <f>+'[4]6.a. mell. PH'!$F18</f>
        <v>0</v>
      </c>
      <c r="E18" s="20"/>
      <c r="F18" s="29">
        <f t="shared" si="0"/>
        <v>0</v>
      </c>
    </row>
    <row r="19" spans="1:6" ht="12" customHeight="1">
      <c r="A19" s="5" t="s">
        <v>27</v>
      </c>
      <c r="B19" s="1006" t="s">
        <v>175</v>
      </c>
      <c r="C19" s="1006"/>
      <c r="D19" s="62">
        <f>SUM(D5:D18)</f>
        <v>98833</v>
      </c>
      <c r="E19" s="48">
        <f>SUM(E5:E18)</f>
        <v>6224</v>
      </c>
      <c r="F19" s="48">
        <f>SUM(F5:F18)</f>
        <v>105057</v>
      </c>
    </row>
    <row r="20" spans="1:6" ht="12" customHeight="1">
      <c r="A20" s="3" t="s">
        <v>29</v>
      </c>
      <c r="B20" s="1007" t="s">
        <v>28</v>
      </c>
      <c r="C20" s="1007"/>
      <c r="D20" s="29">
        <f>+'[4]6.a. mell. PH'!$F20</f>
        <v>0</v>
      </c>
      <c r="E20" s="20"/>
      <c r="F20" s="20"/>
    </row>
    <row r="21" spans="1:6" ht="12" customHeight="1">
      <c r="A21" s="3" t="s">
        <v>31</v>
      </c>
      <c r="B21" s="1007" t="s">
        <v>30</v>
      </c>
      <c r="C21" s="1007"/>
      <c r="D21" s="29">
        <f>+'[4]6.a. mell. PH'!$F21</f>
        <v>700</v>
      </c>
      <c r="E21" s="20"/>
      <c r="F21" s="30">
        <f>+D21+E21</f>
        <v>700</v>
      </c>
    </row>
    <row r="22" spans="1:6" ht="12" customHeight="1">
      <c r="A22" s="3" t="s">
        <v>33</v>
      </c>
      <c r="B22" s="1007" t="s">
        <v>32</v>
      </c>
      <c r="C22" s="1007"/>
      <c r="D22" s="29">
        <f>+'[4]6.a. mell. PH'!$F22</f>
        <v>77</v>
      </c>
      <c r="E22" s="20"/>
      <c r="F22" s="30">
        <f>+D22+E22</f>
        <v>77</v>
      </c>
    </row>
    <row r="23" spans="1:6" ht="12" customHeight="1">
      <c r="A23" s="5" t="s">
        <v>34</v>
      </c>
      <c r="B23" s="1006" t="s">
        <v>174</v>
      </c>
      <c r="C23" s="1006"/>
      <c r="D23" s="62">
        <f>SUM(D20:D22)</f>
        <v>777</v>
      </c>
      <c r="E23" s="48">
        <f>SUM(E20:E22)</f>
        <v>0</v>
      </c>
      <c r="F23" s="48">
        <f>SUM(F20:F22)</f>
        <v>777</v>
      </c>
    </row>
    <row r="24" spans="1:6" s="50" customFormat="1" ht="12" customHeight="1">
      <c r="A24" s="6" t="s">
        <v>35</v>
      </c>
      <c r="B24" s="1003" t="s">
        <v>173</v>
      </c>
      <c r="C24" s="1003"/>
      <c r="D24" s="59">
        <f>+D23+D19</f>
        <v>99610</v>
      </c>
      <c r="E24" s="46">
        <f>+E23+E19</f>
        <v>6224</v>
      </c>
      <c r="F24" s="46">
        <f>+F23+F19</f>
        <v>105834</v>
      </c>
    </row>
    <row r="25" spans="1:6" ht="10.5" customHeight="1">
      <c r="A25" s="7"/>
      <c r="B25" s="8"/>
      <c r="C25" s="8"/>
      <c r="D25" s="31"/>
      <c r="E25" s="22"/>
      <c r="F25" s="23"/>
    </row>
    <row r="26" spans="1:6" s="50" customFormat="1" ht="12" customHeight="1">
      <c r="A26" s="9" t="s">
        <v>36</v>
      </c>
      <c r="B26" s="1003" t="s">
        <v>172</v>
      </c>
      <c r="C26" s="1003"/>
      <c r="D26" s="58">
        <f>SUM(D27:D31)</f>
        <v>28350</v>
      </c>
      <c r="E26" s="49">
        <f>SUM(E27:E31)</f>
        <v>1680</v>
      </c>
      <c r="F26" s="49">
        <f>SUM(F27:F31)</f>
        <v>30030</v>
      </c>
    </row>
    <row r="27" spans="1:6" ht="12" customHeight="1">
      <c r="A27" s="35" t="s">
        <v>36</v>
      </c>
      <c r="B27" s="42"/>
      <c r="C27" s="36" t="s">
        <v>37</v>
      </c>
      <c r="D27" s="29">
        <f>+'[4]6.a. mell. PH'!$F27</f>
        <v>24962</v>
      </c>
      <c r="E27" s="20">
        <v>1680</v>
      </c>
      <c r="F27" s="30">
        <f>+D27+E27</f>
        <v>26642</v>
      </c>
    </row>
    <row r="28" spans="1:6" ht="12" customHeight="1">
      <c r="A28" s="35" t="s">
        <v>36</v>
      </c>
      <c r="B28" s="42"/>
      <c r="C28" s="36" t="s">
        <v>38</v>
      </c>
      <c r="D28" s="29">
        <f>+'[4]6.a. mell. PH'!$F28</f>
        <v>1929</v>
      </c>
      <c r="E28" s="20"/>
      <c r="F28" s="30">
        <f t="shared" ref="F28:F31" si="1">+D28+E28</f>
        <v>1929</v>
      </c>
    </row>
    <row r="29" spans="1:6" ht="12" customHeight="1">
      <c r="A29" s="35" t="s">
        <v>36</v>
      </c>
      <c r="B29" s="42"/>
      <c r="C29" s="36" t="s">
        <v>39</v>
      </c>
      <c r="D29" s="29">
        <f>+'[4]6.a. mell. PH'!$F29</f>
        <v>722</v>
      </c>
      <c r="E29" s="20"/>
      <c r="F29" s="30">
        <f t="shared" si="1"/>
        <v>722</v>
      </c>
    </row>
    <row r="30" spans="1:6" ht="12" customHeight="1">
      <c r="A30" s="35" t="s">
        <v>36</v>
      </c>
      <c r="B30" s="42"/>
      <c r="C30" s="36" t="s">
        <v>40</v>
      </c>
      <c r="D30" s="29">
        <f>+'[4]6.a. mell. PH'!$F30</f>
        <v>0</v>
      </c>
      <c r="E30" s="20"/>
      <c r="F30" s="30">
        <f t="shared" si="1"/>
        <v>0</v>
      </c>
    </row>
    <row r="31" spans="1:6" ht="12" customHeight="1">
      <c r="A31" s="37" t="s">
        <v>36</v>
      </c>
      <c r="B31" s="42"/>
      <c r="C31" s="36" t="s">
        <v>41</v>
      </c>
      <c r="D31" s="29">
        <f>+'[4]6.a. mell. PH'!$F31</f>
        <v>737</v>
      </c>
      <c r="E31" s="21"/>
      <c r="F31" s="30">
        <f t="shared" si="1"/>
        <v>737</v>
      </c>
    </row>
    <row r="32" spans="1:6" ht="8.25" customHeight="1">
      <c r="A32" s="10"/>
      <c r="B32" s="26"/>
      <c r="C32" s="11"/>
      <c r="D32" s="31"/>
      <c r="E32" s="22"/>
      <c r="F32" s="23"/>
    </row>
    <row r="33" spans="1:6" ht="12" customHeight="1">
      <c r="A33" s="12" t="s">
        <v>43</v>
      </c>
      <c r="B33" s="1004" t="s">
        <v>42</v>
      </c>
      <c r="C33" s="1004"/>
      <c r="D33" s="29">
        <f>+'[4]6.a. mell. PH'!$F33</f>
        <v>232</v>
      </c>
      <c r="E33" s="24">
        <f>50+30+44</f>
        <v>124</v>
      </c>
      <c r="F33" s="33">
        <f>+D33+E33</f>
        <v>356</v>
      </c>
    </row>
    <row r="34" spans="1:6" ht="12" customHeight="1">
      <c r="A34" s="3" t="s">
        <v>45</v>
      </c>
      <c r="B34" s="1007" t="s">
        <v>44</v>
      </c>
      <c r="C34" s="1007"/>
      <c r="D34" s="29">
        <f>+'[4]6.a. mell. PH'!$F34</f>
        <v>1708</v>
      </c>
      <c r="E34" s="20">
        <v>233</v>
      </c>
      <c r="F34" s="33">
        <f t="shared" ref="F34:F38" si="2">+D34+E34</f>
        <v>1941</v>
      </c>
    </row>
    <row r="35" spans="1:6" ht="12" customHeight="1">
      <c r="A35" s="3" t="s">
        <v>47</v>
      </c>
      <c r="B35" s="1007" t="s">
        <v>46</v>
      </c>
      <c r="C35" s="1007"/>
      <c r="D35" s="29">
        <f>+'[4]6.a. mell. PH'!$F35</f>
        <v>0</v>
      </c>
      <c r="E35" s="20"/>
      <c r="F35" s="33">
        <f t="shared" si="2"/>
        <v>0</v>
      </c>
    </row>
    <row r="36" spans="1:6" s="50" customFormat="1" ht="12" customHeight="1">
      <c r="A36" s="5" t="s">
        <v>48</v>
      </c>
      <c r="B36" s="1006" t="s">
        <v>171</v>
      </c>
      <c r="C36" s="1006"/>
      <c r="D36" s="62">
        <f>SUM(D33:D35)</f>
        <v>1940</v>
      </c>
      <c r="E36" s="62">
        <f t="shared" ref="E36:F36" si="3">SUM(E33:E35)</f>
        <v>357</v>
      </c>
      <c r="F36" s="62">
        <f t="shared" si="3"/>
        <v>2297</v>
      </c>
    </row>
    <row r="37" spans="1:6" ht="12" customHeight="1">
      <c r="A37" s="3" t="s">
        <v>50</v>
      </c>
      <c r="B37" s="1007" t="s">
        <v>49</v>
      </c>
      <c r="C37" s="1007"/>
      <c r="D37" s="29">
        <f>+'[4]6.a. mell. PH'!$F37</f>
        <v>1250</v>
      </c>
      <c r="E37" s="20"/>
      <c r="F37" s="33">
        <f t="shared" si="2"/>
        <v>1250</v>
      </c>
    </row>
    <row r="38" spans="1:6" ht="12" customHeight="1">
      <c r="A38" s="3" t="s">
        <v>52</v>
      </c>
      <c r="B38" s="1007" t="s">
        <v>51</v>
      </c>
      <c r="C38" s="1007"/>
      <c r="D38" s="29">
        <f>+'[4]6.a. mell. PH'!$F38</f>
        <v>1250</v>
      </c>
      <c r="E38" s="20"/>
      <c r="F38" s="33">
        <f t="shared" si="2"/>
        <v>1250</v>
      </c>
    </row>
    <row r="39" spans="1:6" s="50" customFormat="1" ht="12" customHeight="1">
      <c r="A39" s="5" t="s">
        <v>53</v>
      </c>
      <c r="B39" s="1006" t="s">
        <v>170</v>
      </c>
      <c r="C39" s="1006"/>
      <c r="D39" s="62">
        <f>SUM(D37:D38)</f>
        <v>2500</v>
      </c>
      <c r="E39" s="62">
        <f t="shared" ref="E39:F39" si="4">SUM(E37:E38)</f>
        <v>0</v>
      </c>
      <c r="F39" s="62">
        <f t="shared" si="4"/>
        <v>2500</v>
      </c>
    </row>
    <row r="40" spans="1:6" ht="12" customHeight="1">
      <c r="A40" s="3" t="s">
        <v>55</v>
      </c>
      <c r="B40" s="1007" t="s">
        <v>54</v>
      </c>
      <c r="C40" s="1007"/>
      <c r="D40" s="29">
        <f>+'[4]6.a. mell. PH'!$F40</f>
        <v>0</v>
      </c>
      <c r="E40" s="20"/>
      <c r="F40" s="20"/>
    </row>
    <row r="41" spans="1:6" ht="12" customHeight="1">
      <c r="A41" s="3" t="s">
        <v>57</v>
      </c>
      <c r="B41" s="1007" t="s">
        <v>56</v>
      </c>
      <c r="C41" s="1007"/>
      <c r="D41" s="29">
        <f>+'[4]6.a. mell. PH'!$F41</f>
        <v>0</v>
      </c>
      <c r="E41" s="20"/>
      <c r="F41" s="20"/>
    </row>
    <row r="42" spans="1:6" ht="12" customHeight="1">
      <c r="A42" s="3" t="s">
        <v>58</v>
      </c>
      <c r="B42" s="1007" t="s">
        <v>168</v>
      </c>
      <c r="C42" s="1007"/>
      <c r="D42" s="29">
        <f>+'[4]6.a. mell. PH'!$F42</f>
        <v>132</v>
      </c>
      <c r="E42" s="20"/>
      <c r="F42" s="33">
        <f t="shared" ref="F42:F50" si="5">+D42+E42</f>
        <v>132</v>
      </c>
    </row>
    <row r="43" spans="1:6" ht="12" customHeight="1">
      <c r="A43" s="3" t="s">
        <v>60</v>
      </c>
      <c r="B43" s="1007" t="s">
        <v>59</v>
      </c>
      <c r="C43" s="1007"/>
      <c r="D43" s="29">
        <f>+'[4]6.a. mell. PH'!$F43</f>
        <v>1710</v>
      </c>
      <c r="E43" s="20"/>
      <c r="F43" s="33">
        <f t="shared" si="5"/>
        <v>1710</v>
      </c>
    </row>
    <row r="44" spans="1:6" ht="12" customHeight="1">
      <c r="A44" s="3" t="s">
        <v>61</v>
      </c>
      <c r="B44" s="1020" t="s">
        <v>167</v>
      </c>
      <c r="C44" s="1020"/>
      <c r="D44" s="29">
        <f>+'[4]6.a. mell. PH'!$F44</f>
        <v>40</v>
      </c>
      <c r="E44" s="20"/>
      <c r="F44" s="33">
        <f t="shared" si="5"/>
        <v>40</v>
      </c>
    </row>
    <row r="45" spans="1:6" ht="12" customHeight="1">
      <c r="A45" s="35" t="s">
        <v>61</v>
      </c>
      <c r="B45" s="42"/>
      <c r="C45" s="36" t="s">
        <v>62</v>
      </c>
      <c r="D45" s="29">
        <f>+'[4]6.a. mell. PH'!$F45</f>
        <v>0</v>
      </c>
      <c r="E45" s="20"/>
      <c r="F45" s="33">
        <f t="shared" si="5"/>
        <v>0</v>
      </c>
    </row>
    <row r="46" spans="1:6" ht="12" customHeight="1">
      <c r="A46" s="35" t="s">
        <v>61</v>
      </c>
      <c r="B46" s="42"/>
      <c r="C46" s="36" t="s">
        <v>169</v>
      </c>
      <c r="D46" s="29">
        <f>+'[4]6.a. mell. PH'!$F46</f>
        <v>0</v>
      </c>
      <c r="E46" s="20"/>
      <c r="F46" s="33">
        <f t="shared" si="5"/>
        <v>0</v>
      </c>
    </row>
    <row r="47" spans="1:6" ht="12" customHeight="1">
      <c r="A47" s="3" t="s">
        <v>64</v>
      </c>
      <c r="B47" s="1004" t="s">
        <v>63</v>
      </c>
      <c r="C47" s="1004"/>
      <c r="D47" s="29">
        <f>+'[4]6.a. mell. PH'!$F47</f>
        <v>1158</v>
      </c>
      <c r="E47" s="20">
        <v>268</v>
      </c>
      <c r="F47" s="33">
        <f t="shared" si="5"/>
        <v>1426</v>
      </c>
    </row>
    <row r="48" spans="1:6" ht="12" customHeight="1">
      <c r="A48" s="3" t="s">
        <v>66</v>
      </c>
      <c r="B48" s="1007" t="s">
        <v>65</v>
      </c>
      <c r="C48" s="1007"/>
      <c r="D48" s="29">
        <f>+'[4]6.a. mell. PH'!$F48</f>
        <v>5300</v>
      </c>
      <c r="E48" s="20"/>
      <c r="F48" s="33">
        <f t="shared" si="5"/>
        <v>5300</v>
      </c>
    </row>
    <row r="49" spans="1:6" s="50" customFormat="1" ht="12" customHeight="1">
      <c r="A49" s="5" t="s">
        <v>67</v>
      </c>
      <c r="B49" s="1006" t="s">
        <v>157</v>
      </c>
      <c r="C49" s="1006"/>
      <c r="D49" s="62">
        <f>+D48+D47+D44+D43+D42+D41+D40</f>
        <v>8340</v>
      </c>
      <c r="E49" s="62">
        <f t="shared" ref="E49" si="6">+E48+E47+E44+E43+E42+E41+E40</f>
        <v>268</v>
      </c>
      <c r="F49" s="62">
        <f>+F48+F47+F44+F43+F42+F41+F40</f>
        <v>8608</v>
      </c>
    </row>
    <row r="50" spans="1:6" ht="12" customHeight="1">
      <c r="A50" s="3" t="s">
        <v>69</v>
      </c>
      <c r="B50" s="1007" t="s">
        <v>68</v>
      </c>
      <c r="C50" s="1007"/>
      <c r="D50" s="29">
        <f>+'[4]6.a. mell. PH'!$F50</f>
        <v>350</v>
      </c>
      <c r="E50" s="20">
        <v>100</v>
      </c>
      <c r="F50" s="33">
        <f t="shared" si="5"/>
        <v>450</v>
      </c>
    </row>
    <row r="51" spans="1:6" ht="12" customHeight="1">
      <c r="A51" s="3" t="s">
        <v>71</v>
      </c>
      <c r="B51" s="1007" t="s">
        <v>70</v>
      </c>
      <c r="C51" s="1007"/>
      <c r="D51" s="29">
        <f>+'[4]6.a. mell. PH'!$F51</f>
        <v>0</v>
      </c>
      <c r="E51" s="20"/>
      <c r="F51" s="20"/>
    </row>
    <row r="52" spans="1:6" ht="12" customHeight="1">
      <c r="A52" s="5" t="s">
        <v>72</v>
      </c>
      <c r="B52" s="1006" t="s">
        <v>156</v>
      </c>
      <c r="C52" s="1006"/>
      <c r="D52" s="62">
        <f>SUM(D50:D51)</f>
        <v>350</v>
      </c>
      <c r="E52" s="62">
        <f t="shared" ref="E52:F52" si="7">SUM(E50:E51)</f>
        <v>100</v>
      </c>
      <c r="F52" s="62">
        <f t="shared" si="7"/>
        <v>450</v>
      </c>
    </row>
    <row r="53" spans="1:6" ht="12" customHeight="1">
      <c r="A53" s="3" t="s">
        <v>74</v>
      </c>
      <c r="B53" s="1007" t="s">
        <v>73</v>
      </c>
      <c r="C53" s="1007"/>
      <c r="D53" s="29">
        <f>+'[4]6.a. mell. PH'!$F53</f>
        <v>1736</v>
      </c>
      <c r="E53" s="20">
        <v>12</v>
      </c>
      <c r="F53" s="33">
        <f t="shared" ref="F53" si="8">+D53+E53</f>
        <v>1748</v>
      </c>
    </row>
    <row r="54" spans="1:6" ht="12" customHeight="1">
      <c r="A54" s="3" t="s">
        <v>76</v>
      </c>
      <c r="B54" s="1007" t="s">
        <v>75</v>
      </c>
      <c r="C54" s="1007"/>
      <c r="D54" s="29">
        <f>+'[4]6.a. mell. PH'!$F54</f>
        <v>0</v>
      </c>
      <c r="E54" s="20"/>
      <c r="F54" s="20"/>
    </row>
    <row r="55" spans="1:6" ht="12" customHeight="1">
      <c r="A55" s="3" t="s">
        <v>77</v>
      </c>
      <c r="B55" s="1007" t="s">
        <v>155</v>
      </c>
      <c r="C55" s="1007"/>
      <c r="D55" s="29">
        <f>+'[4]6.a. mell. PH'!$F55</f>
        <v>0</v>
      </c>
      <c r="E55" s="20"/>
      <c r="F55" s="20"/>
    </row>
    <row r="56" spans="1:6" ht="12" customHeight="1">
      <c r="A56" s="3" t="s">
        <v>78</v>
      </c>
      <c r="B56" s="1007" t="s">
        <v>154</v>
      </c>
      <c r="C56" s="1007"/>
      <c r="D56" s="29">
        <f>+'[4]6.a. mell. PH'!$F56</f>
        <v>0</v>
      </c>
      <c r="E56" s="20"/>
      <c r="F56" s="20"/>
    </row>
    <row r="57" spans="1:6" ht="12" customHeight="1">
      <c r="A57" s="3" t="s">
        <v>80</v>
      </c>
      <c r="B57" s="1007" t="s">
        <v>79</v>
      </c>
      <c r="C57" s="1007"/>
      <c r="D57" s="29">
        <f>+'[4]6.a. mell. PH'!$F57</f>
        <v>100</v>
      </c>
      <c r="E57" s="20"/>
      <c r="F57" s="33">
        <f t="shared" ref="F57" si="9">+D57+E57</f>
        <v>100</v>
      </c>
    </row>
    <row r="58" spans="1:6" ht="12" customHeight="1">
      <c r="A58" s="5" t="s">
        <v>81</v>
      </c>
      <c r="B58" s="1006" t="s">
        <v>153</v>
      </c>
      <c r="C58" s="1006"/>
      <c r="D58" s="62">
        <f>SUM(D53:D57)</f>
        <v>1836</v>
      </c>
      <c r="E58" s="62">
        <f t="shared" ref="E58" si="10">SUM(E53:E57)</f>
        <v>12</v>
      </c>
      <c r="F58" s="62">
        <f>SUM(F53:F57)</f>
        <v>1848</v>
      </c>
    </row>
    <row r="59" spans="1:6" ht="12" customHeight="1">
      <c r="A59" s="6" t="s">
        <v>82</v>
      </c>
      <c r="B59" s="1003" t="s">
        <v>152</v>
      </c>
      <c r="C59" s="1003"/>
      <c r="D59" s="59">
        <f>+D58+D52+D49+D39+D36</f>
        <v>14966</v>
      </c>
      <c r="E59" s="59">
        <f t="shared" ref="E59" si="11">+E58+E52+E49+E39+E36</f>
        <v>737</v>
      </c>
      <c r="F59" s="59">
        <f>+F58+F52+F49+F39+F36</f>
        <v>15703</v>
      </c>
    </row>
    <row r="60" spans="1:6" ht="12" customHeight="1">
      <c r="A60" s="7"/>
      <c r="B60" s="8"/>
      <c r="C60" s="8"/>
      <c r="D60" s="31"/>
      <c r="E60" s="22"/>
      <c r="F60" s="23"/>
    </row>
    <row r="61" spans="1:6" ht="12" customHeight="1">
      <c r="A61" s="10" t="s">
        <v>102</v>
      </c>
      <c r="B61" s="1110" t="s">
        <v>859</v>
      </c>
      <c r="C61" s="1002"/>
      <c r="D61" s="30">
        <f>+'[4]6.a. mell. PH'!$F61</f>
        <v>499</v>
      </c>
      <c r="E61" s="20">
        <f>E62</f>
        <v>0</v>
      </c>
      <c r="F61" s="32">
        <f>SUM(D61:E61)</f>
        <v>499</v>
      </c>
    </row>
    <row r="62" spans="1:6" ht="12" customHeight="1">
      <c r="A62" s="10"/>
      <c r="B62" s="834"/>
      <c r="C62" s="844" t="s">
        <v>862</v>
      </c>
      <c r="D62" s="30">
        <f>+'[4]6.a. mell. PH'!$F62</f>
        <v>499</v>
      </c>
      <c r="E62" s="20"/>
      <c r="F62" s="32">
        <f>SUM(D62:E62)</f>
        <v>499</v>
      </c>
    </row>
    <row r="63" spans="1:6" ht="12" customHeight="1">
      <c r="A63" s="3" t="s">
        <v>108</v>
      </c>
      <c r="B63" s="1110" t="s">
        <v>165</v>
      </c>
      <c r="C63" s="1002"/>
      <c r="D63" s="30">
        <f>+D64</f>
        <v>8646</v>
      </c>
      <c r="E63" s="30"/>
      <c r="F63" s="32">
        <f t="shared" ref="F63" si="12">+F64</f>
        <v>8646</v>
      </c>
    </row>
    <row r="64" spans="1:6" ht="12" customHeight="1">
      <c r="A64" s="44" t="s">
        <v>108</v>
      </c>
      <c r="B64" s="42"/>
      <c r="C64" s="38" t="s">
        <v>105</v>
      </c>
      <c r="D64" s="30">
        <f>+'[4]6.a. mell. PH'!$F64</f>
        <v>8646</v>
      </c>
      <c r="E64" s="20"/>
      <c r="F64" s="33">
        <f t="shared" ref="F64" si="13">+D64+E64</f>
        <v>8646</v>
      </c>
    </row>
    <row r="65" spans="1:6" ht="12" customHeight="1">
      <c r="A65" s="6" t="s">
        <v>109</v>
      </c>
      <c r="B65" s="1003" t="s">
        <v>164</v>
      </c>
      <c r="C65" s="1003"/>
      <c r="D65" s="59">
        <f>+D61+D63</f>
        <v>9145</v>
      </c>
      <c r="E65" s="59">
        <f t="shared" ref="E65:F65" si="14">+E61+E63</f>
        <v>0</v>
      </c>
      <c r="F65" s="59">
        <f t="shared" si="14"/>
        <v>9145</v>
      </c>
    </row>
    <row r="66" spans="1:6" ht="12" customHeight="1">
      <c r="A66" s="7"/>
      <c r="B66" s="8"/>
      <c r="C66" s="8"/>
      <c r="D66" s="31"/>
      <c r="E66" s="22"/>
      <c r="F66" s="23"/>
    </row>
    <row r="67" spans="1:6" ht="12" customHeight="1">
      <c r="A67" s="12" t="s">
        <v>111</v>
      </c>
      <c r="B67" s="1004" t="s">
        <v>110</v>
      </c>
      <c r="C67" s="1004"/>
      <c r="D67" s="33"/>
      <c r="E67" s="24"/>
      <c r="F67" s="24"/>
    </row>
    <row r="68" spans="1:6" ht="12" customHeight="1">
      <c r="A68" s="3" t="s">
        <v>112</v>
      </c>
      <c r="B68" s="1007" t="s">
        <v>163</v>
      </c>
      <c r="C68" s="1007"/>
      <c r="D68" s="30"/>
      <c r="E68" s="20"/>
      <c r="F68" s="20"/>
    </row>
    <row r="69" spans="1:6" ht="12" customHeight="1">
      <c r="A69" s="39" t="s">
        <v>112</v>
      </c>
      <c r="B69" s="42"/>
      <c r="C69" s="45" t="s">
        <v>113</v>
      </c>
      <c r="D69" s="30"/>
      <c r="E69" s="20"/>
      <c r="F69" s="20"/>
    </row>
    <row r="70" spans="1:6" ht="12" customHeight="1">
      <c r="A70" s="3" t="s">
        <v>115</v>
      </c>
      <c r="B70" s="1007" t="s">
        <v>114</v>
      </c>
      <c r="C70" s="1007"/>
      <c r="D70" s="30"/>
      <c r="E70" s="20">
        <f>49+466</f>
        <v>515</v>
      </c>
      <c r="F70" s="33">
        <f t="shared" ref="F70:F71" si="15">+D70+E70</f>
        <v>515</v>
      </c>
    </row>
    <row r="71" spans="1:6" ht="12" customHeight="1">
      <c r="A71" s="3" t="s">
        <v>117</v>
      </c>
      <c r="B71" s="1007" t="s">
        <v>116</v>
      </c>
      <c r="C71" s="1007"/>
      <c r="D71" s="30">
        <f>+'[4]6.a. mell. PH'!$F71</f>
        <v>2519</v>
      </c>
      <c r="E71" s="20">
        <f>217-93-466</f>
        <v>-342</v>
      </c>
      <c r="F71" s="33">
        <f t="shared" si="15"/>
        <v>2177</v>
      </c>
    </row>
    <row r="72" spans="1:6" ht="12" customHeight="1">
      <c r="A72" s="3" t="s">
        <v>119</v>
      </c>
      <c r="B72" s="1007" t="s">
        <v>118</v>
      </c>
      <c r="C72" s="1007"/>
      <c r="D72" s="30">
        <f>+'[4]6.a. mell. PH'!$F72</f>
        <v>0</v>
      </c>
      <c r="E72" s="20"/>
      <c r="F72" s="20"/>
    </row>
    <row r="73" spans="1:6" ht="12" customHeight="1">
      <c r="A73" s="3" t="s">
        <v>121</v>
      </c>
      <c r="B73" s="1007" t="s">
        <v>120</v>
      </c>
      <c r="C73" s="1007"/>
      <c r="D73" s="30">
        <f>+'[4]6.a. mell. PH'!$F73</f>
        <v>0</v>
      </c>
      <c r="E73" s="20"/>
      <c r="F73" s="20"/>
    </row>
    <row r="74" spans="1:6" ht="12" customHeight="1">
      <c r="A74" s="3" t="s">
        <v>123</v>
      </c>
      <c r="B74" s="1007" t="s">
        <v>122</v>
      </c>
      <c r="C74" s="1007"/>
      <c r="D74" s="30">
        <f>+'[4]6.a. mell. PH'!$F74</f>
        <v>680</v>
      </c>
      <c r="E74" s="20">
        <f>59-12</f>
        <v>47</v>
      </c>
      <c r="F74" s="33">
        <f t="shared" ref="F74" si="16">+D74+E74</f>
        <v>727</v>
      </c>
    </row>
    <row r="75" spans="1:6" ht="12" customHeight="1">
      <c r="A75" s="6" t="s">
        <v>124</v>
      </c>
      <c r="B75" s="1003" t="s">
        <v>162</v>
      </c>
      <c r="C75" s="1003"/>
      <c r="D75" s="59">
        <f>+D74+D73+D72+D71+D70+D68+D67</f>
        <v>3199</v>
      </c>
      <c r="E75" s="46">
        <f>+E74+E73+E72+E71+E70+E68+E67</f>
        <v>220</v>
      </c>
      <c r="F75" s="46">
        <f>+F74+F73+F72+F71+F70+F68+F67</f>
        <v>3419</v>
      </c>
    </row>
    <row r="76" spans="1:6" ht="12" customHeight="1">
      <c r="A76" s="7"/>
      <c r="B76" s="8"/>
      <c r="C76" s="8"/>
      <c r="D76" s="31"/>
      <c r="E76" s="22"/>
      <c r="F76" s="23"/>
    </row>
    <row r="77" spans="1:6" ht="12" hidden="1" customHeight="1">
      <c r="A77" s="12" t="s">
        <v>126</v>
      </c>
      <c r="B77" s="1004" t="s">
        <v>125</v>
      </c>
      <c r="C77" s="1004"/>
      <c r="D77" s="33"/>
      <c r="E77" s="24"/>
      <c r="F77" s="24"/>
    </row>
    <row r="78" spans="1:6" ht="12" hidden="1" customHeight="1">
      <c r="A78" s="3" t="s">
        <v>128</v>
      </c>
      <c r="B78" s="1007" t="s">
        <v>127</v>
      </c>
      <c r="C78" s="1007"/>
      <c r="D78" s="30"/>
      <c r="E78" s="20"/>
      <c r="F78" s="20"/>
    </row>
    <row r="79" spans="1:6" ht="12" hidden="1" customHeight="1">
      <c r="A79" s="3" t="s">
        <v>130</v>
      </c>
      <c r="B79" s="1007" t="s">
        <v>129</v>
      </c>
      <c r="C79" s="1007"/>
      <c r="D79" s="30"/>
      <c r="E79" s="20"/>
      <c r="F79" s="20"/>
    </row>
    <row r="80" spans="1:6" ht="12" hidden="1" customHeight="1">
      <c r="A80" s="3" t="s">
        <v>132</v>
      </c>
      <c r="B80" s="1007" t="s">
        <v>131</v>
      </c>
      <c r="C80" s="1007"/>
      <c r="D80" s="30"/>
      <c r="E80" s="20"/>
      <c r="F80" s="20"/>
    </row>
    <row r="81" spans="1:6" ht="12" customHeight="1">
      <c r="A81" s="5" t="s">
        <v>133</v>
      </c>
      <c r="B81" s="1006" t="s">
        <v>161</v>
      </c>
      <c r="C81" s="1006"/>
      <c r="D81" s="62">
        <f>SUM(D77:D80)</f>
        <v>0</v>
      </c>
      <c r="E81" s="48">
        <f>SUM(E77:E80)</f>
        <v>0</v>
      </c>
      <c r="F81" s="48">
        <f>SUM(F77:F80)</f>
        <v>0</v>
      </c>
    </row>
    <row r="82" spans="1:6" ht="12" customHeight="1">
      <c r="A82" s="7"/>
      <c r="B82" s="16"/>
      <c r="C82" s="16"/>
      <c r="D82" s="31"/>
      <c r="E82" s="22"/>
      <c r="F82" s="23"/>
    </row>
    <row r="83" spans="1:6" ht="12" customHeight="1">
      <c r="A83" s="15" t="s">
        <v>135</v>
      </c>
      <c r="B83" s="1008" t="s">
        <v>159</v>
      </c>
      <c r="C83" s="1008"/>
      <c r="D83" s="30"/>
      <c r="E83" s="20"/>
      <c r="F83" s="20"/>
    </row>
    <row r="84" spans="1:6" ht="12" customHeight="1" thickBot="1">
      <c r="A84" s="51"/>
      <c r="B84" s="52"/>
      <c r="C84" s="52"/>
      <c r="D84" s="350"/>
      <c r="E84" s="53"/>
      <c r="F84" s="25"/>
    </row>
    <row r="85" spans="1:6" ht="12" customHeight="1" thickBot="1">
      <c r="A85" s="54" t="s">
        <v>136</v>
      </c>
      <c r="B85" s="1009" t="s">
        <v>158</v>
      </c>
      <c r="C85" s="1009"/>
      <c r="D85" s="69">
        <f>+D83+D81+D75+D65+D59+D26+D24</f>
        <v>155270</v>
      </c>
      <c r="E85" s="55">
        <f>+E83+E81+E75+E65+E59+E26+E24</f>
        <v>8861</v>
      </c>
      <c r="F85" s="69">
        <f>+F83+F81+F75+F65+F59+F26+F24</f>
        <v>164131</v>
      </c>
    </row>
  </sheetData>
  <mergeCells count="69"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3:C83"/>
    <mergeCell ref="B73:C73"/>
    <mergeCell ref="B75:C75"/>
    <mergeCell ref="B77:C77"/>
    <mergeCell ref="B78:C78"/>
    <mergeCell ref="B55:C55"/>
    <mergeCell ref="B56:C56"/>
    <mergeCell ref="B79:C79"/>
    <mergeCell ref="B81:C81"/>
    <mergeCell ref="B68:C68"/>
    <mergeCell ref="B52:C52"/>
    <mergeCell ref="B53:C53"/>
    <mergeCell ref="B23:C23"/>
    <mergeCell ref="B24:C24"/>
    <mergeCell ref="B70:C70"/>
    <mergeCell ref="B71:C71"/>
    <mergeCell ref="B72:C72"/>
    <mergeCell ref="B57:C57"/>
    <mergeCell ref="B58:C58"/>
    <mergeCell ref="B59:C59"/>
    <mergeCell ref="B61:C61"/>
    <mergeCell ref="B63:C63"/>
    <mergeCell ref="B65:C65"/>
    <mergeCell ref="B67:C67"/>
    <mergeCell ref="B54:C54"/>
    <mergeCell ref="B49:C49"/>
    <mergeCell ref="B40:C40"/>
    <mergeCell ref="B41:C41"/>
    <mergeCell ref="B7:C7"/>
    <mergeCell ref="B8:C8"/>
    <mergeCell ref="B10:C10"/>
    <mergeCell ref="B11:C11"/>
    <mergeCell ref="B17:C17"/>
    <mergeCell ref="B74:C74"/>
    <mergeCell ref="B80:C80"/>
    <mergeCell ref="B85:C85"/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1" orientation="portrait" r:id="rId1"/>
  <headerFooter>
    <oddHeader>&amp;C&amp;"Times New Roman,Félkövér"&amp;12Martonvásár Város Önkormányzatának kiadásai 2016.
Polgármesteri Hivatal&amp;R&amp;"Times New Roman,Félkövér"&amp;12 6.a melléklet</oddHeader>
  </headerFooter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6"/>
  <sheetViews>
    <sheetView workbookViewId="0">
      <pane xSplit="3" ySplit="4" topLeftCell="D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D86" sqref="D86"/>
    </sheetView>
  </sheetViews>
  <sheetFormatPr defaultColWidth="8.6640625" defaultRowHeight="14.4"/>
  <cols>
    <col min="1" max="1" width="6.109375" style="303" customWidth="1"/>
    <col min="2" max="2" width="7.109375" style="304" customWidth="1"/>
    <col min="3" max="3" width="25" style="304" customWidth="1"/>
    <col min="4" max="4" width="8.88671875" style="305" bestFit="1" customWidth="1"/>
    <col min="5" max="5" width="6.44140625" style="305" customWidth="1"/>
    <col min="6" max="6" width="8" style="305" customWidth="1"/>
    <col min="7" max="7" width="8.88671875" style="305" bestFit="1" customWidth="1"/>
    <col min="8" max="8" width="6.6640625" style="305" customWidth="1"/>
    <col min="9" max="9" width="7.44140625" style="305" customWidth="1"/>
    <col min="10" max="10" width="8.88671875" style="305" bestFit="1" customWidth="1"/>
    <col min="11" max="11" width="7.109375" style="305" customWidth="1"/>
    <col min="12" max="12" width="6.44140625" style="305" customWidth="1"/>
    <col min="13" max="13" width="6.5546875" style="305" bestFit="1" customWidth="1"/>
    <col min="14" max="15" width="6.88671875" style="305" customWidth="1"/>
    <col min="16" max="16" width="8.88671875" style="305" bestFit="1" customWidth="1"/>
    <col min="17" max="18" width="6.6640625" style="305" bestFit="1" customWidth="1"/>
    <col min="19" max="16384" width="8.6640625" style="268"/>
  </cols>
  <sheetData>
    <row r="1" spans="1:18">
      <c r="A1" s="269"/>
      <c r="B1" s="270"/>
      <c r="C1" s="270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1120" t="s">
        <v>406</v>
      </c>
      <c r="Q1" s="1120"/>
      <c r="R1" s="1120"/>
    </row>
    <row r="2" spans="1:18" ht="40.5" customHeight="1">
      <c r="A2" s="1115" t="s">
        <v>0</v>
      </c>
      <c r="B2" s="1115" t="s">
        <v>180</v>
      </c>
      <c r="C2" s="1115"/>
      <c r="D2" s="1117" t="s">
        <v>178</v>
      </c>
      <c r="E2" s="1118"/>
      <c r="F2" s="1119"/>
      <c r="G2" s="1065" t="s">
        <v>183</v>
      </c>
      <c r="H2" s="1065"/>
      <c r="I2" s="1065"/>
      <c r="J2" s="1065" t="s">
        <v>287</v>
      </c>
      <c r="K2" s="1065"/>
      <c r="L2" s="1065"/>
      <c r="M2" s="1065" t="s">
        <v>288</v>
      </c>
      <c r="N2" s="1065"/>
      <c r="O2" s="1065"/>
      <c r="P2" s="1065" t="s">
        <v>620</v>
      </c>
      <c r="Q2" s="1065"/>
      <c r="R2" s="1065"/>
    </row>
    <row r="3" spans="1:18">
      <c r="A3" s="1115"/>
      <c r="B3" s="1115"/>
      <c r="C3" s="1115"/>
      <c r="D3" s="1117"/>
      <c r="E3" s="1118"/>
      <c r="F3" s="1119"/>
      <c r="G3" s="1065" t="s">
        <v>187</v>
      </c>
      <c r="H3" s="1065"/>
      <c r="I3" s="1065"/>
      <c r="J3" s="1065" t="s">
        <v>187</v>
      </c>
      <c r="K3" s="1065"/>
      <c r="L3" s="1065"/>
      <c r="M3" s="1065" t="s">
        <v>187</v>
      </c>
      <c r="N3" s="1065"/>
      <c r="O3" s="1065"/>
      <c r="P3" s="1065" t="s">
        <v>187</v>
      </c>
      <c r="Q3" s="1065"/>
      <c r="R3" s="1065"/>
    </row>
    <row r="4" spans="1:18" s="272" customFormat="1" ht="27.6" customHeight="1">
      <c r="A4" s="1115"/>
      <c r="B4" s="1115"/>
      <c r="C4" s="1115"/>
      <c r="D4" s="922" t="s">
        <v>747</v>
      </c>
      <c r="E4" s="836" t="s">
        <v>745</v>
      </c>
      <c r="F4" s="922" t="s">
        <v>912</v>
      </c>
      <c r="G4" s="922" t="s">
        <v>747</v>
      </c>
      <c r="H4" s="922" t="s">
        <v>745</v>
      </c>
      <c r="I4" s="922" t="s">
        <v>912</v>
      </c>
      <c r="J4" s="922" t="s">
        <v>747</v>
      </c>
      <c r="K4" s="922" t="s">
        <v>745</v>
      </c>
      <c r="L4" s="922" t="s">
        <v>912</v>
      </c>
      <c r="M4" s="922" t="s">
        <v>747</v>
      </c>
      <c r="N4" s="922" t="s">
        <v>745</v>
      </c>
      <c r="O4" s="922" t="s">
        <v>912</v>
      </c>
      <c r="P4" s="922" t="s">
        <v>747</v>
      </c>
      <c r="Q4" s="922" t="s">
        <v>745</v>
      </c>
      <c r="R4" s="922" t="s">
        <v>912</v>
      </c>
    </row>
    <row r="5" spans="1:18">
      <c r="A5" s="273" t="s">
        <v>2</v>
      </c>
      <c r="B5" s="1112" t="s">
        <v>1</v>
      </c>
      <c r="C5" s="1112"/>
      <c r="D5" s="333">
        <f>+G5+J5+M5+P5</f>
        <v>96248</v>
      </c>
      <c r="E5" s="333">
        <f t="shared" ref="E5:F18" si="0">+H5+K5+N5+Q5</f>
        <v>-428</v>
      </c>
      <c r="F5" s="333">
        <f t="shared" si="0"/>
        <v>95820</v>
      </c>
      <c r="G5" s="333">
        <f>+'[4]6.b. mell. Óvoda'!$I$5</f>
        <v>96248</v>
      </c>
      <c r="H5" s="333">
        <v>-428</v>
      </c>
      <c r="I5" s="333">
        <f>+G5+H5</f>
        <v>95820</v>
      </c>
      <c r="J5" s="333"/>
      <c r="K5" s="333"/>
      <c r="L5" s="333"/>
      <c r="M5" s="333"/>
      <c r="N5" s="333"/>
      <c r="O5" s="333"/>
      <c r="P5" s="333"/>
      <c r="Q5" s="333"/>
      <c r="R5" s="333"/>
    </row>
    <row r="6" spans="1:18">
      <c r="A6" s="273" t="s">
        <v>4</v>
      </c>
      <c r="B6" s="1112" t="s">
        <v>3</v>
      </c>
      <c r="C6" s="1112"/>
      <c r="D6" s="333">
        <f t="shared" ref="D6:D18" si="1">+G6+J6+M6+P6</f>
        <v>0</v>
      </c>
      <c r="E6" s="333">
        <f t="shared" si="0"/>
        <v>0</v>
      </c>
      <c r="F6" s="333">
        <f t="shared" si="0"/>
        <v>0</v>
      </c>
      <c r="G6" s="333"/>
      <c r="H6" s="333"/>
      <c r="I6" s="333">
        <f t="shared" ref="I6:I17" si="2">+G6+H6</f>
        <v>0</v>
      </c>
      <c r="J6" s="333"/>
      <c r="K6" s="333"/>
      <c r="L6" s="333"/>
      <c r="M6" s="333"/>
      <c r="N6" s="333"/>
      <c r="O6" s="333"/>
      <c r="P6" s="333"/>
      <c r="Q6" s="333"/>
      <c r="R6" s="333"/>
    </row>
    <row r="7" spans="1:18">
      <c r="A7" s="273" t="s">
        <v>6</v>
      </c>
      <c r="B7" s="1112" t="s">
        <v>5</v>
      </c>
      <c r="C7" s="1112"/>
      <c r="D7" s="333">
        <f t="shared" si="1"/>
        <v>0</v>
      </c>
      <c r="E7" s="333">
        <f t="shared" si="0"/>
        <v>0</v>
      </c>
      <c r="F7" s="333">
        <f t="shared" si="0"/>
        <v>0</v>
      </c>
      <c r="G7" s="333"/>
      <c r="H7" s="333"/>
      <c r="I7" s="333">
        <f t="shared" si="2"/>
        <v>0</v>
      </c>
      <c r="J7" s="333"/>
      <c r="K7" s="333"/>
      <c r="L7" s="333"/>
      <c r="M7" s="333"/>
      <c r="N7" s="333"/>
      <c r="O7" s="333"/>
      <c r="P7" s="333"/>
      <c r="Q7" s="333"/>
      <c r="R7" s="333"/>
    </row>
    <row r="8" spans="1:18">
      <c r="A8" s="273" t="s">
        <v>8</v>
      </c>
      <c r="B8" s="1112" t="s">
        <v>7</v>
      </c>
      <c r="C8" s="1112"/>
      <c r="D8" s="333">
        <f t="shared" si="1"/>
        <v>1034</v>
      </c>
      <c r="E8" s="333">
        <f t="shared" si="0"/>
        <v>-529</v>
      </c>
      <c r="F8" s="333">
        <f t="shared" si="0"/>
        <v>505</v>
      </c>
      <c r="G8" s="333">
        <v>1034</v>
      </c>
      <c r="H8" s="333">
        <v>-529</v>
      </c>
      <c r="I8" s="333">
        <f t="shared" si="2"/>
        <v>505</v>
      </c>
      <c r="J8" s="333"/>
      <c r="K8" s="333"/>
      <c r="L8" s="333"/>
      <c r="M8" s="333"/>
      <c r="N8" s="333"/>
      <c r="O8" s="333"/>
      <c r="P8" s="333"/>
      <c r="Q8" s="333"/>
      <c r="R8" s="333"/>
    </row>
    <row r="9" spans="1:18">
      <c r="A9" s="273" t="s">
        <v>10</v>
      </c>
      <c r="B9" s="1112" t="s">
        <v>9</v>
      </c>
      <c r="C9" s="1112"/>
      <c r="D9" s="333">
        <f t="shared" si="1"/>
        <v>0</v>
      </c>
      <c r="E9" s="333">
        <f t="shared" si="0"/>
        <v>0</v>
      </c>
      <c r="F9" s="333">
        <f t="shared" si="0"/>
        <v>0</v>
      </c>
      <c r="G9" s="333"/>
      <c r="H9" s="333"/>
      <c r="I9" s="333">
        <f t="shared" si="2"/>
        <v>0</v>
      </c>
      <c r="J9" s="333"/>
      <c r="K9" s="333"/>
      <c r="L9" s="333"/>
      <c r="M9" s="333"/>
      <c r="N9" s="333"/>
      <c r="O9" s="333"/>
      <c r="P9" s="333"/>
      <c r="Q9" s="333"/>
      <c r="R9" s="333"/>
    </row>
    <row r="10" spans="1:18">
      <c r="A10" s="273" t="s">
        <v>12</v>
      </c>
      <c r="B10" s="1112" t="s">
        <v>11</v>
      </c>
      <c r="C10" s="1112"/>
      <c r="D10" s="333">
        <f t="shared" si="1"/>
        <v>4689</v>
      </c>
      <c r="E10" s="333">
        <f t="shared" si="0"/>
        <v>137</v>
      </c>
      <c r="F10" s="333">
        <f t="shared" si="0"/>
        <v>4826</v>
      </c>
      <c r="G10" s="333">
        <v>4689</v>
      </c>
      <c r="H10" s="333">
        <v>137</v>
      </c>
      <c r="I10" s="333">
        <f t="shared" si="2"/>
        <v>4826</v>
      </c>
      <c r="J10" s="333"/>
      <c r="K10" s="333"/>
      <c r="L10" s="333"/>
      <c r="M10" s="333"/>
      <c r="N10" s="333"/>
      <c r="O10" s="333"/>
      <c r="P10" s="333"/>
      <c r="Q10" s="333"/>
      <c r="R10" s="333"/>
    </row>
    <row r="11" spans="1:18">
      <c r="A11" s="273" t="s">
        <v>14</v>
      </c>
      <c r="B11" s="1112" t="s">
        <v>13</v>
      </c>
      <c r="C11" s="1112"/>
      <c r="D11" s="333">
        <f t="shared" si="1"/>
        <v>2100</v>
      </c>
      <c r="E11" s="333">
        <f t="shared" si="0"/>
        <v>0</v>
      </c>
      <c r="F11" s="333">
        <f t="shared" si="0"/>
        <v>2100</v>
      </c>
      <c r="G11" s="333">
        <v>2100</v>
      </c>
      <c r="H11" s="333"/>
      <c r="I11" s="333">
        <f t="shared" si="2"/>
        <v>2100</v>
      </c>
      <c r="J11" s="333"/>
      <c r="K11" s="333"/>
      <c r="L11" s="333"/>
      <c r="M11" s="333"/>
      <c r="N11" s="333"/>
      <c r="O11" s="333"/>
      <c r="P11" s="333"/>
      <c r="Q11" s="333"/>
      <c r="R11" s="333"/>
    </row>
    <row r="12" spans="1:18">
      <c r="A12" s="273" t="s">
        <v>16</v>
      </c>
      <c r="B12" s="1112" t="s">
        <v>15</v>
      </c>
      <c r="C12" s="1112"/>
      <c r="D12" s="333">
        <f t="shared" si="1"/>
        <v>0</v>
      </c>
      <c r="E12" s="333">
        <f t="shared" si="0"/>
        <v>0</v>
      </c>
      <c r="F12" s="333">
        <f t="shared" si="0"/>
        <v>0</v>
      </c>
      <c r="G12" s="333"/>
      <c r="H12" s="333"/>
      <c r="I12" s="333">
        <f t="shared" si="2"/>
        <v>0</v>
      </c>
      <c r="J12" s="333"/>
      <c r="K12" s="333"/>
      <c r="L12" s="333"/>
      <c r="M12" s="333"/>
      <c r="N12" s="333"/>
      <c r="O12" s="333"/>
      <c r="P12" s="333"/>
      <c r="Q12" s="333"/>
      <c r="R12" s="333"/>
    </row>
    <row r="13" spans="1:18">
      <c r="A13" s="273" t="s">
        <v>18</v>
      </c>
      <c r="B13" s="1112" t="s">
        <v>17</v>
      </c>
      <c r="C13" s="1112"/>
      <c r="D13" s="333">
        <f t="shared" si="1"/>
        <v>952</v>
      </c>
      <c r="E13" s="333">
        <f t="shared" si="0"/>
        <v>0</v>
      </c>
      <c r="F13" s="333">
        <f t="shared" si="0"/>
        <v>952</v>
      </c>
      <c r="G13" s="333">
        <v>952</v>
      </c>
      <c r="H13" s="333"/>
      <c r="I13" s="333">
        <f t="shared" si="2"/>
        <v>952</v>
      </c>
      <c r="J13" s="333"/>
      <c r="K13" s="333"/>
      <c r="L13" s="333"/>
      <c r="M13" s="333"/>
      <c r="N13" s="333"/>
      <c r="O13" s="333"/>
      <c r="P13" s="333"/>
      <c r="Q13" s="333"/>
      <c r="R13" s="333"/>
    </row>
    <row r="14" spans="1:18">
      <c r="A14" s="273" t="s">
        <v>20</v>
      </c>
      <c r="B14" s="1112" t="s">
        <v>19</v>
      </c>
      <c r="C14" s="1112"/>
      <c r="D14" s="333">
        <f t="shared" si="1"/>
        <v>0</v>
      </c>
      <c r="E14" s="333">
        <f t="shared" si="0"/>
        <v>0</v>
      </c>
      <c r="F14" s="333">
        <f t="shared" si="0"/>
        <v>0</v>
      </c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</row>
    <row r="15" spans="1:18">
      <c r="A15" s="273" t="s">
        <v>22</v>
      </c>
      <c r="B15" s="1112" t="s">
        <v>21</v>
      </c>
      <c r="C15" s="1112"/>
      <c r="D15" s="333">
        <f t="shared" si="1"/>
        <v>0</v>
      </c>
      <c r="E15" s="333">
        <f t="shared" si="0"/>
        <v>0</v>
      </c>
      <c r="F15" s="333">
        <f t="shared" si="0"/>
        <v>0</v>
      </c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</row>
    <row r="16" spans="1:18">
      <c r="A16" s="273" t="s">
        <v>24</v>
      </c>
      <c r="B16" s="1112" t="s">
        <v>23</v>
      </c>
      <c r="C16" s="1112"/>
      <c r="D16" s="333">
        <f t="shared" si="1"/>
        <v>0</v>
      </c>
      <c r="E16" s="333">
        <f t="shared" si="0"/>
        <v>0</v>
      </c>
      <c r="F16" s="333">
        <f t="shared" si="0"/>
        <v>0</v>
      </c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</row>
    <row r="17" spans="1:18">
      <c r="A17" s="273" t="s">
        <v>25</v>
      </c>
      <c r="B17" s="1112" t="s">
        <v>176</v>
      </c>
      <c r="C17" s="1112"/>
      <c r="D17" s="333">
        <f t="shared" si="1"/>
        <v>1154</v>
      </c>
      <c r="E17" s="333">
        <f t="shared" si="0"/>
        <v>291</v>
      </c>
      <c r="F17" s="333">
        <f t="shared" si="0"/>
        <v>1445</v>
      </c>
      <c r="G17" s="333">
        <f>+'[4]6.b. mell. Óvoda'!I17</f>
        <v>1154</v>
      </c>
      <c r="H17" s="333">
        <v>291</v>
      </c>
      <c r="I17" s="333">
        <f t="shared" si="2"/>
        <v>1445</v>
      </c>
      <c r="J17" s="333"/>
      <c r="K17" s="333"/>
      <c r="L17" s="333"/>
      <c r="M17" s="333"/>
      <c r="N17" s="333"/>
      <c r="O17" s="333"/>
      <c r="P17" s="333"/>
      <c r="Q17" s="333"/>
      <c r="R17" s="333"/>
    </row>
    <row r="18" spans="1:18">
      <c r="A18" s="273" t="s">
        <v>25</v>
      </c>
      <c r="B18" s="1112" t="s">
        <v>26</v>
      </c>
      <c r="C18" s="1112"/>
      <c r="D18" s="333">
        <f t="shared" si="1"/>
        <v>0</v>
      </c>
      <c r="E18" s="333">
        <f t="shared" si="0"/>
        <v>0</v>
      </c>
      <c r="F18" s="333">
        <f t="shared" si="0"/>
        <v>0</v>
      </c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</row>
    <row r="19" spans="1:18" s="336" customFormat="1">
      <c r="A19" s="334" t="s">
        <v>27</v>
      </c>
      <c r="B19" s="1113" t="s">
        <v>441</v>
      </c>
      <c r="C19" s="1113"/>
      <c r="D19" s="335">
        <f>SUM(D5:D18)</f>
        <v>106177</v>
      </c>
      <c r="E19" s="335">
        <f t="shared" ref="E19:R19" si="3">SUM(E5:E18)</f>
        <v>-529</v>
      </c>
      <c r="F19" s="335">
        <f t="shared" si="3"/>
        <v>105648</v>
      </c>
      <c r="G19" s="335">
        <f t="shared" si="3"/>
        <v>106177</v>
      </c>
      <c r="H19" s="335">
        <f t="shared" si="3"/>
        <v>-529</v>
      </c>
      <c r="I19" s="335">
        <f t="shared" si="3"/>
        <v>105648</v>
      </c>
      <c r="J19" s="335">
        <f t="shared" si="3"/>
        <v>0</v>
      </c>
      <c r="K19" s="335">
        <f t="shared" si="3"/>
        <v>0</v>
      </c>
      <c r="L19" s="335">
        <f t="shared" si="3"/>
        <v>0</v>
      </c>
      <c r="M19" s="335">
        <f t="shared" si="3"/>
        <v>0</v>
      </c>
      <c r="N19" s="335">
        <f t="shared" si="3"/>
        <v>0</v>
      </c>
      <c r="O19" s="335">
        <f t="shared" si="3"/>
        <v>0</v>
      </c>
      <c r="P19" s="335">
        <f t="shared" si="3"/>
        <v>0</v>
      </c>
      <c r="Q19" s="335">
        <f t="shared" si="3"/>
        <v>0</v>
      </c>
      <c r="R19" s="335">
        <f t="shared" si="3"/>
        <v>0</v>
      </c>
    </row>
    <row r="20" spans="1:18">
      <c r="A20" s="273" t="s">
        <v>29</v>
      </c>
      <c r="B20" s="1112" t="s">
        <v>28</v>
      </c>
      <c r="C20" s="1112"/>
      <c r="D20" s="333">
        <f>+G20+J20+M20+P20</f>
        <v>0</v>
      </c>
      <c r="E20" s="333">
        <f t="shared" ref="E20:F22" si="4">+H20+K20+N20+Q20</f>
        <v>0</v>
      </c>
      <c r="F20" s="333">
        <f t="shared" si="4"/>
        <v>0</v>
      </c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</row>
    <row r="21" spans="1:18" ht="28.5" customHeight="1">
      <c r="A21" s="273" t="s">
        <v>31</v>
      </c>
      <c r="B21" s="1112" t="s">
        <v>30</v>
      </c>
      <c r="C21" s="1112"/>
      <c r="D21" s="333">
        <f t="shared" ref="D21:D22" si="5">+G21+J21+M21+P21</f>
        <v>1795</v>
      </c>
      <c r="E21" s="333">
        <f t="shared" si="4"/>
        <v>529</v>
      </c>
      <c r="F21" s="333">
        <f t="shared" si="4"/>
        <v>2324</v>
      </c>
      <c r="G21" s="333"/>
      <c r="H21" s="333">
        <v>529</v>
      </c>
      <c r="I21" s="333">
        <f>SUM(G21:H21)</f>
        <v>529</v>
      </c>
      <c r="J21" s="333"/>
      <c r="K21" s="333"/>
      <c r="L21" s="333"/>
      <c r="M21" s="333">
        <f>+'[4]6.b. mell. Óvoda'!$O$21</f>
        <v>1795</v>
      </c>
      <c r="N21" s="333"/>
      <c r="O21" s="333">
        <f>+M21+N21</f>
        <v>1795</v>
      </c>
      <c r="P21" s="333"/>
      <c r="Q21" s="333"/>
      <c r="R21" s="333"/>
    </row>
    <row r="22" spans="1:18">
      <c r="A22" s="273" t="s">
        <v>33</v>
      </c>
      <c r="B22" s="1112" t="s">
        <v>32</v>
      </c>
      <c r="C22" s="1112"/>
      <c r="D22" s="333">
        <f t="shared" si="5"/>
        <v>10</v>
      </c>
      <c r="E22" s="333">
        <f t="shared" si="4"/>
        <v>0</v>
      </c>
      <c r="F22" s="333">
        <f t="shared" si="4"/>
        <v>10</v>
      </c>
      <c r="G22" s="333">
        <f>+'[4]6.b. mell. Óvoda'!I22</f>
        <v>10</v>
      </c>
      <c r="H22" s="333"/>
      <c r="I22" s="333">
        <f>SUM(G22:H22)</f>
        <v>10</v>
      </c>
      <c r="J22" s="333"/>
      <c r="K22" s="333"/>
      <c r="L22" s="333"/>
      <c r="M22" s="333"/>
      <c r="N22" s="333"/>
      <c r="O22" s="333"/>
      <c r="P22" s="333"/>
      <c r="Q22" s="333"/>
      <c r="R22" s="333"/>
    </row>
    <row r="23" spans="1:18" s="336" customFormat="1">
      <c r="A23" s="334" t="s">
        <v>34</v>
      </c>
      <c r="B23" s="1113" t="s">
        <v>442</v>
      </c>
      <c r="C23" s="1113"/>
      <c r="D23" s="335">
        <f>SUM(D20:D22)</f>
        <v>1805</v>
      </c>
      <c r="E23" s="335">
        <f t="shared" ref="E23:R23" si="6">SUM(E20:E22)</f>
        <v>529</v>
      </c>
      <c r="F23" s="335">
        <f t="shared" si="6"/>
        <v>2334</v>
      </c>
      <c r="G23" s="335">
        <f t="shared" si="6"/>
        <v>10</v>
      </c>
      <c r="H23" s="335">
        <f t="shared" si="6"/>
        <v>529</v>
      </c>
      <c r="I23" s="335">
        <f t="shared" si="6"/>
        <v>539</v>
      </c>
      <c r="J23" s="335">
        <f t="shared" si="6"/>
        <v>0</v>
      </c>
      <c r="K23" s="335">
        <f t="shared" si="6"/>
        <v>0</v>
      </c>
      <c r="L23" s="335">
        <f t="shared" si="6"/>
        <v>0</v>
      </c>
      <c r="M23" s="335">
        <f t="shared" si="6"/>
        <v>1795</v>
      </c>
      <c r="N23" s="335">
        <f t="shared" si="6"/>
        <v>0</v>
      </c>
      <c r="O23" s="335">
        <f t="shared" si="6"/>
        <v>1795</v>
      </c>
      <c r="P23" s="335">
        <f t="shared" si="6"/>
        <v>0</v>
      </c>
      <c r="Q23" s="335">
        <f t="shared" si="6"/>
        <v>0</v>
      </c>
      <c r="R23" s="335">
        <f t="shared" si="6"/>
        <v>0</v>
      </c>
    </row>
    <row r="24" spans="1:18" s="337" customFormat="1">
      <c r="A24" s="334" t="s">
        <v>35</v>
      </c>
      <c r="B24" s="1113" t="s">
        <v>443</v>
      </c>
      <c r="C24" s="1113"/>
      <c r="D24" s="335">
        <f t="shared" ref="D24:R24" si="7">+D23+D19</f>
        <v>107982</v>
      </c>
      <c r="E24" s="335">
        <f t="shared" si="7"/>
        <v>0</v>
      </c>
      <c r="F24" s="335">
        <f t="shared" si="7"/>
        <v>107982</v>
      </c>
      <c r="G24" s="335">
        <f t="shared" si="7"/>
        <v>106187</v>
      </c>
      <c r="H24" s="335">
        <f t="shared" si="7"/>
        <v>0</v>
      </c>
      <c r="I24" s="335">
        <f t="shared" si="7"/>
        <v>106187</v>
      </c>
      <c r="J24" s="335">
        <f t="shared" si="7"/>
        <v>0</v>
      </c>
      <c r="K24" s="335">
        <f t="shared" si="7"/>
        <v>0</v>
      </c>
      <c r="L24" s="335">
        <f t="shared" si="7"/>
        <v>0</v>
      </c>
      <c r="M24" s="335">
        <f t="shared" si="7"/>
        <v>1795</v>
      </c>
      <c r="N24" s="335">
        <f>+N23+N19</f>
        <v>0</v>
      </c>
      <c r="O24" s="335">
        <f t="shared" si="7"/>
        <v>1795</v>
      </c>
      <c r="P24" s="335">
        <f t="shared" si="7"/>
        <v>0</v>
      </c>
      <c r="Q24" s="335">
        <f t="shared" si="7"/>
        <v>0</v>
      </c>
      <c r="R24" s="335">
        <f t="shared" si="7"/>
        <v>0</v>
      </c>
    </row>
    <row r="25" spans="1:18">
      <c r="A25" s="274"/>
      <c r="B25" s="835"/>
      <c r="C25" s="835"/>
      <c r="D25" s="275"/>
      <c r="E25" s="275"/>
      <c r="F25" s="275"/>
      <c r="G25" s="277"/>
      <c r="H25" s="275"/>
      <c r="I25" s="276"/>
      <c r="J25" s="277"/>
      <c r="K25" s="275"/>
      <c r="L25" s="276"/>
      <c r="M25" s="277"/>
      <c r="N25" s="275"/>
      <c r="O25" s="276"/>
      <c r="P25" s="277"/>
      <c r="Q25" s="275"/>
      <c r="R25" s="276"/>
    </row>
    <row r="26" spans="1:18" s="337" customFormat="1">
      <c r="A26" s="334" t="s">
        <v>36</v>
      </c>
      <c r="B26" s="1113" t="s">
        <v>444</v>
      </c>
      <c r="C26" s="1113"/>
      <c r="D26" s="335">
        <f>SUM(D27:D31)</f>
        <v>30287</v>
      </c>
      <c r="E26" s="335">
        <f t="shared" ref="E26:R26" si="8">SUM(E27:E31)</f>
        <v>0</v>
      </c>
      <c r="F26" s="335">
        <f t="shared" si="8"/>
        <v>30287</v>
      </c>
      <c r="G26" s="335">
        <f t="shared" si="8"/>
        <v>29748</v>
      </c>
      <c r="H26" s="335">
        <f t="shared" si="8"/>
        <v>0</v>
      </c>
      <c r="I26" s="335">
        <f t="shared" si="8"/>
        <v>29748</v>
      </c>
      <c r="J26" s="335">
        <f t="shared" si="8"/>
        <v>0</v>
      </c>
      <c r="K26" s="335">
        <f t="shared" si="8"/>
        <v>0</v>
      </c>
      <c r="L26" s="335">
        <f t="shared" si="8"/>
        <v>0</v>
      </c>
      <c r="M26" s="335">
        <f t="shared" si="8"/>
        <v>539</v>
      </c>
      <c r="N26" s="335">
        <f t="shared" si="8"/>
        <v>0</v>
      </c>
      <c r="O26" s="335">
        <f t="shared" si="8"/>
        <v>539</v>
      </c>
      <c r="P26" s="335">
        <f t="shared" si="8"/>
        <v>0</v>
      </c>
      <c r="Q26" s="335">
        <f t="shared" si="8"/>
        <v>0</v>
      </c>
      <c r="R26" s="335">
        <f t="shared" si="8"/>
        <v>0</v>
      </c>
    </row>
    <row r="27" spans="1:18" ht="26.4">
      <c r="A27" s="278" t="s">
        <v>36</v>
      </c>
      <c r="B27" s="279"/>
      <c r="C27" s="280" t="s">
        <v>37</v>
      </c>
      <c r="D27" s="333">
        <f>+G27+J27+M27+P27</f>
        <v>28428</v>
      </c>
      <c r="E27" s="333">
        <f t="shared" ref="E27:F31" si="9">+H27+K27+N27+Q27</f>
        <v>-184</v>
      </c>
      <c r="F27" s="333">
        <f t="shared" si="9"/>
        <v>28244</v>
      </c>
      <c r="G27" s="333">
        <f>+'[4]6.b. mell. Óvoda'!I27</f>
        <v>27889</v>
      </c>
      <c r="H27" s="333">
        <v>-184</v>
      </c>
      <c r="I27" s="333">
        <f>+G27+H27</f>
        <v>27705</v>
      </c>
      <c r="J27" s="333"/>
      <c r="K27" s="333"/>
      <c r="L27" s="333"/>
      <c r="M27" s="333">
        <v>539</v>
      </c>
      <c r="N27" s="333"/>
      <c r="O27" s="333">
        <f>+M27+N27</f>
        <v>539</v>
      </c>
      <c r="P27" s="333"/>
      <c r="Q27" s="333"/>
      <c r="R27" s="333"/>
    </row>
    <row r="28" spans="1:18" ht="26.4">
      <c r="A28" s="278" t="s">
        <v>36</v>
      </c>
      <c r="B28" s="279"/>
      <c r="C28" s="280" t="s">
        <v>38</v>
      </c>
      <c r="D28" s="333">
        <f t="shared" ref="D28:D31" si="10">+G28+J28+M28+P28</f>
        <v>965</v>
      </c>
      <c r="E28" s="333">
        <f t="shared" si="9"/>
        <v>0</v>
      </c>
      <c r="F28" s="333">
        <f t="shared" si="9"/>
        <v>965</v>
      </c>
      <c r="G28" s="333">
        <f>+'[4]6.b. mell. Óvoda'!I28</f>
        <v>965</v>
      </c>
      <c r="H28" s="333"/>
      <c r="I28" s="333">
        <f t="shared" ref="I28:I34" si="11">+G28+H28</f>
        <v>965</v>
      </c>
      <c r="J28" s="333"/>
      <c r="K28" s="333"/>
      <c r="L28" s="333"/>
      <c r="M28" s="333"/>
      <c r="N28" s="333"/>
      <c r="O28" s="333"/>
      <c r="P28" s="333"/>
      <c r="Q28" s="333"/>
      <c r="R28" s="333"/>
    </row>
    <row r="29" spans="1:18" ht="26.4">
      <c r="A29" s="278" t="s">
        <v>36</v>
      </c>
      <c r="B29" s="279"/>
      <c r="C29" s="280" t="s">
        <v>39</v>
      </c>
      <c r="D29" s="333">
        <f t="shared" si="10"/>
        <v>350</v>
      </c>
      <c r="E29" s="333">
        <f t="shared" si="9"/>
        <v>0</v>
      </c>
      <c r="F29" s="333">
        <f t="shared" si="9"/>
        <v>350</v>
      </c>
      <c r="G29" s="333">
        <f>+'[4]6.b. mell. Óvoda'!I29</f>
        <v>350</v>
      </c>
      <c r="H29" s="333"/>
      <c r="I29" s="333">
        <f t="shared" si="11"/>
        <v>350</v>
      </c>
      <c r="J29" s="333"/>
      <c r="K29" s="333"/>
      <c r="L29" s="333"/>
      <c r="M29" s="333"/>
      <c r="N29" s="333"/>
      <c r="O29" s="333"/>
      <c r="P29" s="333"/>
      <c r="Q29" s="333"/>
      <c r="R29" s="333"/>
    </row>
    <row r="30" spans="1:18" ht="13.5" customHeight="1">
      <c r="A30" s="278" t="s">
        <v>36</v>
      </c>
      <c r="B30" s="279"/>
      <c r="C30" s="280" t="s">
        <v>40</v>
      </c>
      <c r="D30" s="333">
        <f t="shared" si="10"/>
        <v>169</v>
      </c>
      <c r="E30" s="333">
        <f t="shared" si="9"/>
        <v>184</v>
      </c>
      <c r="F30" s="333">
        <f t="shared" si="9"/>
        <v>353</v>
      </c>
      <c r="G30" s="333">
        <f>+'[4]6.b. mell. Óvoda'!I30</f>
        <v>169</v>
      </c>
      <c r="H30" s="333">
        <v>184</v>
      </c>
      <c r="I30" s="333">
        <f t="shared" si="11"/>
        <v>353</v>
      </c>
      <c r="J30" s="333"/>
      <c r="K30" s="333"/>
      <c r="L30" s="333"/>
      <c r="M30" s="333"/>
      <c r="N30" s="333"/>
      <c r="O30" s="333"/>
      <c r="P30" s="333"/>
      <c r="Q30" s="333"/>
      <c r="R30" s="333"/>
    </row>
    <row r="31" spans="1:18" ht="25.5" customHeight="1">
      <c r="A31" s="278" t="s">
        <v>36</v>
      </c>
      <c r="B31" s="279"/>
      <c r="C31" s="280" t="s">
        <v>41</v>
      </c>
      <c r="D31" s="333">
        <f t="shared" si="10"/>
        <v>375</v>
      </c>
      <c r="E31" s="333">
        <f t="shared" si="9"/>
        <v>0</v>
      </c>
      <c r="F31" s="333">
        <f t="shared" si="9"/>
        <v>375</v>
      </c>
      <c r="G31" s="333">
        <f>+'[4]6.b. mell. Óvoda'!I31</f>
        <v>375</v>
      </c>
      <c r="H31" s="333"/>
      <c r="I31" s="333">
        <f t="shared" si="11"/>
        <v>375</v>
      </c>
      <c r="J31" s="333"/>
      <c r="K31" s="333"/>
      <c r="L31" s="333"/>
      <c r="M31" s="333"/>
      <c r="N31" s="333"/>
      <c r="O31" s="333"/>
      <c r="P31" s="333"/>
      <c r="Q31" s="333"/>
      <c r="R31" s="333"/>
    </row>
    <row r="32" spans="1:18">
      <c r="A32" s="281"/>
      <c r="B32" s="282"/>
      <c r="C32" s="283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</row>
    <row r="33" spans="1:18">
      <c r="A33" s="273" t="s">
        <v>43</v>
      </c>
      <c r="B33" s="1112" t="s">
        <v>42</v>
      </c>
      <c r="C33" s="1112"/>
      <c r="D33" s="333">
        <f>+G33+J33+M33+P33</f>
        <v>750</v>
      </c>
      <c r="E33" s="333">
        <f t="shared" ref="E33:F35" si="12">+H33+K33+N33+Q33</f>
        <v>0</v>
      </c>
      <c r="F33" s="333">
        <f t="shared" si="12"/>
        <v>750</v>
      </c>
      <c r="G33" s="333">
        <f>+'[4]6.b. mell. Óvoda'!I33</f>
        <v>750</v>
      </c>
      <c r="H33" s="333"/>
      <c r="I33" s="333">
        <f t="shared" si="11"/>
        <v>750</v>
      </c>
      <c r="J33" s="333"/>
      <c r="K33" s="333"/>
      <c r="L33" s="333"/>
      <c r="M33" s="333"/>
      <c r="N33" s="333"/>
      <c r="O33" s="333"/>
      <c r="P33" s="333"/>
      <c r="Q33" s="333"/>
      <c r="R33" s="333"/>
    </row>
    <row r="34" spans="1:18">
      <c r="A34" s="273" t="s">
        <v>45</v>
      </c>
      <c r="B34" s="1112" t="s">
        <v>44</v>
      </c>
      <c r="C34" s="1112"/>
      <c r="D34" s="333">
        <f t="shared" ref="D34:D35" si="13">+G34+J34+M34+P34</f>
        <v>1207</v>
      </c>
      <c r="E34" s="333">
        <f t="shared" si="12"/>
        <v>49</v>
      </c>
      <c r="F34" s="333">
        <f t="shared" si="12"/>
        <v>1256</v>
      </c>
      <c r="G34" s="333">
        <f>+'[4]6.b. mell. Óvoda'!I34</f>
        <v>1200</v>
      </c>
      <c r="H34" s="333">
        <v>49</v>
      </c>
      <c r="I34" s="333">
        <f t="shared" si="11"/>
        <v>1249</v>
      </c>
      <c r="J34" s="333">
        <f>+'[4]6.b. mell. Óvoda'!L34</f>
        <v>7</v>
      </c>
      <c r="K34" s="333"/>
      <c r="L34" s="333">
        <f>SUM(J34:K34)</f>
        <v>7</v>
      </c>
      <c r="M34" s="333"/>
      <c r="N34" s="333"/>
      <c r="O34" s="333"/>
      <c r="P34" s="333"/>
      <c r="Q34" s="333"/>
      <c r="R34" s="333"/>
    </row>
    <row r="35" spans="1:18">
      <c r="A35" s="273" t="s">
        <v>47</v>
      </c>
      <c r="B35" s="1112" t="s">
        <v>46</v>
      </c>
      <c r="C35" s="1112"/>
      <c r="D35" s="333">
        <f t="shared" si="13"/>
        <v>0</v>
      </c>
      <c r="E35" s="333">
        <f t="shared" si="12"/>
        <v>0</v>
      </c>
      <c r="F35" s="333">
        <f t="shared" si="12"/>
        <v>0</v>
      </c>
      <c r="G35" s="333">
        <f>+'[4]6.b. mell. Óvoda'!I35</f>
        <v>0</v>
      </c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</row>
    <row r="36" spans="1:18" s="337" customFormat="1">
      <c r="A36" s="334" t="s">
        <v>48</v>
      </c>
      <c r="B36" s="1113" t="s">
        <v>446</v>
      </c>
      <c r="C36" s="1113"/>
      <c r="D36" s="335">
        <f>SUM(D33:D35)</f>
        <v>1957</v>
      </c>
      <c r="E36" s="335">
        <f t="shared" ref="E36:R36" si="14">SUM(E33:E35)</f>
        <v>49</v>
      </c>
      <c r="F36" s="335">
        <f t="shared" si="14"/>
        <v>2006</v>
      </c>
      <c r="G36" s="335">
        <f t="shared" si="14"/>
        <v>1950</v>
      </c>
      <c r="H36" s="335">
        <f t="shared" si="14"/>
        <v>49</v>
      </c>
      <c r="I36" s="335">
        <f t="shared" si="14"/>
        <v>1999</v>
      </c>
      <c r="J36" s="335">
        <f t="shared" si="14"/>
        <v>7</v>
      </c>
      <c r="K36" s="335">
        <f t="shared" si="14"/>
        <v>0</v>
      </c>
      <c r="L36" s="335">
        <f t="shared" si="14"/>
        <v>7</v>
      </c>
      <c r="M36" s="335">
        <f t="shared" si="14"/>
        <v>0</v>
      </c>
      <c r="N36" s="335">
        <f t="shared" si="14"/>
        <v>0</v>
      </c>
      <c r="O36" s="335">
        <f t="shared" si="14"/>
        <v>0</v>
      </c>
      <c r="P36" s="335">
        <f t="shared" si="14"/>
        <v>0</v>
      </c>
      <c r="Q36" s="335">
        <f t="shared" si="14"/>
        <v>0</v>
      </c>
      <c r="R36" s="335">
        <f t="shared" si="14"/>
        <v>0</v>
      </c>
    </row>
    <row r="37" spans="1:18">
      <c r="A37" s="273" t="s">
        <v>50</v>
      </c>
      <c r="B37" s="1112" t="s">
        <v>49</v>
      </c>
      <c r="C37" s="1112"/>
      <c r="D37" s="333">
        <f>+G37+J37+M37+P37</f>
        <v>0</v>
      </c>
      <c r="E37" s="333">
        <f t="shared" ref="E37:F38" si="15">+H37+K37+N37+Q37</f>
        <v>0</v>
      </c>
      <c r="F37" s="333">
        <f t="shared" si="15"/>
        <v>0</v>
      </c>
      <c r="G37" s="333"/>
      <c r="H37" s="333"/>
      <c r="I37" s="333"/>
      <c r="J37" s="333">
        <f>+'[4]6.b. mell. Óvoda'!L37</f>
        <v>0</v>
      </c>
      <c r="K37" s="333"/>
      <c r="L37" s="333">
        <f>+J37+K37</f>
        <v>0</v>
      </c>
      <c r="M37" s="333"/>
      <c r="N37" s="333"/>
      <c r="O37" s="333"/>
      <c r="P37" s="333"/>
      <c r="Q37" s="333"/>
      <c r="R37" s="333"/>
    </row>
    <row r="38" spans="1:18">
      <c r="A38" s="273" t="s">
        <v>52</v>
      </c>
      <c r="B38" s="1112" t="s">
        <v>51</v>
      </c>
      <c r="C38" s="1112"/>
      <c r="D38" s="333">
        <f>+G38+J38+M38+P38</f>
        <v>250</v>
      </c>
      <c r="E38" s="333">
        <f t="shared" si="15"/>
        <v>0</v>
      </c>
      <c r="F38" s="333">
        <f t="shared" si="15"/>
        <v>250</v>
      </c>
      <c r="G38" s="333"/>
      <c r="H38" s="333"/>
      <c r="I38" s="333"/>
      <c r="J38" s="333">
        <f>+'[4]6.b. mell. Óvoda'!L38</f>
        <v>250</v>
      </c>
      <c r="K38" s="333"/>
      <c r="L38" s="333">
        <f>+J38+K38</f>
        <v>250</v>
      </c>
      <c r="M38" s="333"/>
      <c r="N38" s="333"/>
      <c r="O38" s="333"/>
      <c r="P38" s="333"/>
      <c r="Q38" s="333"/>
      <c r="R38" s="333"/>
    </row>
    <row r="39" spans="1:18" s="337" customFormat="1">
      <c r="A39" s="334" t="s">
        <v>53</v>
      </c>
      <c r="B39" s="1113" t="s">
        <v>447</v>
      </c>
      <c r="C39" s="1113"/>
      <c r="D39" s="335">
        <f t="shared" ref="D39" si="16">SUM(D37:D38)</f>
        <v>250</v>
      </c>
      <c r="E39" s="335">
        <f t="shared" ref="E39:F39" si="17">SUM(E37:E38)</f>
        <v>0</v>
      </c>
      <c r="F39" s="335">
        <f t="shared" si="17"/>
        <v>250</v>
      </c>
      <c r="G39" s="335">
        <f t="shared" ref="G39:R39" si="18">+G38+G37</f>
        <v>0</v>
      </c>
      <c r="H39" s="335">
        <f t="shared" si="18"/>
        <v>0</v>
      </c>
      <c r="I39" s="335">
        <f t="shared" si="18"/>
        <v>0</v>
      </c>
      <c r="J39" s="335">
        <f t="shared" si="18"/>
        <v>250</v>
      </c>
      <c r="K39" s="335">
        <f t="shared" si="18"/>
        <v>0</v>
      </c>
      <c r="L39" s="335">
        <f t="shared" si="18"/>
        <v>250</v>
      </c>
      <c r="M39" s="335">
        <f t="shared" si="18"/>
        <v>0</v>
      </c>
      <c r="N39" s="335">
        <f t="shared" si="18"/>
        <v>0</v>
      </c>
      <c r="O39" s="335">
        <f t="shared" si="18"/>
        <v>0</v>
      </c>
      <c r="P39" s="335">
        <f t="shared" si="18"/>
        <v>0</v>
      </c>
      <c r="Q39" s="335">
        <f t="shared" si="18"/>
        <v>0</v>
      </c>
      <c r="R39" s="335">
        <f t="shared" si="18"/>
        <v>0</v>
      </c>
    </row>
    <row r="40" spans="1:18">
      <c r="A40" s="273" t="s">
        <v>55</v>
      </c>
      <c r="B40" s="1112" t="s">
        <v>54</v>
      </c>
      <c r="C40" s="1112"/>
      <c r="D40" s="333">
        <f>+G40+J40+M40+P40</f>
        <v>0</v>
      </c>
      <c r="E40" s="333">
        <f t="shared" ref="E40:F44" si="19">+H40+K40+N40+Q40</f>
        <v>0</v>
      </c>
      <c r="F40" s="333">
        <f t="shared" si="19"/>
        <v>0</v>
      </c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</row>
    <row r="41" spans="1:18">
      <c r="A41" s="273" t="s">
        <v>57</v>
      </c>
      <c r="B41" s="1112" t="s">
        <v>56</v>
      </c>
      <c r="C41" s="1112"/>
      <c r="D41" s="333">
        <f t="shared" ref="D41:D44" si="20">+G41+J41+M41+P41</f>
        <v>15242</v>
      </c>
      <c r="E41" s="333">
        <f t="shared" si="19"/>
        <v>0</v>
      </c>
      <c r="F41" s="333">
        <f t="shared" si="19"/>
        <v>15242</v>
      </c>
      <c r="G41" s="333"/>
      <c r="H41" s="333"/>
      <c r="I41" s="333"/>
      <c r="J41" s="333"/>
      <c r="K41" s="333"/>
      <c r="L41" s="333"/>
      <c r="M41" s="333"/>
      <c r="N41" s="333"/>
      <c r="O41" s="333"/>
      <c r="P41" s="333">
        <v>15242</v>
      </c>
      <c r="Q41" s="333"/>
      <c r="R41" s="333">
        <f>+P41+Q41</f>
        <v>15242</v>
      </c>
    </row>
    <row r="42" spans="1:18">
      <c r="A42" s="273" t="s">
        <v>58</v>
      </c>
      <c r="B42" s="1112" t="s">
        <v>448</v>
      </c>
      <c r="C42" s="1112"/>
      <c r="D42" s="333">
        <f t="shared" si="20"/>
        <v>0</v>
      </c>
      <c r="E42" s="333">
        <f t="shared" si="19"/>
        <v>0</v>
      </c>
      <c r="F42" s="333">
        <f t="shared" si="19"/>
        <v>0</v>
      </c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</row>
    <row r="43" spans="1:18">
      <c r="A43" s="273" t="s">
        <v>60</v>
      </c>
      <c r="B43" s="1112" t="s">
        <v>59</v>
      </c>
      <c r="C43" s="1112"/>
      <c r="D43" s="333">
        <f t="shared" si="20"/>
        <v>150</v>
      </c>
      <c r="E43" s="333">
        <f t="shared" si="19"/>
        <v>0</v>
      </c>
      <c r="F43" s="333">
        <f t="shared" si="19"/>
        <v>150</v>
      </c>
      <c r="G43" s="333"/>
      <c r="H43" s="333"/>
      <c r="I43" s="333"/>
      <c r="J43" s="333">
        <v>150</v>
      </c>
      <c r="K43" s="333"/>
      <c r="L43" s="333">
        <f>+J43+K43</f>
        <v>150</v>
      </c>
      <c r="M43" s="333"/>
      <c r="N43" s="333"/>
      <c r="O43" s="333"/>
      <c r="P43" s="333"/>
      <c r="Q43" s="333"/>
      <c r="R43" s="333"/>
    </row>
    <row r="44" spans="1:18">
      <c r="A44" s="273" t="s">
        <v>61</v>
      </c>
      <c r="B44" s="1112" t="s">
        <v>167</v>
      </c>
      <c r="C44" s="1112"/>
      <c r="D44" s="333">
        <f t="shared" si="20"/>
        <v>0</v>
      </c>
      <c r="E44" s="333">
        <f t="shared" si="19"/>
        <v>0</v>
      </c>
      <c r="F44" s="333">
        <f t="shared" si="19"/>
        <v>0</v>
      </c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</row>
    <row r="45" spans="1:18" ht="26.4">
      <c r="A45" s="278" t="s">
        <v>61</v>
      </c>
      <c r="B45" s="279"/>
      <c r="C45" s="280" t="s">
        <v>62</v>
      </c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</row>
    <row r="46" spans="1:18" ht="26.4">
      <c r="A46" s="278" t="s">
        <v>61</v>
      </c>
      <c r="B46" s="279"/>
      <c r="C46" s="280" t="s">
        <v>169</v>
      </c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</row>
    <row r="47" spans="1:18">
      <c r="A47" s="273" t="s">
        <v>64</v>
      </c>
      <c r="B47" s="1112" t="s">
        <v>449</v>
      </c>
      <c r="C47" s="1112"/>
      <c r="D47" s="333">
        <f>+G47+J47+M47+P47</f>
        <v>400</v>
      </c>
      <c r="E47" s="333">
        <f t="shared" ref="E47:F48" si="21">+H47+K47+N47+Q47</f>
        <v>0</v>
      </c>
      <c r="F47" s="333">
        <f t="shared" si="21"/>
        <v>400</v>
      </c>
      <c r="G47" s="333">
        <f>+'[4]6.b. mell. Óvoda'!I47</f>
        <v>200</v>
      </c>
      <c r="H47" s="333"/>
      <c r="I47" s="333">
        <f t="shared" ref="I47:I48" si="22">+G47+H47</f>
        <v>200</v>
      </c>
      <c r="J47" s="333"/>
      <c r="K47" s="333"/>
      <c r="L47" s="333"/>
      <c r="M47" s="333">
        <f>+'[4]6.b. mell. Óvoda'!$O$47</f>
        <v>200</v>
      </c>
      <c r="N47" s="333"/>
      <c r="O47" s="333">
        <f>SUM(M47:N47)</f>
        <v>200</v>
      </c>
      <c r="P47" s="333"/>
      <c r="Q47" s="333"/>
      <c r="R47" s="333"/>
    </row>
    <row r="48" spans="1:18">
      <c r="A48" s="273" t="s">
        <v>66</v>
      </c>
      <c r="B48" s="1112" t="s">
        <v>450</v>
      </c>
      <c r="C48" s="1112"/>
      <c r="D48" s="333">
        <f>+G48+J48+M48+P48</f>
        <v>460</v>
      </c>
      <c r="E48" s="333">
        <f t="shared" si="21"/>
        <v>-100</v>
      </c>
      <c r="F48" s="333">
        <f t="shared" si="21"/>
        <v>360</v>
      </c>
      <c r="G48" s="333">
        <f>+'[4]6.b. mell. Óvoda'!I48</f>
        <v>410</v>
      </c>
      <c r="H48" s="333">
        <v>-130</v>
      </c>
      <c r="I48" s="333">
        <f t="shared" si="22"/>
        <v>280</v>
      </c>
      <c r="J48" s="333">
        <v>50</v>
      </c>
      <c r="K48" s="333">
        <v>30</v>
      </c>
      <c r="L48" s="333">
        <f>+J48+K48</f>
        <v>80</v>
      </c>
      <c r="M48" s="333"/>
      <c r="N48" s="333"/>
      <c r="O48" s="333"/>
      <c r="P48" s="333"/>
      <c r="Q48" s="333"/>
      <c r="R48" s="333"/>
    </row>
    <row r="49" spans="1:18" s="337" customFormat="1">
      <c r="A49" s="334" t="s">
        <v>67</v>
      </c>
      <c r="B49" s="1113" t="s">
        <v>451</v>
      </c>
      <c r="C49" s="1113"/>
      <c r="D49" s="335">
        <f t="shared" ref="D49" si="23">SUM(D40:D48)</f>
        <v>16252</v>
      </c>
      <c r="E49" s="335">
        <f t="shared" ref="E49:R49" si="24">SUM(E40:E48)</f>
        <v>-100</v>
      </c>
      <c r="F49" s="335">
        <f t="shared" si="24"/>
        <v>16152</v>
      </c>
      <c r="G49" s="335">
        <f t="shared" si="24"/>
        <v>610</v>
      </c>
      <c r="H49" s="335">
        <f t="shared" si="24"/>
        <v>-130</v>
      </c>
      <c r="I49" s="335">
        <f t="shared" si="24"/>
        <v>480</v>
      </c>
      <c r="J49" s="335">
        <f t="shared" si="24"/>
        <v>200</v>
      </c>
      <c r="K49" s="335">
        <f t="shared" si="24"/>
        <v>30</v>
      </c>
      <c r="L49" s="335">
        <f t="shared" si="24"/>
        <v>230</v>
      </c>
      <c r="M49" s="335">
        <f t="shared" si="24"/>
        <v>200</v>
      </c>
      <c r="N49" s="335">
        <f t="shared" si="24"/>
        <v>0</v>
      </c>
      <c r="O49" s="335">
        <f t="shared" si="24"/>
        <v>200</v>
      </c>
      <c r="P49" s="335">
        <f t="shared" si="24"/>
        <v>15242</v>
      </c>
      <c r="Q49" s="335">
        <f t="shared" si="24"/>
        <v>0</v>
      </c>
      <c r="R49" s="335">
        <f t="shared" si="24"/>
        <v>15242</v>
      </c>
    </row>
    <row r="50" spans="1:18">
      <c r="A50" s="273" t="s">
        <v>69</v>
      </c>
      <c r="B50" s="1112" t="s">
        <v>68</v>
      </c>
      <c r="C50" s="1112"/>
      <c r="D50" s="333">
        <f>G50</f>
        <v>50</v>
      </c>
      <c r="E50" s="333">
        <f t="shared" ref="E50:F50" si="25">H50</f>
        <v>0</v>
      </c>
      <c r="F50" s="333">
        <f t="shared" si="25"/>
        <v>50</v>
      </c>
      <c r="G50" s="333">
        <v>50</v>
      </c>
      <c r="H50" s="333"/>
      <c r="I50" s="333">
        <f t="shared" ref="I50" si="26">+G50+H50</f>
        <v>50</v>
      </c>
      <c r="J50" s="333"/>
      <c r="K50" s="333"/>
      <c r="L50" s="333"/>
      <c r="M50" s="333"/>
      <c r="N50" s="333"/>
      <c r="O50" s="333"/>
      <c r="P50" s="333"/>
      <c r="Q50" s="333"/>
      <c r="R50" s="333"/>
    </row>
    <row r="51" spans="1:18">
      <c r="A51" s="273" t="s">
        <v>71</v>
      </c>
      <c r="B51" s="1112" t="s">
        <v>70</v>
      </c>
      <c r="C51" s="1112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</row>
    <row r="52" spans="1:18" s="336" customFormat="1">
      <c r="A52" s="334" t="s">
        <v>72</v>
      </c>
      <c r="B52" s="1113" t="s">
        <v>156</v>
      </c>
      <c r="C52" s="1113"/>
      <c r="D52" s="335">
        <f>SUM(D50:D51)</f>
        <v>50</v>
      </c>
      <c r="E52" s="335">
        <f t="shared" ref="E52:F52" si="27">SUM(E50:E51)</f>
        <v>0</v>
      </c>
      <c r="F52" s="335">
        <f t="shared" si="27"/>
        <v>50</v>
      </c>
      <c r="G52" s="335">
        <f t="shared" ref="G52:R52" si="28">+G51+G50</f>
        <v>50</v>
      </c>
      <c r="H52" s="335">
        <f t="shared" si="28"/>
        <v>0</v>
      </c>
      <c r="I52" s="335">
        <f t="shared" si="28"/>
        <v>50</v>
      </c>
      <c r="J52" s="335">
        <f t="shared" si="28"/>
        <v>0</v>
      </c>
      <c r="K52" s="335">
        <f t="shared" si="28"/>
        <v>0</v>
      </c>
      <c r="L52" s="335">
        <f t="shared" si="28"/>
        <v>0</v>
      </c>
      <c r="M52" s="335">
        <f t="shared" si="28"/>
        <v>0</v>
      </c>
      <c r="N52" s="335">
        <f t="shared" si="28"/>
        <v>0</v>
      </c>
      <c r="O52" s="335">
        <f t="shared" si="28"/>
        <v>0</v>
      </c>
      <c r="P52" s="335">
        <f t="shared" si="28"/>
        <v>0</v>
      </c>
      <c r="Q52" s="335">
        <f t="shared" si="28"/>
        <v>0</v>
      </c>
      <c r="R52" s="335">
        <f t="shared" si="28"/>
        <v>0</v>
      </c>
    </row>
    <row r="53" spans="1:18">
      <c r="A53" s="273" t="s">
        <v>74</v>
      </c>
      <c r="B53" s="1112" t="s">
        <v>73</v>
      </c>
      <c r="C53" s="1112"/>
      <c r="D53" s="333">
        <f>+G53+J53+M53+P53</f>
        <v>4650</v>
      </c>
      <c r="E53" s="333">
        <f t="shared" ref="E53:F57" si="29">+H53+K53+N53+Q53</f>
        <v>-100</v>
      </c>
      <c r="F53" s="333">
        <f t="shared" si="29"/>
        <v>4550</v>
      </c>
      <c r="G53" s="333">
        <f>+'[4]6.b. mell. Óvoda'!I53</f>
        <v>433</v>
      </c>
      <c r="H53" s="333">
        <v>-100</v>
      </c>
      <c r="I53" s="333">
        <f t="shared" ref="I53" si="30">+G53+H53</f>
        <v>333</v>
      </c>
      <c r="J53" s="333">
        <f>+'[4]6.b. mell. Óvoda'!L53</f>
        <v>102</v>
      </c>
      <c r="K53" s="333"/>
      <c r="L53" s="333">
        <f>+J53+K53</f>
        <v>102</v>
      </c>
      <c r="M53" s="333"/>
      <c r="N53" s="333"/>
      <c r="O53" s="333"/>
      <c r="P53" s="333">
        <v>4115</v>
      </c>
      <c r="Q53" s="333"/>
      <c r="R53" s="333">
        <f>+P53+Q53</f>
        <v>4115</v>
      </c>
    </row>
    <row r="54" spans="1:18">
      <c r="A54" s="273" t="s">
        <v>76</v>
      </c>
      <c r="B54" s="1112" t="s">
        <v>452</v>
      </c>
      <c r="C54" s="1112"/>
      <c r="D54" s="333">
        <f t="shared" ref="D54:D57" si="31">+G54+J54+M54+P54</f>
        <v>0</v>
      </c>
      <c r="E54" s="333">
        <f t="shared" si="29"/>
        <v>0</v>
      </c>
      <c r="F54" s="333">
        <f t="shared" si="29"/>
        <v>0</v>
      </c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</row>
    <row r="55" spans="1:18">
      <c r="A55" s="273" t="s">
        <v>77</v>
      </c>
      <c r="B55" s="1112" t="s">
        <v>453</v>
      </c>
      <c r="C55" s="1112"/>
      <c r="D55" s="333">
        <f t="shared" si="31"/>
        <v>0</v>
      </c>
      <c r="E55" s="333">
        <f t="shared" si="29"/>
        <v>0</v>
      </c>
      <c r="F55" s="333">
        <f t="shared" si="29"/>
        <v>0</v>
      </c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</row>
    <row r="56" spans="1:18">
      <c r="A56" s="273" t="s">
        <v>78</v>
      </c>
      <c r="B56" s="1112" t="s">
        <v>454</v>
      </c>
      <c r="C56" s="1112"/>
      <c r="D56" s="333">
        <f t="shared" si="31"/>
        <v>0</v>
      </c>
      <c r="E56" s="333">
        <f t="shared" si="29"/>
        <v>0</v>
      </c>
      <c r="F56" s="333">
        <f t="shared" si="29"/>
        <v>0</v>
      </c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</row>
    <row r="57" spans="1:18">
      <c r="A57" s="273" t="s">
        <v>80</v>
      </c>
      <c r="B57" s="1112" t="s">
        <v>79</v>
      </c>
      <c r="C57" s="1112"/>
      <c r="D57" s="333">
        <f t="shared" si="31"/>
        <v>0</v>
      </c>
      <c r="E57" s="333">
        <f t="shared" si="29"/>
        <v>200</v>
      </c>
      <c r="F57" s="333">
        <f t="shared" si="29"/>
        <v>200</v>
      </c>
      <c r="G57" s="333"/>
      <c r="H57" s="333">
        <v>200</v>
      </c>
      <c r="I57" s="333">
        <f>SUM(G57:H57)</f>
        <v>200</v>
      </c>
      <c r="J57" s="333"/>
      <c r="K57" s="333"/>
      <c r="L57" s="333"/>
      <c r="M57" s="333"/>
      <c r="N57" s="333"/>
      <c r="O57" s="333"/>
      <c r="P57" s="333"/>
      <c r="Q57" s="333"/>
      <c r="R57" s="333"/>
    </row>
    <row r="58" spans="1:18" s="336" customFormat="1">
      <c r="A58" s="334" t="s">
        <v>81</v>
      </c>
      <c r="B58" s="1113" t="s">
        <v>153</v>
      </c>
      <c r="C58" s="1113"/>
      <c r="D58" s="335">
        <f>SUM(D53:D57)</f>
        <v>4650</v>
      </c>
      <c r="E58" s="335">
        <f t="shared" ref="E58:R58" si="32">SUM(E53:E57)</f>
        <v>100</v>
      </c>
      <c r="F58" s="335">
        <f t="shared" si="32"/>
        <v>4750</v>
      </c>
      <c r="G58" s="335">
        <f t="shared" si="32"/>
        <v>433</v>
      </c>
      <c r="H58" s="335">
        <f t="shared" si="32"/>
        <v>100</v>
      </c>
      <c r="I58" s="335">
        <f t="shared" si="32"/>
        <v>533</v>
      </c>
      <c r="J58" s="335">
        <f t="shared" si="32"/>
        <v>102</v>
      </c>
      <c r="K58" s="335">
        <f t="shared" si="32"/>
        <v>0</v>
      </c>
      <c r="L58" s="335">
        <f t="shared" si="32"/>
        <v>102</v>
      </c>
      <c r="M58" s="335">
        <f t="shared" si="32"/>
        <v>0</v>
      </c>
      <c r="N58" s="335">
        <f t="shared" si="32"/>
        <v>0</v>
      </c>
      <c r="O58" s="335">
        <f t="shared" si="32"/>
        <v>0</v>
      </c>
      <c r="P58" s="335">
        <f t="shared" si="32"/>
        <v>4115</v>
      </c>
      <c r="Q58" s="335">
        <f t="shared" si="32"/>
        <v>0</v>
      </c>
      <c r="R58" s="335">
        <f t="shared" si="32"/>
        <v>4115</v>
      </c>
    </row>
    <row r="59" spans="1:18">
      <c r="A59" s="334" t="s">
        <v>82</v>
      </c>
      <c r="B59" s="1113" t="s">
        <v>342</v>
      </c>
      <c r="C59" s="1113"/>
      <c r="D59" s="335">
        <f t="shared" ref="D59:R59" si="33">+D58+D52+D49+D39+D36</f>
        <v>23159</v>
      </c>
      <c r="E59" s="335">
        <f t="shared" si="33"/>
        <v>49</v>
      </c>
      <c r="F59" s="335">
        <f t="shared" si="33"/>
        <v>23208</v>
      </c>
      <c r="G59" s="335">
        <f t="shared" si="33"/>
        <v>3043</v>
      </c>
      <c r="H59" s="335">
        <f t="shared" si="33"/>
        <v>19</v>
      </c>
      <c r="I59" s="335">
        <f t="shared" si="33"/>
        <v>3062</v>
      </c>
      <c r="J59" s="335">
        <f t="shared" si="33"/>
        <v>559</v>
      </c>
      <c r="K59" s="335">
        <f t="shared" si="33"/>
        <v>30</v>
      </c>
      <c r="L59" s="335">
        <f t="shared" si="33"/>
        <v>589</v>
      </c>
      <c r="M59" s="335">
        <f t="shared" si="33"/>
        <v>200</v>
      </c>
      <c r="N59" s="823">
        <f>+N58+N52+N49+N39+N36</f>
        <v>0</v>
      </c>
      <c r="O59" s="335">
        <f t="shared" si="33"/>
        <v>200</v>
      </c>
      <c r="P59" s="335">
        <f t="shared" si="33"/>
        <v>19357</v>
      </c>
      <c r="Q59" s="335">
        <f t="shared" si="33"/>
        <v>0</v>
      </c>
      <c r="R59" s="335">
        <f t="shared" si="33"/>
        <v>19357</v>
      </c>
    </row>
    <row r="60" spans="1:18">
      <c r="A60" s="274"/>
      <c r="B60" s="1116"/>
      <c r="C60" s="1116"/>
      <c r="D60" s="275"/>
      <c r="E60" s="275"/>
      <c r="F60" s="275"/>
      <c r="G60" s="277"/>
      <c r="H60" s="275"/>
      <c r="I60" s="276"/>
      <c r="J60" s="277"/>
      <c r="K60" s="275"/>
      <c r="L60" s="276"/>
      <c r="M60" s="277"/>
      <c r="N60" s="275"/>
      <c r="O60" s="276"/>
      <c r="P60" s="277"/>
      <c r="Q60" s="275"/>
      <c r="R60" s="276"/>
    </row>
    <row r="61" spans="1:18" ht="25.5" customHeight="1">
      <c r="A61" s="824" t="s">
        <v>102</v>
      </c>
      <c r="B61" s="1114" t="s">
        <v>859</v>
      </c>
      <c r="C61" s="1114"/>
      <c r="D61" s="333">
        <f t="shared" ref="D61:F64" si="34">+G61+J61+M61+P61</f>
        <v>95</v>
      </c>
      <c r="E61" s="333">
        <f t="shared" si="34"/>
        <v>0</v>
      </c>
      <c r="F61" s="333">
        <f t="shared" si="34"/>
        <v>95</v>
      </c>
      <c r="G61" s="333">
        <f>+'[4]6.b. mell. Óvoda'!I61</f>
        <v>58</v>
      </c>
      <c r="H61" s="333"/>
      <c r="I61" s="333">
        <f>I62</f>
        <v>58</v>
      </c>
      <c r="J61" s="333">
        <f>+'[4]6.b. mell. Óvoda'!L61</f>
        <v>37</v>
      </c>
      <c r="K61" s="333">
        <f>K62</f>
        <v>0</v>
      </c>
      <c r="L61" s="333">
        <f>L62</f>
        <v>37</v>
      </c>
      <c r="M61" s="333"/>
      <c r="N61" s="333"/>
      <c r="O61" s="333"/>
      <c r="P61" s="333"/>
      <c r="Q61" s="333"/>
      <c r="R61" s="333"/>
    </row>
    <row r="62" spans="1:18">
      <c r="A62" s="825" t="s">
        <v>102</v>
      </c>
      <c r="B62" s="837"/>
      <c r="C62" s="826" t="s">
        <v>860</v>
      </c>
      <c r="D62" s="333">
        <f t="shared" si="34"/>
        <v>95</v>
      </c>
      <c r="E62" s="333">
        <f t="shared" si="34"/>
        <v>0</v>
      </c>
      <c r="F62" s="333">
        <f t="shared" si="34"/>
        <v>95</v>
      </c>
      <c r="G62" s="333">
        <f>+'[4]6.b. mell. Óvoda'!I62</f>
        <v>58</v>
      </c>
      <c r="H62" s="333"/>
      <c r="I62" s="333">
        <f>SUM(G62:H62)</f>
        <v>58</v>
      </c>
      <c r="J62" s="333">
        <f>+'[4]6.b. mell. Óvoda'!L62</f>
        <v>37</v>
      </c>
      <c r="K62" s="333"/>
      <c r="L62" s="333">
        <f>SUM(J62:K62)</f>
        <v>37</v>
      </c>
      <c r="M62" s="333"/>
      <c r="N62" s="333"/>
      <c r="O62" s="333"/>
      <c r="P62" s="333"/>
      <c r="Q62" s="333"/>
      <c r="R62" s="333"/>
    </row>
    <row r="63" spans="1:18" ht="26.25" customHeight="1">
      <c r="A63" s="273" t="s">
        <v>108</v>
      </c>
      <c r="B63" s="1112" t="s">
        <v>165</v>
      </c>
      <c r="C63" s="1112"/>
      <c r="D63" s="333">
        <f>+G63+J63+M63+P63</f>
        <v>11152</v>
      </c>
      <c r="E63" s="333">
        <f t="shared" si="34"/>
        <v>0</v>
      </c>
      <c r="F63" s="333">
        <f t="shared" si="34"/>
        <v>11152</v>
      </c>
      <c r="G63" s="333"/>
      <c r="H63" s="333"/>
      <c r="I63" s="333"/>
      <c r="J63" s="333">
        <f>+'[4]6.b. mell. Óvoda'!L63</f>
        <v>11152</v>
      </c>
      <c r="K63" s="333">
        <f>K64</f>
        <v>0</v>
      </c>
      <c r="L63" s="333">
        <f>+J63+K63</f>
        <v>11152</v>
      </c>
      <c r="M63" s="333"/>
      <c r="N63" s="333"/>
      <c r="O63" s="333"/>
      <c r="P63" s="333"/>
      <c r="Q63" s="333"/>
      <c r="R63" s="333"/>
    </row>
    <row r="64" spans="1:18" ht="25.5" customHeight="1">
      <c r="A64" s="289" t="s">
        <v>108</v>
      </c>
      <c r="B64" s="279"/>
      <c r="C64" s="290" t="s">
        <v>105</v>
      </c>
      <c r="D64" s="333">
        <f>+G64+J64+M64+P64</f>
        <v>11152</v>
      </c>
      <c r="E64" s="333">
        <f t="shared" si="34"/>
        <v>0</v>
      </c>
      <c r="F64" s="333">
        <f t="shared" si="34"/>
        <v>11152</v>
      </c>
      <c r="G64" s="333"/>
      <c r="H64" s="333"/>
      <c r="I64" s="333"/>
      <c r="J64" s="333">
        <f>+'[4]6.b. mell. Óvoda'!L64</f>
        <v>11152</v>
      </c>
      <c r="K64" s="333"/>
      <c r="L64" s="333">
        <f>+J64+K64</f>
        <v>11152</v>
      </c>
      <c r="M64" s="333"/>
      <c r="N64" s="333"/>
      <c r="O64" s="333"/>
      <c r="P64" s="333"/>
      <c r="Q64" s="333"/>
      <c r="R64" s="333"/>
    </row>
    <row r="65" spans="1:18">
      <c r="A65" s="334" t="s">
        <v>109</v>
      </c>
      <c r="B65" s="1113" t="s">
        <v>164</v>
      </c>
      <c r="C65" s="1113"/>
      <c r="D65" s="335">
        <f>+D63+D61</f>
        <v>11247</v>
      </c>
      <c r="E65" s="335">
        <f>+E63+E61</f>
        <v>0</v>
      </c>
      <c r="F65" s="335">
        <f>+F63+F61</f>
        <v>11247</v>
      </c>
      <c r="G65" s="335">
        <f t="shared" ref="G65:H65" si="35">G61+G63</f>
        <v>58</v>
      </c>
      <c r="H65" s="335">
        <f t="shared" si="35"/>
        <v>0</v>
      </c>
      <c r="I65" s="335">
        <f>I61+I63</f>
        <v>58</v>
      </c>
      <c r="J65" s="335">
        <f>+J61+J63</f>
        <v>11189</v>
      </c>
      <c r="K65" s="335">
        <f>+K63+K61</f>
        <v>0</v>
      </c>
      <c r="L65" s="335">
        <f>SUM(J65:K65)</f>
        <v>11189</v>
      </c>
      <c r="M65" s="335">
        <f t="shared" ref="M65:R65" si="36">+M63</f>
        <v>0</v>
      </c>
      <c r="N65" s="335">
        <f t="shared" si="36"/>
        <v>0</v>
      </c>
      <c r="O65" s="335">
        <f t="shared" si="36"/>
        <v>0</v>
      </c>
      <c r="P65" s="335">
        <f t="shared" si="36"/>
        <v>0</v>
      </c>
      <c r="Q65" s="335">
        <f t="shared" si="36"/>
        <v>0</v>
      </c>
      <c r="R65" s="335">
        <f t="shared" si="36"/>
        <v>0</v>
      </c>
    </row>
    <row r="66" spans="1:18" ht="8.25" customHeight="1">
      <c r="A66" s="291"/>
      <c r="B66" s="292"/>
      <c r="C66" s="292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</row>
    <row r="67" spans="1:18" ht="11.25" customHeight="1">
      <c r="A67" s="294"/>
      <c r="B67" s="295"/>
      <c r="C67" s="295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</row>
    <row r="68" spans="1:18">
      <c r="A68" s="273" t="s">
        <v>111</v>
      </c>
      <c r="B68" s="1112" t="s">
        <v>110</v>
      </c>
      <c r="C68" s="1112"/>
      <c r="D68" s="333">
        <f>+G68+J68+M68+P68</f>
        <v>0</v>
      </c>
      <c r="E68" s="333">
        <f t="shared" ref="E68:F75" si="37">+H68+K68+N68+Q68</f>
        <v>0</v>
      </c>
      <c r="F68" s="333">
        <f t="shared" si="37"/>
        <v>0</v>
      </c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R68" s="333"/>
    </row>
    <row r="69" spans="1:18">
      <c r="A69" s="273" t="s">
        <v>112</v>
      </c>
      <c r="B69" s="1112" t="s">
        <v>455</v>
      </c>
      <c r="C69" s="1112"/>
      <c r="D69" s="333">
        <f t="shared" ref="D69:D75" si="38">+G69+J69+M69+P69</f>
        <v>0</v>
      </c>
      <c r="E69" s="333">
        <f t="shared" si="37"/>
        <v>0</v>
      </c>
      <c r="F69" s="333">
        <f t="shared" si="37"/>
        <v>0</v>
      </c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</row>
    <row r="70" spans="1:18" ht="26.4">
      <c r="A70" s="278" t="s">
        <v>112</v>
      </c>
      <c r="B70" s="279"/>
      <c r="C70" s="290" t="s">
        <v>113</v>
      </c>
      <c r="D70" s="333">
        <f t="shared" si="38"/>
        <v>0</v>
      </c>
      <c r="E70" s="333">
        <f t="shared" si="37"/>
        <v>0</v>
      </c>
      <c r="F70" s="333">
        <f t="shared" si="37"/>
        <v>0</v>
      </c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3"/>
    </row>
    <row r="71" spans="1:18">
      <c r="A71" s="273" t="s">
        <v>115</v>
      </c>
      <c r="B71" s="1112" t="s">
        <v>114</v>
      </c>
      <c r="C71" s="1112"/>
      <c r="D71" s="333">
        <f t="shared" si="38"/>
        <v>0</v>
      </c>
      <c r="E71" s="333">
        <f t="shared" si="37"/>
        <v>0</v>
      </c>
      <c r="F71" s="333">
        <f t="shared" si="37"/>
        <v>0</v>
      </c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</row>
    <row r="72" spans="1:18">
      <c r="A72" s="273" t="s">
        <v>117</v>
      </c>
      <c r="B72" s="1112" t="s">
        <v>116</v>
      </c>
      <c r="C72" s="1112"/>
      <c r="D72" s="333">
        <f t="shared" si="38"/>
        <v>13</v>
      </c>
      <c r="E72" s="333">
        <f t="shared" si="37"/>
        <v>0</v>
      </c>
      <c r="F72" s="333">
        <f t="shared" si="37"/>
        <v>13</v>
      </c>
      <c r="G72" s="333">
        <f>+'[4]6.b. mell. Óvoda'!I72</f>
        <v>13</v>
      </c>
      <c r="H72" s="333"/>
      <c r="I72" s="333">
        <f>SUM(G72:H72)</f>
        <v>13</v>
      </c>
      <c r="J72" s="333"/>
      <c r="K72" s="333"/>
      <c r="L72" s="333"/>
      <c r="M72" s="333"/>
      <c r="N72" s="333"/>
      <c r="O72" s="333"/>
      <c r="P72" s="333"/>
      <c r="Q72" s="333"/>
      <c r="R72" s="333"/>
    </row>
    <row r="73" spans="1:18">
      <c r="A73" s="273" t="s">
        <v>119</v>
      </c>
      <c r="B73" s="1112" t="s">
        <v>118</v>
      </c>
      <c r="C73" s="1112"/>
      <c r="D73" s="333">
        <f t="shared" si="38"/>
        <v>0</v>
      </c>
      <c r="E73" s="333">
        <f t="shared" si="37"/>
        <v>0</v>
      </c>
      <c r="F73" s="333">
        <f t="shared" si="37"/>
        <v>0</v>
      </c>
      <c r="G73" s="333">
        <f>+'[4]6.b. mell. Óvoda'!I73</f>
        <v>0</v>
      </c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</row>
    <row r="74" spans="1:18">
      <c r="A74" s="273" t="s">
        <v>121</v>
      </c>
      <c r="B74" s="1112" t="s">
        <v>120</v>
      </c>
      <c r="C74" s="1112"/>
      <c r="D74" s="333">
        <f t="shared" si="38"/>
        <v>0</v>
      </c>
      <c r="E74" s="333">
        <f t="shared" si="37"/>
        <v>0</v>
      </c>
      <c r="F74" s="333">
        <f t="shared" si="37"/>
        <v>0</v>
      </c>
      <c r="G74" s="333">
        <f>+'[4]6.b. mell. Óvoda'!I74</f>
        <v>0</v>
      </c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</row>
    <row r="75" spans="1:18">
      <c r="A75" s="273" t="s">
        <v>123</v>
      </c>
      <c r="B75" s="1112" t="s">
        <v>122</v>
      </c>
      <c r="C75" s="1112"/>
      <c r="D75" s="333">
        <f t="shared" si="38"/>
        <v>4</v>
      </c>
      <c r="E75" s="333">
        <f t="shared" si="37"/>
        <v>0</v>
      </c>
      <c r="F75" s="333">
        <f t="shared" si="37"/>
        <v>4</v>
      </c>
      <c r="G75" s="333">
        <f>+'[4]6.b. mell. Óvoda'!I75</f>
        <v>4</v>
      </c>
      <c r="H75" s="333"/>
      <c r="I75" s="333">
        <f>SUM(G75:H75)</f>
        <v>4</v>
      </c>
      <c r="J75" s="333"/>
      <c r="K75" s="333"/>
      <c r="L75" s="333"/>
      <c r="M75" s="333"/>
      <c r="N75" s="333"/>
      <c r="O75" s="333"/>
      <c r="P75" s="333"/>
      <c r="Q75" s="333"/>
      <c r="R75" s="333"/>
    </row>
    <row r="76" spans="1:18">
      <c r="A76" s="334" t="s">
        <v>124</v>
      </c>
      <c r="B76" s="1113" t="s">
        <v>162</v>
      </c>
      <c r="C76" s="1113"/>
      <c r="D76" s="335">
        <f t="shared" ref="D76" si="39">SUM(D68:D75)</f>
        <v>17</v>
      </c>
      <c r="E76" s="335">
        <f t="shared" ref="E76:F76" si="40">SUM(E68:E75)</f>
        <v>0</v>
      </c>
      <c r="F76" s="335">
        <f t="shared" si="40"/>
        <v>17</v>
      </c>
      <c r="G76" s="335">
        <f t="shared" ref="G76:R76" si="41">(((((+G75+G74)+G73)+G72)+G71)+G69)+G68</f>
        <v>17</v>
      </c>
      <c r="H76" s="335">
        <f t="shared" si="41"/>
        <v>0</v>
      </c>
      <c r="I76" s="335">
        <f t="shared" si="41"/>
        <v>17</v>
      </c>
      <c r="J76" s="335">
        <f t="shared" si="41"/>
        <v>0</v>
      </c>
      <c r="K76" s="335">
        <f t="shared" si="41"/>
        <v>0</v>
      </c>
      <c r="L76" s="335">
        <f t="shared" si="41"/>
        <v>0</v>
      </c>
      <c r="M76" s="335">
        <f t="shared" si="41"/>
        <v>0</v>
      </c>
      <c r="N76" s="335">
        <f t="shared" si="41"/>
        <v>0</v>
      </c>
      <c r="O76" s="335">
        <f t="shared" si="41"/>
        <v>0</v>
      </c>
      <c r="P76" s="335">
        <f t="shared" si="41"/>
        <v>0</v>
      </c>
      <c r="Q76" s="335">
        <f t="shared" si="41"/>
        <v>0</v>
      </c>
      <c r="R76" s="335">
        <f t="shared" si="41"/>
        <v>0</v>
      </c>
    </row>
    <row r="77" spans="1:18">
      <c r="A77" s="274"/>
      <c r="B77" s="835"/>
      <c r="C77" s="835"/>
      <c r="D77" s="275"/>
      <c r="E77" s="275"/>
      <c r="F77" s="275"/>
      <c r="G77" s="277"/>
      <c r="H77" s="275"/>
      <c r="I77" s="276"/>
      <c r="J77" s="277"/>
      <c r="K77" s="275"/>
      <c r="L77" s="276"/>
      <c r="M77" s="277"/>
      <c r="N77" s="275"/>
      <c r="O77" s="276"/>
      <c r="P77" s="277"/>
      <c r="Q77" s="275"/>
      <c r="R77" s="276"/>
    </row>
    <row r="78" spans="1:18" hidden="1">
      <c r="A78" s="273" t="s">
        <v>126</v>
      </c>
      <c r="B78" s="1112" t="s">
        <v>125</v>
      </c>
      <c r="C78" s="1112"/>
      <c r="D78" s="333">
        <f>+G78+J78+M78+P78</f>
        <v>0</v>
      </c>
      <c r="E78" s="333">
        <f t="shared" ref="E78:F81" si="42">+H78+K78+N78+Q78</f>
        <v>0</v>
      </c>
      <c r="F78" s="333">
        <f t="shared" si="42"/>
        <v>0</v>
      </c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</row>
    <row r="79" spans="1:18" hidden="1">
      <c r="A79" s="273" t="s">
        <v>128</v>
      </c>
      <c r="B79" s="1112" t="s">
        <v>127</v>
      </c>
      <c r="C79" s="1112"/>
      <c r="D79" s="333">
        <f t="shared" ref="D79:D81" si="43">+G79+J79+M79+P79</f>
        <v>0</v>
      </c>
      <c r="E79" s="333">
        <f t="shared" si="42"/>
        <v>0</v>
      </c>
      <c r="F79" s="333">
        <f t="shared" si="42"/>
        <v>0</v>
      </c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</row>
    <row r="80" spans="1:18" hidden="1">
      <c r="A80" s="273" t="s">
        <v>130</v>
      </c>
      <c r="B80" s="1112" t="s">
        <v>456</v>
      </c>
      <c r="C80" s="1112"/>
      <c r="D80" s="333">
        <f t="shared" si="43"/>
        <v>0</v>
      </c>
      <c r="E80" s="333">
        <f t="shared" si="42"/>
        <v>0</v>
      </c>
      <c r="F80" s="333">
        <f t="shared" si="42"/>
        <v>0</v>
      </c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</row>
    <row r="81" spans="1:18" hidden="1">
      <c r="A81" s="273" t="s">
        <v>132</v>
      </c>
      <c r="B81" s="1112" t="s">
        <v>131</v>
      </c>
      <c r="C81" s="1112"/>
      <c r="D81" s="333">
        <f t="shared" si="43"/>
        <v>0</v>
      </c>
      <c r="E81" s="333">
        <f t="shared" si="42"/>
        <v>0</v>
      </c>
      <c r="F81" s="333">
        <f t="shared" si="42"/>
        <v>0</v>
      </c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</row>
    <row r="82" spans="1:18">
      <c r="A82" s="334" t="s">
        <v>133</v>
      </c>
      <c r="B82" s="1113" t="s">
        <v>313</v>
      </c>
      <c r="C82" s="1113"/>
      <c r="D82" s="335">
        <f t="shared" ref="D82:R82" si="44">SUM(D78:D81)</f>
        <v>0</v>
      </c>
      <c r="E82" s="335">
        <f t="shared" ref="E82:F82" si="45">SUM(E78:E81)</f>
        <v>0</v>
      </c>
      <c r="F82" s="335">
        <f t="shared" si="45"/>
        <v>0</v>
      </c>
      <c r="G82" s="335">
        <f t="shared" si="44"/>
        <v>0</v>
      </c>
      <c r="H82" s="335">
        <f t="shared" si="44"/>
        <v>0</v>
      </c>
      <c r="I82" s="335">
        <f t="shared" si="44"/>
        <v>0</v>
      </c>
      <c r="J82" s="335">
        <f t="shared" si="44"/>
        <v>0</v>
      </c>
      <c r="K82" s="335">
        <f t="shared" si="44"/>
        <v>0</v>
      </c>
      <c r="L82" s="335">
        <f t="shared" si="44"/>
        <v>0</v>
      </c>
      <c r="M82" s="335">
        <f t="shared" si="44"/>
        <v>0</v>
      </c>
      <c r="N82" s="335">
        <f t="shared" si="44"/>
        <v>0</v>
      </c>
      <c r="O82" s="335">
        <f t="shared" si="44"/>
        <v>0</v>
      </c>
      <c r="P82" s="335">
        <f t="shared" si="44"/>
        <v>0</v>
      </c>
      <c r="Q82" s="335">
        <f t="shared" si="44"/>
        <v>0</v>
      </c>
      <c r="R82" s="335">
        <f t="shared" si="44"/>
        <v>0</v>
      </c>
    </row>
    <row r="83" spans="1:18">
      <c r="A83" s="274"/>
      <c r="B83" s="837"/>
      <c r="C83" s="837"/>
      <c r="D83" s="275"/>
      <c r="E83" s="275"/>
      <c r="F83" s="275"/>
      <c r="G83" s="277"/>
      <c r="H83" s="275"/>
      <c r="I83" s="276"/>
      <c r="J83" s="277"/>
      <c r="K83" s="275"/>
      <c r="L83" s="276"/>
      <c r="M83" s="277"/>
      <c r="N83" s="275"/>
      <c r="O83" s="276"/>
      <c r="P83" s="277"/>
      <c r="Q83" s="275"/>
      <c r="R83" s="276"/>
    </row>
    <row r="84" spans="1:18">
      <c r="A84" s="334" t="s">
        <v>135</v>
      </c>
      <c r="B84" s="1113" t="s">
        <v>159</v>
      </c>
      <c r="C84" s="111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</row>
    <row r="85" spans="1:18" ht="15.75" customHeight="1" thickBot="1">
      <c r="A85" s="518"/>
      <c r="B85" s="292"/>
      <c r="C85" s="292"/>
      <c r="D85" s="284"/>
      <c r="E85" s="284"/>
      <c r="F85" s="284"/>
      <c r="G85" s="520"/>
      <c r="H85" s="284"/>
      <c r="I85" s="519"/>
      <c r="J85" s="520"/>
      <c r="K85" s="284"/>
      <c r="L85" s="519"/>
      <c r="M85" s="520"/>
      <c r="N85" s="284"/>
      <c r="O85" s="519"/>
      <c r="P85" s="520"/>
      <c r="Q85" s="284"/>
      <c r="R85" s="519"/>
    </row>
    <row r="86" spans="1:18" s="636" customFormat="1" ht="40.5" customHeight="1" thickBot="1">
      <c r="A86" s="635" t="s">
        <v>136</v>
      </c>
      <c r="B86" s="1121" t="s">
        <v>732</v>
      </c>
      <c r="C86" s="1122"/>
      <c r="D86" s="637">
        <f t="shared" ref="D86:R86" si="46">+D84+D82+D76+D65+D59+D26+D24</f>
        <v>172692</v>
      </c>
      <c r="E86" s="637">
        <f t="shared" si="46"/>
        <v>49</v>
      </c>
      <c r="F86" s="637">
        <f t="shared" si="46"/>
        <v>172741</v>
      </c>
      <c r="G86" s="637">
        <f t="shared" si="46"/>
        <v>139053</v>
      </c>
      <c r="H86" s="637">
        <f t="shared" si="46"/>
        <v>19</v>
      </c>
      <c r="I86" s="637">
        <f t="shared" si="46"/>
        <v>139072</v>
      </c>
      <c r="J86" s="637">
        <f t="shared" si="46"/>
        <v>11748</v>
      </c>
      <c r="K86" s="637">
        <f t="shared" si="46"/>
        <v>30</v>
      </c>
      <c r="L86" s="637">
        <f t="shared" si="46"/>
        <v>11778</v>
      </c>
      <c r="M86" s="637">
        <f t="shared" si="46"/>
        <v>2534</v>
      </c>
      <c r="N86" s="827">
        <f t="shared" si="46"/>
        <v>0</v>
      </c>
      <c r="O86" s="827">
        <f t="shared" si="46"/>
        <v>2534</v>
      </c>
      <c r="P86" s="637">
        <f t="shared" si="46"/>
        <v>19357</v>
      </c>
      <c r="Q86" s="637">
        <f t="shared" si="46"/>
        <v>0</v>
      </c>
      <c r="R86" s="638">
        <f t="shared" si="46"/>
        <v>19357</v>
      </c>
    </row>
  </sheetData>
  <mergeCells count="77">
    <mergeCell ref="B65:C65"/>
    <mergeCell ref="B68:C68"/>
    <mergeCell ref="B75:C75"/>
    <mergeCell ref="B81:C81"/>
    <mergeCell ref="B86:C86"/>
    <mergeCell ref="B80:C80"/>
    <mergeCell ref="B82:C82"/>
    <mergeCell ref="B71:C71"/>
    <mergeCell ref="B72:C72"/>
    <mergeCell ref="B74:C74"/>
    <mergeCell ref="B76:C76"/>
    <mergeCell ref="B79:C79"/>
    <mergeCell ref="B78:C78"/>
    <mergeCell ref="B69:C69"/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36:C36"/>
    <mergeCell ref="B37:C37"/>
    <mergeCell ref="B60:C60"/>
    <mergeCell ref="B59:C59"/>
    <mergeCell ref="B58:C58"/>
    <mergeCell ref="B39:C39"/>
    <mergeCell ref="B40:C40"/>
    <mergeCell ref="B41:C41"/>
    <mergeCell ref="B42:C42"/>
    <mergeCell ref="B56:C56"/>
    <mergeCell ref="B43:C43"/>
    <mergeCell ref="B55:C55"/>
    <mergeCell ref="B38:C38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4:C84"/>
    <mergeCell ref="B44:C44"/>
    <mergeCell ref="B61:C61"/>
    <mergeCell ref="B63:C63"/>
    <mergeCell ref="B73:C73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</mergeCells>
  <pageMargins left="0.31496062992125984" right="0.11811023622047245" top="0.74803149606299213" bottom="0.74803149606299213" header="0.31496062992125984" footer="0.31496062992125984"/>
  <pageSetup paperSize="9" scale="66" fitToHeight="2" orientation="portrait" cellComments="asDisplayed" r:id="rId1"/>
  <headerFooter>
    <oddHeader>&amp;C&amp;"Times New Roman,Félkövér"&amp;12Martonvásár Város Önkormányzatának kiadásai 2016.
Brunszvik Teréz Óvoda&amp;R&amp;"Times New Roman,Félkövér"&amp;12 6/b. melléklet</oddHeader>
  </headerFooter>
  <rowBreaks count="1" manualBreakCount="1">
    <brk id="3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9"/>
  <sheetViews>
    <sheetView tabSelected="1" workbookViewId="0">
      <selection activeCell="D35" sqref="D35"/>
    </sheetView>
  </sheetViews>
  <sheetFormatPr defaultColWidth="9.109375" defaultRowHeight="15.6"/>
  <cols>
    <col min="1" max="1" width="5.44140625" style="225" customWidth="1"/>
    <col min="2" max="2" width="54.88671875" style="219" customWidth="1"/>
    <col min="3" max="3" width="10.44140625" style="219" customWidth="1"/>
    <col min="4" max="4" width="9.109375" style="219" customWidth="1"/>
    <col min="5" max="5" width="9" style="219" customWidth="1"/>
    <col min="6" max="20" width="9.109375" style="104"/>
    <col min="21" max="16384" width="9.109375" style="219"/>
  </cols>
  <sheetData>
    <row r="1" spans="1:20" ht="15.9" customHeight="1">
      <c r="A1" s="98" t="s">
        <v>299</v>
      </c>
      <c r="B1" s="99"/>
      <c r="C1" s="99"/>
      <c r="D1" s="99"/>
      <c r="E1" s="99"/>
    </row>
    <row r="2" spans="1:20" ht="15.9" customHeight="1">
      <c r="A2" s="953" t="s">
        <v>300</v>
      </c>
      <c r="B2" s="953"/>
      <c r="D2" s="956" t="s">
        <v>403</v>
      </c>
      <c r="E2" s="956"/>
    </row>
    <row r="3" spans="1:20" ht="35.25" customHeight="1">
      <c r="A3" s="226"/>
      <c r="B3" s="226" t="s">
        <v>180</v>
      </c>
      <c r="C3" s="75" t="s">
        <v>746</v>
      </c>
      <c r="D3" s="75" t="s">
        <v>745</v>
      </c>
      <c r="E3" s="75" t="s">
        <v>911</v>
      </c>
      <c r="O3" s="219"/>
      <c r="P3" s="219"/>
      <c r="Q3" s="219"/>
      <c r="R3" s="219"/>
      <c r="S3" s="219"/>
      <c r="T3" s="219"/>
    </row>
    <row r="4" spans="1:20" s="239" customFormat="1">
      <c r="A4" s="237" t="s">
        <v>415</v>
      </c>
      <c r="B4" s="230" t="s">
        <v>414</v>
      </c>
      <c r="C4" s="243">
        <f>+C7+C8+C13+C14</f>
        <v>973076</v>
      </c>
      <c r="D4" s="243">
        <f t="shared" ref="D4:E4" si="0">+D7+D8+D13+D14</f>
        <v>29368</v>
      </c>
      <c r="E4" s="243">
        <f t="shared" si="0"/>
        <v>1002444</v>
      </c>
      <c r="F4" s="238"/>
      <c r="G4" s="238"/>
      <c r="H4" s="238"/>
      <c r="I4" s="238"/>
      <c r="J4" s="238"/>
      <c r="K4" s="238"/>
      <c r="L4" s="238"/>
      <c r="M4" s="238"/>
      <c r="N4" s="238"/>
    </row>
    <row r="5" spans="1:20" s="220" customFormat="1" ht="12" customHeight="1">
      <c r="A5" s="111" t="s">
        <v>412</v>
      </c>
      <c r="B5" s="242" t="s">
        <v>330</v>
      </c>
      <c r="C5" s="108">
        <f>+'3.mell. Bevétel'!C11</f>
        <v>598540</v>
      </c>
      <c r="D5" s="108">
        <f>+'3.mell. Bevétel'!D11</f>
        <v>0</v>
      </c>
      <c r="E5" s="108">
        <f>+'3.mell. Bevétel'!E11</f>
        <v>598540</v>
      </c>
      <c r="F5" s="104"/>
      <c r="G5" s="104"/>
      <c r="H5" s="104"/>
      <c r="I5" s="104"/>
      <c r="J5" s="104"/>
      <c r="K5" s="104"/>
      <c r="L5" s="104"/>
      <c r="M5" s="104"/>
      <c r="N5" s="104"/>
    </row>
    <row r="6" spans="1:20" s="220" customFormat="1" ht="13.5" customHeight="1">
      <c r="A6" s="241" t="s">
        <v>413</v>
      </c>
      <c r="B6" s="242" t="s">
        <v>203</v>
      </c>
      <c r="C6" s="108">
        <f>+'3.mell. Bevétel'!C12+'6. mell. Int.összesen'!D4</f>
        <v>38363</v>
      </c>
      <c r="D6" s="108">
        <f>+'3.mell. Bevétel'!D12+'6. mell. Int.összesen'!E4</f>
        <v>19212</v>
      </c>
      <c r="E6" s="108">
        <f>+'3.mell. Bevétel'!E12+'6. mell. Int.összesen'!F4</f>
        <v>57575</v>
      </c>
      <c r="F6" s="104"/>
      <c r="G6" s="104"/>
      <c r="H6" s="104"/>
      <c r="I6" s="104"/>
      <c r="J6" s="104"/>
      <c r="K6" s="104"/>
      <c r="L6" s="104"/>
      <c r="M6" s="104"/>
      <c r="N6" s="104"/>
    </row>
    <row r="7" spans="1:20" s="240" customFormat="1" ht="12" customHeight="1">
      <c r="A7" s="80" t="s">
        <v>307</v>
      </c>
      <c r="B7" s="66" t="s">
        <v>328</v>
      </c>
      <c r="C7" s="91">
        <f>+C5+C6</f>
        <v>636903</v>
      </c>
      <c r="D7" s="91">
        <f t="shared" ref="D7:E7" si="1">+D5+D6</f>
        <v>19212</v>
      </c>
      <c r="E7" s="91">
        <f t="shared" si="1"/>
        <v>656115</v>
      </c>
      <c r="F7" s="238"/>
      <c r="G7" s="238"/>
      <c r="H7" s="238"/>
      <c r="I7" s="238"/>
      <c r="J7" s="238"/>
      <c r="K7" s="238"/>
      <c r="L7" s="238"/>
      <c r="M7" s="238"/>
      <c r="N7" s="238"/>
    </row>
    <row r="8" spans="1:20" s="220" customFormat="1" ht="12" customHeight="1">
      <c r="A8" s="232" t="s">
        <v>416</v>
      </c>
      <c r="B8" s="66" t="s">
        <v>334</v>
      </c>
      <c r="C8" s="91">
        <f>SUM(C9:C12)</f>
        <v>284500</v>
      </c>
      <c r="D8" s="91">
        <f t="shared" ref="D8:E8" si="2">SUM(D9:D12)</f>
        <v>0</v>
      </c>
      <c r="E8" s="91">
        <f t="shared" si="2"/>
        <v>284500</v>
      </c>
      <c r="F8" s="104"/>
      <c r="G8" s="104"/>
      <c r="H8" s="104"/>
      <c r="I8" s="104"/>
      <c r="J8" s="104"/>
      <c r="K8" s="104"/>
      <c r="L8" s="104"/>
      <c r="M8" s="104"/>
      <c r="N8" s="104"/>
    </row>
    <row r="9" spans="1:20" s="220" customFormat="1" ht="12" customHeight="1">
      <c r="A9" s="111" t="s">
        <v>417</v>
      </c>
      <c r="B9" s="242" t="s">
        <v>332</v>
      </c>
      <c r="C9" s="91">
        <f>+'3.mell. Bevétel'!C40</f>
        <v>0</v>
      </c>
      <c r="D9" s="91">
        <f>+'3.mell. Bevétel'!D40</f>
        <v>0</v>
      </c>
      <c r="E9" s="91">
        <f>+'3.mell. Bevétel'!E40</f>
        <v>0</v>
      </c>
      <c r="F9" s="104"/>
      <c r="G9" s="104"/>
      <c r="H9" s="104"/>
      <c r="I9" s="104"/>
      <c r="J9" s="104"/>
      <c r="K9" s="104"/>
      <c r="L9" s="104"/>
      <c r="M9" s="104"/>
      <c r="N9" s="104"/>
    </row>
    <row r="10" spans="1:20" s="220" customFormat="1" ht="12" customHeight="1">
      <c r="A10" s="241" t="s">
        <v>418</v>
      </c>
      <c r="B10" s="242" t="s">
        <v>218</v>
      </c>
      <c r="C10" s="91">
        <f>+'3.mell. Bevétel'!C43</f>
        <v>147800</v>
      </c>
      <c r="D10" s="91">
        <f>+'3.mell. Bevétel'!D43</f>
        <v>0</v>
      </c>
      <c r="E10" s="91">
        <f>+'3.mell. Bevétel'!E43</f>
        <v>147800</v>
      </c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20" s="220" customFormat="1" ht="12" customHeight="1">
      <c r="A11" s="111" t="s">
        <v>419</v>
      </c>
      <c r="B11" s="242" t="s">
        <v>333</v>
      </c>
      <c r="C11" s="91">
        <f>+'3.mell. Bevétel'!C52</f>
        <v>135000</v>
      </c>
      <c r="D11" s="91">
        <f>+'3.mell. Bevétel'!D52</f>
        <v>0</v>
      </c>
      <c r="E11" s="91">
        <f>+'3.mell. Bevétel'!E52</f>
        <v>135000</v>
      </c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20" s="220" customFormat="1" ht="12" customHeight="1">
      <c r="A12" s="241" t="s">
        <v>420</v>
      </c>
      <c r="B12" s="242" t="s">
        <v>231</v>
      </c>
      <c r="C12" s="91">
        <f>+'3.mell. Bevétel'!C53</f>
        <v>1700</v>
      </c>
      <c r="D12" s="91">
        <f>+'3.mell. Bevétel'!D53</f>
        <v>0</v>
      </c>
      <c r="E12" s="91">
        <f>+'3.mell. Bevétel'!E53</f>
        <v>1700</v>
      </c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20" s="220" customFormat="1" ht="12" customHeight="1">
      <c r="A13" s="80">
        <v>3</v>
      </c>
      <c r="B13" s="66" t="s">
        <v>278</v>
      </c>
      <c r="C13" s="91">
        <f>+'3.mell. Bevétel'!C65+'6. mell. Int.összesen'!D36</f>
        <v>36631</v>
      </c>
      <c r="D13" s="91">
        <f>+'3.mell. Bevétel'!D65+'6. mell. Int.összesen'!E36</f>
        <v>6173</v>
      </c>
      <c r="E13" s="91">
        <f>+'3.mell. Bevétel'!E65+'6. mell. Int.összesen'!F36</f>
        <v>42804</v>
      </c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20" s="220" customFormat="1" ht="12" customHeight="1">
      <c r="A14" s="232">
        <v>4</v>
      </c>
      <c r="B14" s="66" t="s">
        <v>276</v>
      </c>
      <c r="C14" s="91">
        <f>+'3.mell. Bevétel'!C69</f>
        <v>15042</v>
      </c>
      <c r="D14" s="91">
        <f>+'3.mell. Bevétel'!D69</f>
        <v>3983</v>
      </c>
      <c r="E14" s="91">
        <f>+'3.mell. Bevétel'!E69</f>
        <v>19025</v>
      </c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20" s="240" customFormat="1" ht="12" customHeight="1">
      <c r="A15" s="81" t="s">
        <v>421</v>
      </c>
      <c r="B15" s="230" t="s">
        <v>277</v>
      </c>
      <c r="C15" s="95">
        <f>SUM(C16:C18)</f>
        <v>21000</v>
      </c>
      <c r="D15" s="95">
        <f t="shared" ref="D15:E15" si="3">SUM(D16:D18)</f>
        <v>28905</v>
      </c>
      <c r="E15" s="95">
        <f t="shared" si="3"/>
        <v>49905</v>
      </c>
      <c r="F15" s="238"/>
      <c r="G15" s="238"/>
      <c r="H15" s="238"/>
      <c r="I15" s="238"/>
      <c r="J15" s="238"/>
      <c r="K15" s="238"/>
      <c r="L15" s="238"/>
      <c r="M15" s="238"/>
      <c r="N15" s="238"/>
    </row>
    <row r="16" spans="1:20" s="220" customFormat="1" ht="12" customHeight="1">
      <c r="A16" s="232">
        <v>1</v>
      </c>
      <c r="B16" s="66" t="s">
        <v>329</v>
      </c>
      <c r="C16" s="91">
        <f>+'3.mell. Bevétel'!C37+'6. mell. Int.összesen'!D16</f>
        <v>0</v>
      </c>
      <c r="D16" s="91">
        <f>+'3.mell. Bevétel'!D37+'6. mell. Int.összesen'!E16</f>
        <v>300</v>
      </c>
      <c r="E16" s="91">
        <f>+'3.mell. Bevétel'!E37+'6. mell. Int.összesen'!F16</f>
        <v>300</v>
      </c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20" s="220" customFormat="1" ht="12" customHeight="1">
      <c r="A17" s="80">
        <v>2</v>
      </c>
      <c r="B17" s="66" t="s">
        <v>277</v>
      </c>
      <c r="C17" s="91">
        <f>+'3.mell. Bevétel'!C66</f>
        <v>21000</v>
      </c>
      <c r="D17" s="91">
        <f>+'3.mell. Bevétel'!D66</f>
        <v>28605</v>
      </c>
      <c r="E17" s="91">
        <f>+'3.mell. Bevétel'!E66</f>
        <v>49605</v>
      </c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20" s="220" customFormat="1" ht="12" customHeight="1">
      <c r="A18" s="232">
        <v>3</v>
      </c>
      <c r="B18" s="66" t="s">
        <v>281</v>
      </c>
      <c r="C18" s="91">
        <f>+'3.mell. Bevétel'!C71</f>
        <v>0</v>
      </c>
      <c r="D18" s="91">
        <f>+'3.mell. Bevétel'!D71</f>
        <v>0</v>
      </c>
      <c r="E18" s="91">
        <f>+'3.mell. Bevétel'!E71</f>
        <v>0</v>
      </c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20" s="220" customFormat="1" ht="12" customHeight="1">
      <c r="A19" s="80"/>
      <c r="B19" s="67" t="s">
        <v>399</v>
      </c>
      <c r="C19" s="95">
        <f>+C15+C4</f>
        <v>994076</v>
      </c>
      <c r="D19" s="95">
        <f t="shared" ref="D19:E19" si="4">+D15+D4</f>
        <v>58273</v>
      </c>
      <c r="E19" s="95">
        <f t="shared" si="4"/>
        <v>1052349</v>
      </c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20" s="220" customFormat="1" ht="12" customHeight="1">
      <c r="A20" s="237" t="s">
        <v>422</v>
      </c>
      <c r="B20" s="67" t="s">
        <v>284</v>
      </c>
      <c r="C20" s="95">
        <f>+C22+C21</f>
        <v>412646</v>
      </c>
      <c r="D20" s="95">
        <f t="shared" ref="D20:E20" si="5">+D22+D21</f>
        <v>0</v>
      </c>
      <c r="E20" s="95">
        <f t="shared" si="5"/>
        <v>412646</v>
      </c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20" s="220" customFormat="1" ht="12" customHeight="1">
      <c r="A21" s="80">
        <v>1</v>
      </c>
      <c r="B21" s="66" t="s">
        <v>396</v>
      </c>
      <c r="C21" s="91">
        <f>+'3.mell. Bevétel'!C74</f>
        <v>0</v>
      </c>
      <c r="D21" s="91">
        <f>+'3.mell. Bevétel'!D74</f>
        <v>0</v>
      </c>
      <c r="E21" s="91">
        <f>+'3.mell. Bevétel'!E74</f>
        <v>0</v>
      </c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20" s="220" customFormat="1" ht="12" customHeight="1">
      <c r="A22" s="232">
        <v>2</v>
      </c>
      <c r="B22" s="66" t="s">
        <v>335</v>
      </c>
      <c r="C22" s="91">
        <f>SUM(C23:C24)</f>
        <v>412646</v>
      </c>
      <c r="D22" s="91">
        <f t="shared" ref="D22:E22" si="6">SUM(D23:D24)</f>
        <v>0</v>
      </c>
      <c r="E22" s="91">
        <f t="shared" si="6"/>
        <v>412646</v>
      </c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20" s="220" customFormat="1" ht="12" customHeight="1">
      <c r="A23" s="80" t="s">
        <v>412</v>
      </c>
      <c r="B23" s="242" t="s">
        <v>397</v>
      </c>
      <c r="C23" s="108">
        <f>+'3.mell. Bevétel'!C76+'6. mell. Int.összesen'!D44</f>
        <v>56840</v>
      </c>
      <c r="D23" s="108">
        <f>+'3.mell. Bevétel'!D76+'6. mell. Int.összesen'!E44</f>
        <v>0</v>
      </c>
      <c r="E23" s="108">
        <f>+'3.mell. Bevétel'!E76+'6. mell. Int.összesen'!F44</f>
        <v>56840</v>
      </c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20" s="220" customFormat="1" ht="12" customHeight="1">
      <c r="A24" s="232" t="s">
        <v>413</v>
      </c>
      <c r="B24" s="242" t="s">
        <v>398</v>
      </c>
      <c r="C24" s="108">
        <f>+'3.mell. Bevétel'!C77+'6. mell. Int.összesen'!D45</f>
        <v>355806</v>
      </c>
      <c r="D24" s="108">
        <f>+'3.mell. Bevétel'!D77+'6. mell. Int.összesen'!E45</f>
        <v>0</v>
      </c>
      <c r="E24" s="108">
        <f>+'3.mell. Bevétel'!E77+'6. mell. Int.összesen'!F45</f>
        <v>355806</v>
      </c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20" s="220" customFormat="1" ht="12.75" customHeight="1">
      <c r="A25" s="948" t="s">
        <v>400</v>
      </c>
      <c r="B25" s="949"/>
      <c r="C25" s="244">
        <f>+C20+C15+C4</f>
        <v>1406722</v>
      </c>
      <c r="D25" s="244">
        <f t="shared" ref="D25:E25" si="7">+D20+D15+D4</f>
        <v>58273</v>
      </c>
      <c r="E25" s="244">
        <f t="shared" si="7"/>
        <v>1464995</v>
      </c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20" s="220" customFormat="1" ht="12" customHeight="1">
      <c r="A26" s="218"/>
      <c r="B26" s="94"/>
      <c r="C26" s="233"/>
      <c r="D26" s="94"/>
      <c r="E26" s="9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20" s="220" customFormat="1" ht="16.5" customHeight="1">
      <c r="A27" s="954" t="s">
        <v>308</v>
      </c>
      <c r="B27" s="955"/>
      <c r="C27" s="955"/>
      <c r="D27" s="955"/>
      <c r="E27" s="955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20" s="220" customFormat="1" ht="15" customHeight="1">
      <c r="A28" s="953" t="s">
        <v>309</v>
      </c>
      <c r="B28" s="953"/>
      <c r="C28" s="221"/>
      <c r="D28" s="221"/>
      <c r="E28" s="221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</row>
    <row r="29" spans="1:20" ht="16.5" customHeight="1">
      <c r="A29" s="227"/>
      <c r="B29" s="227" t="s">
        <v>180</v>
      </c>
      <c r="C29" s="75" t="s">
        <v>746</v>
      </c>
      <c r="D29" s="75" t="s">
        <v>745</v>
      </c>
      <c r="E29" s="75" t="s">
        <v>911</v>
      </c>
    </row>
    <row r="30" spans="1:20" ht="16.5" customHeight="1">
      <c r="A30" s="237" t="s">
        <v>415</v>
      </c>
      <c r="B30" s="230" t="s">
        <v>426</v>
      </c>
      <c r="C30" s="243">
        <f>+C31+C32+C33+C34+C35+C36</f>
        <v>1279160</v>
      </c>
      <c r="D30" s="243">
        <f t="shared" ref="D30:E30" si="8">+D31+D32+D33+D34+D35+D36</f>
        <v>-77256</v>
      </c>
      <c r="E30" s="243">
        <f t="shared" si="8"/>
        <v>1201904</v>
      </c>
    </row>
    <row r="31" spans="1:20" ht="13.5" customHeight="1">
      <c r="A31" s="3">
        <v>1</v>
      </c>
      <c r="B31" s="212" t="s">
        <v>173</v>
      </c>
      <c r="C31" s="231">
        <f>+'5. mell. Önk.össz kiadás'!D5+'6. mell. Int.összesen'!D55</f>
        <v>263680</v>
      </c>
      <c r="D31" s="231">
        <f>+'5. mell. Önk.össz kiadás'!E5+'6. mell. Int.összesen'!E55</f>
        <v>9071</v>
      </c>
      <c r="E31" s="231">
        <f>+'5. mell. Önk.össz kiadás'!F5+'6. mell. Int.összesen'!F55</f>
        <v>272751</v>
      </c>
      <c r="O31" s="219"/>
      <c r="P31" s="219"/>
      <c r="Q31" s="219"/>
      <c r="R31" s="219"/>
      <c r="S31" s="219"/>
      <c r="T31" s="219"/>
    </row>
    <row r="32" spans="1:20" ht="12" customHeight="1">
      <c r="A32" s="3">
        <v>2</v>
      </c>
      <c r="B32" s="212" t="s">
        <v>172</v>
      </c>
      <c r="C32" s="231">
        <f>+'5. mell. Önk.össz kiadás'!D7+'6. mell. Int.összesen'!D56</f>
        <v>73833</v>
      </c>
      <c r="D32" s="231">
        <f>+'5. mell. Önk.össz kiadás'!E7+'6. mell. Int.összesen'!E56</f>
        <v>2268</v>
      </c>
      <c r="E32" s="231">
        <f>+'5. mell. Önk.össz kiadás'!F7+'6. mell. Int.összesen'!F56</f>
        <v>76101</v>
      </c>
      <c r="O32" s="219"/>
      <c r="P32" s="219"/>
      <c r="Q32" s="219"/>
      <c r="R32" s="219"/>
      <c r="S32" s="219"/>
      <c r="T32" s="219"/>
    </row>
    <row r="33" spans="1:20" ht="12" customHeight="1">
      <c r="A33" s="3">
        <v>3</v>
      </c>
      <c r="B33" s="212" t="s">
        <v>152</v>
      </c>
      <c r="C33" s="231">
        <f>+'5. mell. Önk.össz kiadás'!D14+'6. mell. Int.összesen'!D63</f>
        <v>156184</v>
      </c>
      <c r="D33" s="231">
        <f>+'5. mell. Önk.össz kiadás'!E14+'6. mell. Int.összesen'!E63</f>
        <v>33363</v>
      </c>
      <c r="E33" s="231">
        <f>+'5. mell. Önk.össz kiadás'!F14+'6. mell. Int.összesen'!F63</f>
        <v>189547</v>
      </c>
      <c r="O33" s="219"/>
      <c r="P33" s="219"/>
      <c r="Q33" s="219"/>
      <c r="R33" s="219"/>
      <c r="S33" s="219"/>
      <c r="T33" s="219"/>
    </row>
    <row r="34" spans="1:20" ht="12" customHeight="1">
      <c r="A34" s="3">
        <v>4</v>
      </c>
      <c r="B34" s="213" t="s">
        <v>151</v>
      </c>
      <c r="C34" s="231">
        <f>+'5. mell. Önk.össz kiadás'!D16</f>
        <v>21620</v>
      </c>
      <c r="D34" s="231">
        <f>+'5. mell. Önk.össz kiadás'!E16</f>
        <v>0</v>
      </c>
      <c r="E34" s="231">
        <f>+'5. mell. Önk.össz kiadás'!F16</f>
        <v>21620</v>
      </c>
      <c r="O34" s="219"/>
      <c r="P34" s="219"/>
      <c r="Q34" s="219"/>
      <c r="R34" s="219"/>
      <c r="S34" s="219"/>
      <c r="T34" s="219"/>
    </row>
    <row r="35" spans="1:20" ht="12" customHeight="1">
      <c r="A35" s="3">
        <v>5</v>
      </c>
      <c r="B35" s="212" t="s">
        <v>164</v>
      </c>
      <c r="C35" s="231">
        <f>+'5. mell. Önk.össz kiadás'!D18+'6. mell. Int.összesen'!D67-C36</f>
        <v>414177</v>
      </c>
      <c r="D35" s="231">
        <f>+'5. mell. Önk.össz kiadás'!E18+'6. mell. Int.összesen'!E67-D36</f>
        <v>22979</v>
      </c>
      <c r="E35" s="231">
        <f>+'5. mell. Önk.össz kiadás'!F18+'6. mell. Int.összesen'!F67-E36</f>
        <v>437156</v>
      </c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</row>
    <row r="36" spans="1:20" ht="12" customHeight="1">
      <c r="A36" s="3">
        <v>6</v>
      </c>
      <c r="B36" s="212" t="s">
        <v>437</v>
      </c>
      <c r="C36" s="231">
        <f>+'5. mell. Önk.össz kiadás'!D19</f>
        <v>349666</v>
      </c>
      <c r="D36" s="231">
        <f>+'5. mell. Önk.össz kiadás'!E19</f>
        <v>-144937</v>
      </c>
      <c r="E36" s="231">
        <f>+'5. mell. Önk.össz kiadás'!F19</f>
        <v>204729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</row>
    <row r="37" spans="1:20" ht="12" customHeight="1">
      <c r="A37" s="5" t="s">
        <v>427</v>
      </c>
      <c r="B37" s="230" t="s">
        <v>428</v>
      </c>
      <c r="C37" s="244">
        <f>+C38+C39+C40</f>
        <v>101305</v>
      </c>
      <c r="D37" s="244">
        <f t="shared" ref="D37:E37" si="9">+D38+D39+D40</f>
        <v>135529</v>
      </c>
      <c r="E37" s="244">
        <f t="shared" si="9"/>
        <v>236834</v>
      </c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</row>
    <row r="38" spans="1:20" ht="12" customHeight="1">
      <c r="A38" s="3">
        <v>1</v>
      </c>
      <c r="B38" s="212" t="s">
        <v>162</v>
      </c>
      <c r="C38" s="231">
        <f>+'5. mell. Önk.össz kiadás'!D21+'6. mell. Int.összesen'!D69</f>
        <v>83025</v>
      </c>
      <c r="D38" s="231">
        <f>+'5. mell. Önk.össz kiadás'!E21+'6. mell. Int.összesen'!E69</f>
        <v>103703</v>
      </c>
      <c r="E38" s="231">
        <f>+'5. mell. Önk.össz kiadás'!F21+'6. mell. Int.összesen'!F69</f>
        <v>186728</v>
      </c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</row>
    <row r="39" spans="1:20" ht="12" customHeight="1">
      <c r="A39" s="3">
        <v>2</v>
      </c>
      <c r="B39" s="212" t="s">
        <v>161</v>
      </c>
      <c r="C39" s="231">
        <f>+'5. mell. Önk.össz kiadás'!D23</f>
        <v>5663</v>
      </c>
      <c r="D39" s="231">
        <f>+'5. mell. Önk.össz kiadás'!E23</f>
        <v>31826</v>
      </c>
      <c r="E39" s="231">
        <f>+'5. mell. Önk.össz kiadás'!F23</f>
        <v>37489</v>
      </c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</row>
    <row r="40" spans="1:20" ht="12" customHeight="1">
      <c r="A40" s="3">
        <v>3</v>
      </c>
      <c r="B40" s="212" t="s">
        <v>159</v>
      </c>
      <c r="C40" s="231">
        <f>+'5. mell. Önk.össz kiadás'!D25+'6. mell. Int.összesen'!D73</f>
        <v>12617</v>
      </c>
      <c r="D40" s="231">
        <f>+'5. mell. Önk.össz kiadás'!E25+'6. mell. Int.összesen'!E70</f>
        <v>0</v>
      </c>
      <c r="E40" s="231">
        <f>+'5. mell. Önk.össz kiadás'!F25+'6. mell. Int.összesen'!F70</f>
        <v>12617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</row>
    <row r="41" spans="1:20" s="239" customFormat="1" ht="12" customHeight="1">
      <c r="A41" s="5"/>
      <c r="B41" s="216" t="s">
        <v>424</v>
      </c>
      <c r="C41" s="244">
        <f>+C37+C30</f>
        <v>1380465</v>
      </c>
      <c r="D41" s="244">
        <f t="shared" ref="D41:E41" si="10">+D37+D30</f>
        <v>58273</v>
      </c>
      <c r="E41" s="244">
        <f t="shared" si="10"/>
        <v>1438738</v>
      </c>
    </row>
    <row r="42" spans="1:20" ht="12" customHeight="1">
      <c r="A42" s="5" t="s">
        <v>429</v>
      </c>
      <c r="B42" s="245" t="s">
        <v>275</v>
      </c>
      <c r="C42" s="244">
        <f>+'5.g. mell. Egyéb tev.'!D99+'5.g. mell. Egyéb tev.'!D100</f>
        <v>26257</v>
      </c>
      <c r="D42" s="244">
        <f>+'5.g. mell. Egyéb tev.'!E99+'5.g. mell. Egyéb tev.'!E100</f>
        <v>0</v>
      </c>
      <c r="E42" s="244">
        <f>+'5.g. mell. Egyéb tev.'!F99+'5.g. mell. Egyéb tev.'!F100</f>
        <v>26257</v>
      </c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</row>
    <row r="43" spans="1:20" s="239" customFormat="1" ht="12" customHeight="1">
      <c r="A43" s="950" t="s">
        <v>425</v>
      </c>
      <c r="B43" s="951"/>
      <c r="C43" s="244">
        <f>C42+C41</f>
        <v>1406722</v>
      </c>
      <c r="D43" s="244">
        <f t="shared" ref="D43:E43" si="11">D42+D41</f>
        <v>58273</v>
      </c>
      <c r="E43" s="244">
        <f t="shared" si="11"/>
        <v>1464995</v>
      </c>
    </row>
    <row r="44" spans="1:20" ht="15" customHeight="1">
      <c r="A44" s="222"/>
      <c r="B44" s="104"/>
      <c r="C44" s="104"/>
      <c r="D44" s="104"/>
      <c r="E44" s="104"/>
      <c r="O44" s="219"/>
      <c r="P44" s="219"/>
      <c r="Q44" s="219"/>
      <c r="R44" s="219"/>
      <c r="S44" s="219"/>
      <c r="T44" s="219"/>
    </row>
    <row r="45" spans="1:20" s="220" customFormat="1" ht="15.75" customHeight="1">
      <c r="A45" s="952" t="s">
        <v>314</v>
      </c>
      <c r="B45" s="952"/>
      <c r="C45" s="952"/>
      <c r="D45" s="952"/>
      <c r="E45" s="952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</row>
    <row r="46" spans="1:20" s="104" customFormat="1">
      <c r="A46" s="223" t="s">
        <v>315</v>
      </c>
      <c r="B46" s="224"/>
      <c r="C46" s="219"/>
      <c r="D46" s="219"/>
      <c r="E46" s="219"/>
    </row>
    <row r="47" spans="1:20">
      <c r="A47" s="228">
        <v>1</v>
      </c>
      <c r="B47" s="103" t="s">
        <v>430</v>
      </c>
      <c r="C47" s="100">
        <f>+C19-C41</f>
        <v>-386389</v>
      </c>
      <c r="D47" s="100">
        <f t="shared" ref="D47:E47" si="12">+D19-D41</f>
        <v>0</v>
      </c>
      <c r="E47" s="100">
        <f t="shared" si="12"/>
        <v>-386389</v>
      </c>
    </row>
    <row r="48" spans="1:20">
      <c r="A48" s="222"/>
      <c r="B48" s="104"/>
      <c r="C48" s="104"/>
      <c r="D48" s="104"/>
      <c r="E48" s="104"/>
    </row>
    <row r="49" spans="1:20">
      <c r="A49" s="952" t="s">
        <v>316</v>
      </c>
      <c r="B49" s="952"/>
      <c r="C49" s="952"/>
      <c r="D49" s="952"/>
      <c r="E49" s="952"/>
    </row>
    <row r="50" spans="1:20">
      <c r="A50" s="223" t="s">
        <v>317</v>
      </c>
      <c r="B50" s="224"/>
    </row>
    <row r="51" spans="1:20">
      <c r="A51" s="228" t="s">
        <v>307</v>
      </c>
      <c r="B51" s="103" t="s">
        <v>318</v>
      </c>
      <c r="C51" s="100">
        <f>+C52-C53</f>
        <v>386389</v>
      </c>
      <c r="D51" s="100">
        <f t="shared" ref="D51:E51" si="13">+D52-D53</f>
        <v>0</v>
      </c>
      <c r="E51" s="100">
        <f t="shared" si="13"/>
        <v>386389</v>
      </c>
    </row>
    <row r="52" spans="1:20">
      <c r="A52" s="229" t="s">
        <v>311</v>
      </c>
      <c r="B52" s="101" t="s">
        <v>431</v>
      </c>
      <c r="C52" s="102">
        <f>+C20</f>
        <v>412646</v>
      </c>
      <c r="D52" s="102">
        <f t="shared" ref="D52:E52" si="14">+D20</f>
        <v>0</v>
      </c>
      <c r="E52" s="102">
        <f t="shared" si="14"/>
        <v>412646</v>
      </c>
    </row>
    <row r="53" spans="1:20">
      <c r="A53" s="229" t="s">
        <v>312</v>
      </c>
      <c r="B53" s="101" t="s">
        <v>432</v>
      </c>
      <c r="C53" s="102">
        <f>+C42</f>
        <v>26257</v>
      </c>
      <c r="D53" s="102">
        <f t="shared" ref="D53:E53" si="15">+D42</f>
        <v>0</v>
      </c>
      <c r="E53" s="102">
        <f t="shared" si="15"/>
        <v>26257</v>
      </c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</row>
    <row r="54" spans="1:20">
      <c r="A54" s="222"/>
      <c r="B54" s="104"/>
      <c r="C54" s="104"/>
      <c r="D54" s="104"/>
      <c r="E54" s="104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</row>
    <row r="55" spans="1:20">
      <c r="A55" s="223" t="s">
        <v>319</v>
      </c>
      <c r="B55" s="224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</row>
    <row r="56" spans="1:20">
      <c r="A56" s="228">
        <v>1</v>
      </c>
      <c r="B56" s="103" t="s">
        <v>622</v>
      </c>
      <c r="C56" s="100">
        <f>+C25-C43</f>
        <v>0</v>
      </c>
      <c r="D56" s="100">
        <f t="shared" ref="D56:E56" si="16">+D25-D43</f>
        <v>0</v>
      </c>
      <c r="E56" s="100">
        <f t="shared" si="16"/>
        <v>0</v>
      </c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</row>
    <row r="57" spans="1:20">
      <c r="A57" s="222"/>
      <c r="B57" s="104"/>
      <c r="C57" s="104"/>
      <c r="D57" s="104"/>
      <c r="E57" s="104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</row>
    <row r="58" spans="1:20">
      <c r="A58" s="222"/>
      <c r="B58" s="104"/>
      <c r="C58" s="104"/>
      <c r="D58" s="104"/>
      <c r="E58" s="104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</row>
    <row r="59" spans="1:20">
      <c r="A59" s="222"/>
      <c r="B59" s="104"/>
      <c r="C59" s="104"/>
      <c r="D59" s="104"/>
      <c r="E59" s="104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</row>
    <row r="60" spans="1:20">
      <c r="A60" s="222"/>
      <c r="B60" s="104"/>
      <c r="C60" s="104"/>
      <c r="D60" s="104"/>
      <c r="E60" s="104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</row>
    <row r="61" spans="1:20">
      <c r="A61" s="222"/>
      <c r="B61" s="104"/>
      <c r="C61" s="104"/>
      <c r="D61" s="104"/>
      <c r="E61" s="104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</row>
    <row r="62" spans="1:20">
      <c r="A62" s="222"/>
      <c r="B62" s="104"/>
      <c r="C62" s="104"/>
      <c r="D62" s="104"/>
      <c r="E62" s="104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</row>
    <row r="63" spans="1:20">
      <c r="A63" s="222"/>
      <c r="B63" s="104"/>
      <c r="C63" s="104"/>
      <c r="D63" s="104"/>
      <c r="E63" s="104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</row>
    <row r="64" spans="1:20">
      <c r="A64" s="222"/>
      <c r="B64" s="104"/>
      <c r="C64" s="104"/>
      <c r="D64" s="104"/>
      <c r="E64" s="104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</row>
    <row r="65" spans="1:20">
      <c r="A65" s="222"/>
      <c r="B65" s="104"/>
      <c r="C65" s="104"/>
      <c r="D65" s="104"/>
      <c r="E65" s="104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</row>
    <row r="66" spans="1:20">
      <c r="A66" s="222"/>
      <c r="B66" s="104"/>
      <c r="C66" s="104"/>
      <c r="D66" s="104"/>
      <c r="E66" s="104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</row>
    <row r="67" spans="1:20">
      <c r="A67" s="222"/>
      <c r="B67" s="104"/>
      <c r="C67" s="104"/>
      <c r="D67" s="104"/>
      <c r="E67" s="104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</row>
    <row r="68" spans="1:20">
      <c r="A68" s="222"/>
      <c r="B68" s="104"/>
      <c r="C68" s="104"/>
      <c r="D68" s="104"/>
      <c r="E68" s="104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</row>
    <row r="69" spans="1:20">
      <c r="A69" s="222"/>
      <c r="B69" s="104"/>
      <c r="C69" s="104"/>
      <c r="D69" s="104"/>
      <c r="E69" s="104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</row>
    <row r="70" spans="1:20">
      <c r="A70" s="222"/>
      <c r="B70" s="104"/>
      <c r="C70" s="104"/>
      <c r="D70" s="104"/>
      <c r="E70" s="104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</row>
    <row r="71" spans="1:20">
      <c r="A71" s="222"/>
      <c r="B71" s="104"/>
      <c r="C71" s="104"/>
      <c r="D71" s="104"/>
      <c r="E71" s="104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</row>
    <row r="72" spans="1:20">
      <c r="A72" s="222"/>
      <c r="B72" s="104"/>
      <c r="C72" s="104"/>
      <c r="D72" s="104"/>
      <c r="E72" s="104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</row>
    <row r="73" spans="1:20">
      <c r="A73" s="222"/>
      <c r="B73" s="104"/>
      <c r="C73" s="104"/>
      <c r="D73" s="104"/>
      <c r="E73" s="104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</row>
    <row r="74" spans="1:20">
      <c r="A74" s="222"/>
      <c r="B74" s="104"/>
      <c r="C74" s="104"/>
      <c r="D74" s="104"/>
      <c r="E74" s="104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</row>
    <row r="75" spans="1:20">
      <c r="A75" s="222"/>
      <c r="B75" s="104"/>
      <c r="C75" s="104"/>
      <c r="D75" s="104"/>
      <c r="E75" s="104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</row>
    <row r="76" spans="1:20">
      <c r="A76" s="222"/>
      <c r="B76" s="104"/>
      <c r="C76" s="104"/>
      <c r="D76" s="104"/>
      <c r="E76" s="104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</row>
    <row r="77" spans="1:20">
      <c r="A77" s="222"/>
      <c r="B77" s="104"/>
      <c r="C77" s="104"/>
      <c r="D77" s="104"/>
      <c r="E77" s="104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</row>
    <row r="78" spans="1:20">
      <c r="A78" s="222"/>
      <c r="B78" s="104"/>
      <c r="C78" s="104"/>
      <c r="D78" s="104"/>
      <c r="E78" s="104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</row>
    <row r="79" spans="1:20">
      <c r="A79" s="222"/>
      <c r="B79" s="104"/>
      <c r="C79" s="104"/>
      <c r="D79" s="104"/>
      <c r="E79" s="104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</row>
    <row r="80" spans="1:20">
      <c r="A80" s="222"/>
      <c r="B80" s="104"/>
      <c r="C80" s="104"/>
      <c r="D80" s="104"/>
      <c r="E80" s="104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</row>
    <row r="81" spans="1:20">
      <c r="A81" s="222"/>
      <c r="B81" s="104"/>
      <c r="C81" s="104"/>
      <c r="D81" s="104"/>
      <c r="E81" s="104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</row>
    <row r="82" spans="1:20">
      <c r="A82" s="222"/>
      <c r="B82" s="104"/>
      <c r="C82" s="104"/>
      <c r="D82" s="104"/>
      <c r="E82" s="104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</row>
    <row r="83" spans="1:20">
      <c r="A83" s="222"/>
      <c r="B83" s="104"/>
      <c r="C83" s="104"/>
      <c r="D83" s="104"/>
      <c r="E83" s="104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</row>
    <row r="84" spans="1:20">
      <c r="A84" s="222"/>
      <c r="B84" s="104"/>
      <c r="C84" s="104"/>
      <c r="D84" s="104"/>
      <c r="E84" s="104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</row>
    <row r="85" spans="1:20">
      <c r="A85" s="222"/>
      <c r="B85" s="104"/>
      <c r="C85" s="104"/>
      <c r="D85" s="104"/>
      <c r="E85" s="104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</row>
    <row r="86" spans="1:20">
      <c r="A86" s="222"/>
      <c r="B86" s="104"/>
      <c r="C86" s="104"/>
      <c r="D86" s="104"/>
      <c r="E86" s="104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</row>
    <row r="87" spans="1:20">
      <c r="A87" s="222"/>
      <c r="B87" s="104"/>
      <c r="C87" s="104"/>
      <c r="D87" s="104"/>
      <c r="E87" s="104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</row>
    <row r="88" spans="1:20">
      <c r="A88" s="222"/>
      <c r="B88" s="104"/>
      <c r="C88" s="104"/>
      <c r="D88" s="104"/>
      <c r="E88" s="104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</row>
    <row r="89" spans="1:20">
      <c r="A89" s="222"/>
      <c r="B89" s="104"/>
      <c r="C89" s="104"/>
      <c r="D89" s="104"/>
      <c r="E89" s="104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</row>
    <row r="90" spans="1:20">
      <c r="A90" s="222"/>
      <c r="B90" s="104"/>
      <c r="C90" s="104"/>
      <c r="D90" s="104"/>
      <c r="E90" s="104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</row>
    <row r="91" spans="1:20">
      <c r="A91" s="222"/>
      <c r="B91" s="104"/>
      <c r="C91" s="104"/>
      <c r="D91" s="104"/>
      <c r="E91" s="104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</row>
    <row r="92" spans="1:20">
      <c r="A92" s="222"/>
      <c r="B92" s="104"/>
      <c r="C92" s="104"/>
      <c r="D92" s="104"/>
      <c r="E92" s="104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</row>
    <row r="93" spans="1:20">
      <c r="A93" s="222"/>
      <c r="B93" s="104"/>
      <c r="C93" s="104"/>
      <c r="D93" s="104"/>
      <c r="E93" s="104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</row>
    <row r="94" spans="1:20">
      <c r="A94" s="222"/>
      <c r="B94" s="104"/>
      <c r="C94" s="104"/>
      <c r="D94" s="104"/>
      <c r="E94" s="104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</row>
    <row r="95" spans="1:20">
      <c r="A95" s="222"/>
      <c r="B95" s="104"/>
      <c r="C95" s="104"/>
      <c r="D95" s="104"/>
      <c r="E95" s="104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</row>
    <row r="96" spans="1:20">
      <c r="A96" s="222"/>
      <c r="B96" s="104"/>
      <c r="C96" s="104"/>
      <c r="D96" s="104"/>
      <c r="E96" s="104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</row>
    <row r="97" spans="1:20">
      <c r="A97" s="222"/>
      <c r="B97" s="104"/>
      <c r="C97" s="104"/>
      <c r="D97" s="104"/>
      <c r="E97" s="104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</row>
    <row r="98" spans="1:20">
      <c r="A98" s="222"/>
      <c r="B98" s="104"/>
      <c r="C98" s="104"/>
      <c r="D98" s="104"/>
      <c r="E98" s="104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</row>
    <row r="99" spans="1:20">
      <c r="A99" s="222"/>
      <c r="B99" s="104"/>
      <c r="C99" s="104"/>
      <c r="D99" s="104"/>
      <c r="E99" s="104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</row>
    <row r="100" spans="1:20">
      <c r="A100" s="222"/>
      <c r="B100" s="104"/>
      <c r="C100" s="104"/>
      <c r="D100" s="104"/>
      <c r="E100" s="104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</row>
    <row r="101" spans="1:20">
      <c r="A101" s="222"/>
      <c r="B101" s="104"/>
      <c r="C101" s="104"/>
      <c r="D101" s="104"/>
      <c r="E101" s="104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</row>
    <row r="102" spans="1:20">
      <c r="A102" s="222"/>
      <c r="B102" s="104"/>
      <c r="C102" s="104"/>
      <c r="D102" s="104"/>
      <c r="E102" s="104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</row>
    <row r="103" spans="1:20">
      <c r="A103" s="222"/>
      <c r="B103" s="104"/>
      <c r="C103" s="104"/>
      <c r="D103" s="104"/>
      <c r="E103" s="104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</row>
    <row r="104" spans="1:20">
      <c r="A104" s="222"/>
      <c r="B104" s="104"/>
      <c r="C104" s="104"/>
      <c r="D104" s="104"/>
      <c r="E104" s="104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</row>
    <row r="105" spans="1:20">
      <c r="A105" s="222"/>
      <c r="B105" s="104"/>
      <c r="C105" s="104"/>
      <c r="D105" s="104"/>
      <c r="E105" s="104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</row>
    <row r="106" spans="1:20">
      <c r="A106" s="222"/>
      <c r="B106" s="104"/>
      <c r="C106" s="104"/>
      <c r="D106" s="104"/>
      <c r="E106" s="104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</row>
    <row r="107" spans="1:20">
      <c r="A107" s="222"/>
      <c r="B107" s="104"/>
      <c r="C107" s="104"/>
      <c r="D107" s="104"/>
      <c r="E107" s="104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</row>
    <row r="108" spans="1:20">
      <c r="A108" s="222"/>
      <c r="B108" s="104"/>
      <c r="C108" s="104"/>
      <c r="D108" s="104"/>
      <c r="E108" s="104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</row>
    <row r="109" spans="1:20">
      <c r="A109" s="222"/>
      <c r="B109" s="104"/>
      <c r="C109" s="104"/>
      <c r="D109" s="104"/>
      <c r="E109" s="104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</row>
    <row r="110" spans="1:20">
      <c r="A110" s="222"/>
      <c r="B110" s="104"/>
      <c r="C110" s="104"/>
      <c r="D110" s="104"/>
      <c r="E110" s="104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</row>
    <row r="111" spans="1:20">
      <c r="A111" s="222"/>
      <c r="B111" s="104"/>
      <c r="C111" s="104"/>
      <c r="D111" s="104"/>
      <c r="E111" s="104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</row>
    <row r="112" spans="1:20">
      <c r="A112" s="222"/>
      <c r="B112" s="104"/>
      <c r="C112" s="104"/>
      <c r="D112" s="104"/>
      <c r="E112" s="104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</row>
    <row r="113" spans="1:20">
      <c r="A113" s="222"/>
      <c r="B113" s="104"/>
      <c r="C113" s="104"/>
      <c r="D113" s="104"/>
      <c r="E113" s="104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</row>
    <row r="114" spans="1:20">
      <c r="A114" s="222"/>
      <c r="B114" s="104"/>
      <c r="C114" s="104"/>
      <c r="D114" s="104"/>
      <c r="E114" s="104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</row>
    <row r="115" spans="1:20">
      <c r="A115" s="222"/>
      <c r="B115" s="104"/>
      <c r="C115" s="104"/>
      <c r="D115" s="104"/>
      <c r="E115" s="104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</row>
    <row r="116" spans="1:20">
      <c r="A116" s="222"/>
      <c r="B116" s="104"/>
      <c r="C116" s="104"/>
      <c r="D116" s="104"/>
      <c r="E116" s="104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</row>
    <row r="117" spans="1:20" s="104" customFormat="1" ht="10.199999999999999">
      <c r="A117" s="222"/>
    </row>
    <row r="118" spans="1:20" s="104" customFormat="1" ht="10.199999999999999">
      <c r="A118" s="222"/>
    </row>
    <row r="119" spans="1:20" s="104" customFormat="1" ht="10.199999999999999">
      <c r="A119" s="222"/>
    </row>
    <row r="120" spans="1:20" s="104" customFormat="1" ht="10.199999999999999">
      <c r="A120" s="222"/>
    </row>
    <row r="121" spans="1:20" s="104" customFormat="1" ht="10.199999999999999">
      <c r="A121" s="222"/>
    </row>
    <row r="122" spans="1:20" s="104" customFormat="1" ht="10.199999999999999">
      <c r="A122" s="222"/>
    </row>
    <row r="123" spans="1:20" s="104" customFormat="1" ht="10.199999999999999">
      <c r="A123" s="222"/>
    </row>
    <row r="124" spans="1:20" s="104" customFormat="1" ht="10.199999999999999">
      <c r="A124" s="222"/>
    </row>
    <row r="125" spans="1:20" s="104" customFormat="1" ht="10.199999999999999">
      <c r="A125" s="222"/>
    </row>
    <row r="126" spans="1:20" s="104" customFormat="1" ht="10.199999999999999">
      <c r="A126" s="222"/>
    </row>
    <row r="127" spans="1:20" s="104" customFormat="1" ht="10.199999999999999">
      <c r="A127" s="222"/>
    </row>
    <row r="128" spans="1:20" s="104" customFormat="1">
      <c r="A128" s="225"/>
      <c r="B128" s="219"/>
      <c r="C128" s="219"/>
      <c r="D128" s="219"/>
      <c r="E128" s="219"/>
    </row>
    <row r="129" spans="1:5" s="104" customFormat="1">
      <c r="A129" s="225"/>
      <c r="B129" s="219"/>
      <c r="C129" s="219"/>
      <c r="D129" s="219"/>
      <c r="E129" s="219"/>
    </row>
  </sheetData>
  <mergeCells count="8">
    <mergeCell ref="A25:B25"/>
    <mergeCell ref="A43:B43"/>
    <mergeCell ref="A45:E45"/>
    <mergeCell ref="A49:E49"/>
    <mergeCell ref="A2:B2"/>
    <mergeCell ref="A27:E27"/>
    <mergeCell ref="A28:B28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&amp;C&amp;"Times New Roman,Félkövér"&amp;12Martonvásár Város Önkormányzat 
2016. évi költségvetésének pénzügyi mérlege&amp;R&amp;"Times New Roman,Normál"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R87"/>
  <sheetViews>
    <sheetView zoomScalePageLayoutView="70" workbookViewId="0">
      <selection activeCell="Q55" sqref="Q55"/>
    </sheetView>
  </sheetViews>
  <sheetFormatPr defaultColWidth="8.6640625" defaultRowHeight="14.4"/>
  <cols>
    <col min="1" max="1" width="7.109375" style="303" customWidth="1"/>
    <col min="2" max="2" width="7.109375" style="304" customWidth="1"/>
    <col min="3" max="3" width="22.33203125" style="304" customWidth="1"/>
    <col min="4" max="4" width="7.6640625" style="305" customWidth="1"/>
    <col min="5" max="5" width="7.109375" style="305" customWidth="1"/>
    <col min="6" max="7" width="7.6640625" style="305" customWidth="1"/>
    <col min="8" max="8" width="6.44140625" style="305" customWidth="1"/>
    <col min="9" max="9" width="9.6640625" style="305" customWidth="1"/>
    <col min="10" max="10" width="6.88671875" style="305" customWidth="1"/>
    <col min="11" max="11" width="7.6640625" style="305" customWidth="1"/>
    <col min="12" max="12" width="7.33203125" style="305" customWidth="1"/>
    <col min="13" max="13" width="7" style="305" customWidth="1"/>
    <col min="14" max="14" width="6.5546875" style="305" customWidth="1"/>
    <col min="15" max="15" width="7" style="305" customWidth="1"/>
    <col min="16" max="16" width="7.44140625" style="305" customWidth="1"/>
    <col min="17" max="17" width="7.33203125" style="305" customWidth="1"/>
    <col min="18" max="18" width="7" style="305" customWidth="1"/>
    <col min="19" max="16384" width="8.6640625" style="268"/>
  </cols>
  <sheetData>
    <row r="1" spans="1:18">
      <c r="A1" s="269"/>
      <c r="B1" s="270"/>
      <c r="C1" s="270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1123" t="s">
        <v>908</v>
      </c>
      <c r="Q1" s="1123"/>
      <c r="R1" s="1123"/>
    </row>
    <row r="2" spans="1:18" ht="42" customHeight="1">
      <c r="A2" s="1140" t="s">
        <v>0</v>
      </c>
      <c r="B2" s="1134" t="s">
        <v>180</v>
      </c>
      <c r="C2" s="1135"/>
      <c r="D2" s="1128" t="s">
        <v>178</v>
      </c>
      <c r="E2" s="1129"/>
      <c r="F2" s="1130"/>
      <c r="G2" s="1117" t="s">
        <v>293</v>
      </c>
      <c r="H2" s="1118"/>
      <c r="I2" s="1119"/>
      <c r="J2" s="1117" t="s">
        <v>294</v>
      </c>
      <c r="K2" s="1118"/>
      <c r="L2" s="1119"/>
      <c r="M2" s="1117" t="s">
        <v>295</v>
      </c>
      <c r="N2" s="1118"/>
      <c r="O2" s="1119"/>
      <c r="P2" s="1117" t="s">
        <v>296</v>
      </c>
      <c r="Q2" s="1118"/>
      <c r="R2" s="1119"/>
    </row>
    <row r="3" spans="1:18" ht="15" customHeight="1">
      <c r="A3" s="1141"/>
      <c r="B3" s="1136"/>
      <c r="C3" s="1137"/>
      <c r="D3" s="1131"/>
      <c r="E3" s="1132"/>
      <c r="F3" s="1133"/>
      <c r="G3" s="1117" t="s">
        <v>187</v>
      </c>
      <c r="H3" s="1118"/>
      <c r="I3" s="1119"/>
      <c r="J3" s="1117" t="s">
        <v>187</v>
      </c>
      <c r="K3" s="1118"/>
      <c r="L3" s="1119"/>
      <c r="M3" s="1117" t="s">
        <v>187</v>
      </c>
      <c r="N3" s="1118"/>
      <c r="O3" s="1119"/>
      <c r="P3" s="1117" t="s">
        <v>187</v>
      </c>
      <c r="Q3" s="1118"/>
      <c r="R3" s="1119"/>
    </row>
    <row r="4" spans="1:18" s="272" customFormat="1" ht="30" customHeight="1">
      <c r="A4" s="1142"/>
      <c r="B4" s="1138"/>
      <c r="C4" s="1139"/>
      <c r="D4" s="922" t="s">
        <v>747</v>
      </c>
      <c r="E4" s="836" t="s">
        <v>745</v>
      </c>
      <c r="F4" s="922" t="s">
        <v>912</v>
      </c>
      <c r="G4" s="922" t="s">
        <v>747</v>
      </c>
      <c r="H4" s="922" t="s">
        <v>745</v>
      </c>
      <c r="I4" s="922" t="s">
        <v>912</v>
      </c>
      <c r="J4" s="922" t="s">
        <v>747</v>
      </c>
      <c r="K4" s="922" t="s">
        <v>745</v>
      </c>
      <c r="L4" s="922" t="s">
        <v>912</v>
      </c>
      <c r="M4" s="922" t="s">
        <v>747</v>
      </c>
      <c r="N4" s="922" t="s">
        <v>745</v>
      </c>
      <c r="O4" s="922" t="s">
        <v>912</v>
      </c>
      <c r="P4" s="922" t="s">
        <v>747</v>
      </c>
      <c r="Q4" s="922" t="s">
        <v>745</v>
      </c>
      <c r="R4" s="922" t="s">
        <v>912</v>
      </c>
    </row>
    <row r="5" spans="1:18" ht="15" customHeight="1">
      <c r="A5" s="273" t="s">
        <v>2</v>
      </c>
      <c r="B5" s="1124" t="s">
        <v>1</v>
      </c>
      <c r="C5" s="1125"/>
      <c r="D5" s="333">
        <f>+G5+J5+M5+P5</f>
        <v>13837</v>
      </c>
      <c r="E5" s="333">
        <f t="shared" ref="E5:F18" si="0">+H5+K5+N5+Q5</f>
        <v>-105</v>
      </c>
      <c r="F5" s="333">
        <f t="shared" si="0"/>
        <v>13732</v>
      </c>
      <c r="G5" s="333">
        <v>6781</v>
      </c>
      <c r="H5" s="333">
        <v>-37</v>
      </c>
      <c r="I5" s="333">
        <f>+G5+H5</f>
        <v>6744</v>
      </c>
      <c r="J5" s="333">
        <v>3822</v>
      </c>
      <c r="K5" s="333">
        <v>-17</v>
      </c>
      <c r="L5" s="333">
        <f>+J5+K5</f>
        <v>3805</v>
      </c>
      <c r="M5" s="333">
        <f>+'[4]6.c. mell. BBKP'!O5</f>
        <v>1732</v>
      </c>
      <c r="N5" s="333">
        <v>-39</v>
      </c>
      <c r="O5" s="333">
        <f>+M5+N5</f>
        <v>1693</v>
      </c>
      <c r="P5" s="333">
        <f>+'[4]6.c. mell. BBKP'!R5</f>
        <v>1502</v>
      </c>
      <c r="Q5" s="333">
        <v>-12</v>
      </c>
      <c r="R5" s="333">
        <f>+P5+Q5</f>
        <v>1490</v>
      </c>
    </row>
    <row r="6" spans="1:18" ht="15" customHeight="1">
      <c r="A6" s="273" t="s">
        <v>4</v>
      </c>
      <c r="B6" s="1124" t="s">
        <v>3</v>
      </c>
      <c r="C6" s="1125"/>
      <c r="D6" s="333">
        <f t="shared" ref="D6:D18" si="1">+G6+J6+M6+P6</f>
        <v>0</v>
      </c>
      <c r="E6" s="333">
        <f t="shared" si="0"/>
        <v>0</v>
      </c>
      <c r="F6" s="333">
        <f t="shared" si="0"/>
        <v>0</v>
      </c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</row>
    <row r="7" spans="1:18" ht="15" customHeight="1">
      <c r="A7" s="273" t="s">
        <v>6</v>
      </c>
      <c r="B7" s="1124" t="s">
        <v>5</v>
      </c>
      <c r="C7" s="1125"/>
      <c r="D7" s="333">
        <f t="shared" si="1"/>
        <v>0</v>
      </c>
      <c r="E7" s="333">
        <f t="shared" si="0"/>
        <v>0</v>
      </c>
      <c r="F7" s="333">
        <f t="shared" si="0"/>
        <v>0</v>
      </c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</row>
    <row r="8" spans="1:18" ht="15" customHeight="1">
      <c r="A8" s="273" t="s">
        <v>8</v>
      </c>
      <c r="B8" s="1124" t="s">
        <v>7</v>
      </c>
      <c r="C8" s="1125"/>
      <c r="D8" s="333">
        <f t="shared" si="1"/>
        <v>0</v>
      </c>
      <c r="E8" s="333">
        <f t="shared" si="0"/>
        <v>0</v>
      </c>
      <c r="F8" s="333">
        <f t="shared" si="0"/>
        <v>0</v>
      </c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</row>
    <row r="9" spans="1:18" ht="15" customHeight="1">
      <c r="A9" s="273" t="s">
        <v>10</v>
      </c>
      <c r="B9" s="1124" t="s">
        <v>9</v>
      </c>
      <c r="C9" s="1125"/>
      <c r="D9" s="333">
        <f t="shared" si="1"/>
        <v>0</v>
      </c>
      <c r="E9" s="333">
        <f t="shared" si="0"/>
        <v>0</v>
      </c>
      <c r="F9" s="333">
        <f t="shared" si="0"/>
        <v>0</v>
      </c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</row>
    <row r="10" spans="1:18" ht="15" customHeight="1">
      <c r="A10" s="273" t="s">
        <v>12</v>
      </c>
      <c r="B10" s="1124" t="s">
        <v>11</v>
      </c>
      <c r="C10" s="1125"/>
      <c r="D10" s="333">
        <f t="shared" si="1"/>
        <v>0</v>
      </c>
      <c r="E10" s="333">
        <f t="shared" si="0"/>
        <v>0</v>
      </c>
      <c r="F10" s="333">
        <f t="shared" si="0"/>
        <v>0</v>
      </c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</row>
    <row r="11" spans="1:18" ht="15" customHeight="1">
      <c r="A11" s="273" t="s">
        <v>14</v>
      </c>
      <c r="B11" s="1124" t="s">
        <v>13</v>
      </c>
      <c r="C11" s="1125"/>
      <c r="D11" s="333">
        <f t="shared" si="1"/>
        <v>360</v>
      </c>
      <c r="E11" s="333">
        <f t="shared" si="0"/>
        <v>0</v>
      </c>
      <c r="F11" s="333">
        <f t="shared" si="0"/>
        <v>360</v>
      </c>
      <c r="G11" s="333">
        <v>180</v>
      </c>
      <c r="H11" s="333"/>
      <c r="I11" s="333">
        <f>+G11+H11</f>
        <v>180</v>
      </c>
      <c r="J11" s="333">
        <v>120</v>
      </c>
      <c r="K11" s="333"/>
      <c r="L11" s="333">
        <f>+J11+K11</f>
        <v>120</v>
      </c>
      <c r="M11" s="333">
        <v>0</v>
      </c>
      <c r="N11" s="333"/>
      <c r="O11" s="333"/>
      <c r="P11" s="333">
        <v>60</v>
      </c>
      <c r="Q11" s="333"/>
      <c r="R11" s="333">
        <f>+P11+Q11</f>
        <v>60</v>
      </c>
    </row>
    <row r="12" spans="1:18" ht="15" customHeight="1">
      <c r="A12" s="273" t="s">
        <v>16</v>
      </c>
      <c r="B12" s="1124" t="s">
        <v>15</v>
      </c>
      <c r="C12" s="1125"/>
      <c r="D12" s="333">
        <f t="shared" si="1"/>
        <v>0</v>
      </c>
      <c r="E12" s="333">
        <f t="shared" si="0"/>
        <v>0</v>
      </c>
      <c r="F12" s="333">
        <f t="shared" si="0"/>
        <v>0</v>
      </c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>
        <f t="shared" ref="R12:R17" si="2">+P12+Q12</f>
        <v>0</v>
      </c>
    </row>
    <row r="13" spans="1:18" ht="15" customHeight="1">
      <c r="A13" s="273" t="s">
        <v>18</v>
      </c>
      <c r="B13" s="1124" t="s">
        <v>17</v>
      </c>
      <c r="C13" s="1125"/>
      <c r="D13" s="333">
        <f t="shared" si="1"/>
        <v>318</v>
      </c>
      <c r="E13" s="333">
        <f t="shared" si="0"/>
        <v>-58</v>
      </c>
      <c r="F13" s="333">
        <f t="shared" si="0"/>
        <v>260</v>
      </c>
      <c r="G13" s="333">
        <v>91</v>
      </c>
      <c r="H13" s="333"/>
      <c r="I13" s="333">
        <f>+G13+H13</f>
        <v>91</v>
      </c>
      <c r="J13" s="333"/>
      <c r="K13" s="333"/>
      <c r="L13" s="333"/>
      <c r="M13" s="333">
        <v>227</v>
      </c>
      <c r="N13" s="333">
        <v>-58</v>
      </c>
      <c r="O13" s="333">
        <f>+M13+N13</f>
        <v>169</v>
      </c>
      <c r="P13" s="333"/>
      <c r="Q13" s="333"/>
      <c r="R13" s="333">
        <f t="shared" si="2"/>
        <v>0</v>
      </c>
    </row>
    <row r="14" spans="1:18" ht="15" customHeight="1">
      <c r="A14" s="273" t="s">
        <v>20</v>
      </c>
      <c r="B14" s="1124" t="s">
        <v>19</v>
      </c>
      <c r="C14" s="1125"/>
      <c r="D14" s="333">
        <f t="shared" si="1"/>
        <v>0</v>
      </c>
      <c r="E14" s="333">
        <f t="shared" si="0"/>
        <v>0</v>
      </c>
      <c r="F14" s="333">
        <f t="shared" si="0"/>
        <v>0</v>
      </c>
      <c r="G14" s="333"/>
      <c r="H14" s="333"/>
      <c r="I14" s="333"/>
      <c r="J14" s="333"/>
      <c r="K14" s="333"/>
      <c r="L14" s="333"/>
      <c r="M14" s="333"/>
      <c r="N14" s="333"/>
      <c r="O14" s="333">
        <f t="shared" ref="O14:O17" si="3">+M14+N14</f>
        <v>0</v>
      </c>
      <c r="P14" s="333"/>
      <c r="Q14" s="333"/>
      <c r="R14" s="333">
        <f t="shared" si="2"/>
        <v>0</v>
      </c>
    </row>
    <row r="15" spans="1:18" ht="15" customHeight="1">
      <c r="A15" s="273" t="s">
        <v>22</v>
      </c>
      <c r="B15" s="1124" t="s">
        <v>21</v>
      </c>
      <c r="C15" s="1125"/>
      <c r="D15" s="333">
        <f t="shared" si="1"/>
        <v>733</v>
      </c>
      <c r="E15" s="333">
        <f t="shared" si="0"/>
        <v>0</v>
      </c>
      <c r="F15" s="333">
        <f t="shared" si="0"/>
        <v>733</v>
      </c>
      <c r="G15" s="333">
        <v>733</v>
      </c>
      <c r="H15" s="333"/>
      <c r="I15" s="333">
        <f>+G15+H15</f>
        <v>733</v>
      </c>
      <c r="J15" s="333"/>
      <c r="K15" s="333"/>
      <c r="L15" s="333"/>
      <c r="M15" s="333"/>
      <c r="N15" s="333"/>
      <c r="O15" s="333">
        <f t="shared" si="3"/>
        <v>0</v>
      </c>
      <c r="P15" s="333"/>
      <c r="Q15" s="333"/>
      <c r="R15" s="333">
        <f t="shared" si="2"/>
        <v>0</v>
      </c>
    </row>
    <row r="16" spans="1:18" ht="15" customHeight="1">
      <c r="A16" s="273" t="s">
        <v>24</v>
      </c>
      <c r="B16" s="1124" t="s">
        <v>23</v>
      </c>
      <c r="C16" s="1125"/>
      <c r="D16" s="333">
        <f t="shared" si="1"/>
        <v>0</v>
      </c>
      <c r="E16" s="333">
        <f t="shared" si="0"/>
        <v>0</v>
      </c>
      <c r="F16" s="333">
        <f t="shared" si="0"/>
        <v>0</v>
      </c>
      <c r="G16" s="333"/>
      <c r="H16" s="333"/>
      <c r="I16" s="333">
        <f t="shared" ref="I16:I17" si="4">+G16+H16</f>
        <v>0</v>
      </c>
      <c r="J16" s="333"/>
      <c r="K16" s="333"/>
      <c r="L16" s="333"/>
      <c r="M16" s="333"/>
      <c r="N16" s="333"/>
      <c r="O16" s="333">
        <f t="shared" si="3"/>
        <v>0</v>
      </c>
      <c r="P16" s="333"/>
      <c r="Q16" s="333"/>
      <c r="R16" s="333">
        <f t="shared" si="2"/>
        <v>0</v>
      </c>
    </row>
    <row r="17" spans="1:18" ht="15" customHeight="1">
      <c r="A17" s="273" t="s">
        <v>25</v>
      </c>
      <c r="B17" s="1124" t="s">
        <v>176</v>
      </c>
      <c r="C17" s="1125"/>
      <c r="D17" s="333">
        <f t="shared" si="1"/>
        <v>31</v>
      </c>
      <c r="E17" s="333">
        <f t="shared" si="0"/>
        <v>105</v>
      </c>
      <c r="F17" s="333">
        <f t="shared" si="0"/>
        <v>136</v>
      </c>
      <c r="G17" s="333"/>
      <c r="H17" s="333">
        <v>37</v>
      </c>
      <c r="I17" s="333">
        <f t="shared" si="4"/>
        <v>37</v>
      </c>
      <c r="J17" s="333">
        <f>+'[4]6.c. mell. BBKP'!L17</f>
        <v>17</v>
      </c>
      <c r="K17" s="333">
        <v>17</v>
      </c>
      <c r="L17" s="333">
        <f>SUM(J17:K17)</f>
        <v>34</v>
      </c>
      <c r="M17" s="333">
        <f>+'[4]6.c. mell. BBKP'!O17</f>
        <v>5</v>
      </c>
      <c r="N17" s="333">
        <v>39</v>
      </c>
      <c r="O17" s="333">
        <f t="shared" si="3"/>
        <v>44</v>
      </c>
      <c r="P17" s="333">
        <f>+'[4]6.c. mell. BBKP'!R17</f>
        <v>9</v>
      </c>
      <c r="Q17" s="333">
        <v>12</v>
      </c>
      <c r="R17" s="333">
        <f t="shared" si="2"/>
        <v>21</v>
      </c>
    </row>
    <row r="18" spans="1:18" ht="15" customHeight="1">
      <c r="A18" s="273" t="s">
        <v>25</v>
      </c>
      <c r="B18" s="1124" t="s">
        <v>26</v>
      </c>
      <c r="C18" s="1125"/>
      <c r="D18" s="333">
        <f t="shared" si="1"/>
        <v>0</v>
      </c>
      <c r="E18" s="333">
        <f t="shared" si="0"/>
        <v>0</v>
      </c>
      <c r="F18" s="333">
        <f t="shared" si="0"/>
        <v>0</v>
      </c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</row>
    <row r="19" spans="1:18" s="337" customFormat="1" ht="15" customHeight="1">
      <c r="A19" s="334" t="s">
        <v>27</v>
      </c>
      <c r="B19" s="1126" t="s">
        <v>441</v>
      </c>
      <c r="C19" s="1127"/>
      <c r="D19" s="335">
        <f>SUM(D5:D18)</f>
        <v>15279</v>
      </c>
      <c r="E19" s="335">
        <f t="shared" ref="E19:R19" si="5">SUM(E5:E18)</f>
        <v>-58</v>
      </c>
      <c r="F19" s="335">
        <f t="shared" si="5"/>
        <v>15221</v>
      </c>
      <c r="G19" s="335">
        <f t="shared" si="5"/>
        <v>7785</v>
      </c>
      <c r="H19" s="335">
        <f t="shared" si="5"/>
        <v>0</v>
      </c>
      <c r="I19" s="335">
        <f t="shared" si="5"/>
        <v>7785</v>
      </c>
      <c r="J19" s="335">
        <f t="shared" si="5"/>
        <v>3959</v>
      </c>
      <c r="K19" s="335">
        <f t="shared" si="5"/>
        <v>0</v>
      </c>
      <c r="L19" s="335">
        <f t="shared" si="5"/>
        <v>3959</v>
      </c>
      <c r="M19" s="335">
        <f t="shared" si="5"/>
        <v>1964</v>
      </c>
      <c r="N19" s="335">
        <f t="shared" si="5"/>
        <v>-58</v>
      </c>
      <c r="O19" s="335">
        <f t="shared" si="5"/>
        <v>1906</v>
      </c>
      <c r="P19" s="335">
        <f t="shared" si="5"/>
        <v>1571</v>
      </c>
      <c r="Q19" s="335">
        <f t="shared" si="5"/>
        <v>0</v>
      </c>
      <c r="R19" s="335">
        <f t="shared" si="5"/>
        <v>1571</v>
      </c>
    </row>
    <row r="20" spans="1:18" ht="15" customHeight="1">
      <c r="A20" s="273" t="s">
        <v>29</v>
      </c>
      <c r="B20" s="1124" t="s">
        <v>28</v>
      </c>
      <c r="C20" s="1125"/>
      <c r="D20" s="333">
        <f>+G20+J20+M20+P20</f>
        <v>0</v>
      </c>
      <c r="E20" s="333">
        <f t="shared" ref="E20:F22" si="6">+H20+K20+N20+Q20</f>
        <v>0</v>
      </c>
      <c r="F20" s="333">
        <f t="shared" si="6"/>
        <v>0</v>
      </c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</row>
    <row r="21" spans="1:18" ht="23.25" customHeight="1">
      <c r="A21" s="273" t="s">
        <v>31</v>
      </c>
      <c r="B21" s="1124" t="s">
        <v>30</v>
      </c>
      <c r="C21" s="1125"/>
      <c r="D21" s="333">
        <f t="shared" ref="D21:D22" si="7">+G21+J21+M21+P21</f>
        <v>1600</v>
      </c>
      <c r="E21" s="333">
        <f t="shared" si="6"/>
        <v>200</v>
      </c>
      <c r="F21" s="333">
        <f t="shared" si="6"/>
        <v>1800</v>
      </c>
      <c r="G21" s="333">
        <v>1600</v>
      </c>
      <c r="H21" s="333">
        <v>200</v>
      </c>
      <c r="I21" s="333">
        <f>+G21+H21</f>
        <v>1800</v>
      </c>
      <c r="J21" s="333"/>
      <c r="K21" s="333"/>
      <c r="L21" s="333"/>
      <c r="M21" s="333"/>
      <c r="N21" s="333"/>
      <c r="O21" s="333"/>
      <c r="P21" s="333"/>
      <c r="Q21" s="333"/>
      <c r="R21" s="333"/>
    </row>
    <row r="22" spans="1:18" ht="15" customHeight="1">
      <c r="A22" s="273" t="s">
        <v>33</v>
      </c>
      <c r="B22" s="1124" t="s">
        <v>32</v>
      </c>
      <c r="C22" s="1125"/>
      <c r="D22" s="333">
        <f t="shared" si="7"/>
        <v>20</v>
      </c>
      <c r="E22" s="333">
        <f t="shared" si="6"/>
        <v>15</v>
      </c>
      <c r="F22" s="333">
        <f t="shared" si="6"/>
        <v>35</v>
      </c>
      <c r="G22" s="333">
        <f>+'[4]6.c. mell. BBKP'!$I$22</f>
        <v>18</v>
      </c>
      <c r="H22" s="333">
        <v>15</v>
      </c>
      <c r="I22" s="333">
        <f>+G22+H22</f>
        <v>33</v>
      </c>
      <c r="J22" s="333">
        <f>+'[4]6.c. mell. BBKP'!L22</f>
        <v>2</v>
      </c>
      <c r="K22" s="333"/>
      <c r="L22" s="333">
        <f>SUM(J22:K22)</f>
        <v>2</v>
      </c>
      <c r="M22" s="333"/>
      <c r="N22" s="333"/>
      <c r="O22" s="333"/>
      <c r="P22" s="333"/>
      <c r="Q22" s="333"/>
      <c r="R22" s="333"/>
    </row>
    <row r="23" spans="1:18" s="337" customFormat="1" ht="15" customHeight="1">
      <c r="A23" s="334" t="s">
        <v>34</v>
      </c>
      <c r="B23" s="1126" t="s">
        <v>442</v>
      </c>
      <c r="C23" s="1127"/>
      <c r="D23" s="335">
        <f>+D22+D21+D20</f>
        <v>1620</v>
      </c>
      <c r="E23" s="335">
        <f t="shared" ref="E23:F23" si="8">+E22+E21+E20</f>
        <v>215</v>
      </c>
      <c r="F23" s="335">
        <f t="shared" si="8"/>
        <v>1835</v>
      </c>
      <c r="G23" s="335">
        <f t="shared" ref="G23:R23" si="9">SUM(G20:G22)</f>
        <v>1618</v>
      </c>
      <c r="H23" s="335">
        <f t="shared" si="9"/>
        <v>215</v>
      </c>
      <c r="I23" s="335">
        <f t="shared" si="9"/>
        <v>1833</v>
      </c>
      <c r="J23" s="335">
        <f t="shared" si="9"/>
        <v>2</v>
      </c>
      <c r="K23" s="335">
        <f t="shared" si="9"/>
        <v>0</v>
      </c>
      <c r="L23" s="335">
        <f t="shared" si="9"/>
        <v>2</v>
      </c>
      <c r="M23" s="335">
        <f t="shared" si="9"/>
        <v>0</v>
      </c>
      <c r="N23" s="335">
        <f t="shared" si="9"/>
        <v>0</v>
      </c>
      <c r="O23" s="335">
        <f t="shared" si="9"/>
        <v>0</v>
      </c>
      <c r="P23" s="335">
        <f t="shared" si="9"/>
        <v>0</v>
      </c>
      <c r="Q23" s="335">
        <f t="shared" si="9"/>
        <v>0</v>
      </c>
      <c r="R23" s="335">
        <f t="shared" si="9"/>
        <v>0</v>
      </c>
    </row>
    <row r="24" spans="1:18" s="337" customFormat="1" ht="15" customHeight="1">
      <c r="A24" s="334" t="s">
        <v>35</v>
      </c>
      <c r="B24" s="1126" t="s">
        <v>443</v>
      </c>
      <c r="C24" s="1127"/>
      <c r="D24" s="335">
        <f>+D23+D19</f>
        <v>16899</v>
      </c>
      <c r="E24" s="335">
        <f t="shared" ref="E24:R24" si="10">+E23+E19</f>
        <v>157</v>
      </c>
      <c r="F24" s="335">
        <f t="shared" si="10"/>
        <v>17056</v>
      </c>
      <c r="G24" s="335">
        <f t="shared" si="10"/>
        <v>9403</v>
      </c>
      <c r="H24" s="335">
        <f t="shared" si="10"/>
        <v>215</v>
      </c>
      <c r="I24" s="335">
        <f t="shared" si="10"/>
        <v>9618</v>
      </c>
      <c r="J24" s="335">
        <f t="shared" si="10"/>
        <v>3961</v>
      </c>
      <c r="K24" s="335">
        <f t="shared" si="10"/>
        <v>0</v>
      </c>
      <c r="L24" s="335">
        <f t="shared" si="10"/>
        <v>3961</v>
      </c>
      <c r="M24" s="335">
        <f t="shared" si="10"/>
        <v>1964</v>
      </c>
      <c r="N24" s="335">
        <f t="shared" si="10"/>
        <v>-58</v>
      </c>
      <c r="O24" s="335">
        <f t="shared" si="10"/>
        <v>1906</v>
      </c>
      <c r="P24" s="335">
        <f t="shared" si="10"/>
        <v>1571</v>
      </c>
      <c r="Q24" s="335">
        <f t="shared" si="10"/>
        <v>0</v>
      </c>
      <c r="R24" s="335">
        <f t="shared" si="10"/>
        <v>1571</v>
      </c>
    </row>
    <row r="25" spans="1:18">
      <c r="A25" s="274"/>
      <c r="B25" s="835"/>
      <c r="C25" s="835"/>
      <c r="D25" s="275"/>
      <c r="E25" s="275"/>
      <c r="F25" s="275"/>
      <c r="G25" s="277"/>
      <c r="H25" s="275"/>
      <c r="I25" s="276"/>
      <c r="J25" s="277"/>
      <c r="K25" s="275"/>
      <c r="L25" s="276"/>
      <c r="M25" s="277"/>
      <c r="N25" s="275"/>
      <c r="O25" s="276"/>
      <c r="P25" s="277"/>
      <c r="Q25" s="275"/>
      <c r="R25" s="276"/>
    </row>
    <row r="26" spans="1:18" s="337" customFormat="1" ht="15" customHeight="1">
      <c r="A26" s="334" t="s">
        <v>36</v>
      </c>
      <c r="B26" s="1126" t="s">
        <v>444</v>
      </c>
      <c r="C26" s="1127"/>
      <c r="D26" s="335">
        <f>+G26+J26+M26+P26</f>
        <v>4499</v>
      </c>
      <c r="E26" s="335">
        <f t="shared" ref="E26:F31" si="11">+H26+K26+N26+Q26</f>
        <v>63</v>
      </c>
      <c r="F26" s="335">
        <f t="shared" si="11"/>
        <v>4562</v>
      </c>
      <c r="G26" s="335">
        <f t="shared" ref="G26:R26" si="12">SUM(G27:G31)</f>
        <v>2523</v>
      </c>
      <c r="H26" s="335">
        <f t="shared" si="12"/>
        <v>63</v>
      </c>
      <c r="I26" s="335">
        <f t="shared" si="12"/>
        <v>2586</v>
      </c>
      <c r="J26" s="335">
        <f t="shared" si="12"/>
        <v>1078</v>
      </c>
      <c r="K26" s="335">
        <f t="shared" si="12"/>
        <v>0</v>
      </c>
      <c r="L26" s="335">
        <f t="shared" si="12"/>
        <v>1078</v>
      </c>
      <c r="M26" s="335">
        <f t="shared" si="12"/>
        <v>469</v>
      </c>
      <c r="N26" s="335">
        <f t="shared" si="12"/>
        <v>0</v>
      </c>
      <c r="O26" s="335">
        <f t="shared" si="12"/>
        <v>469</v>
      </c>
      <c r="P26" s="335">
        <f t="shared" si="12"/>
        <v>429</v>
      </c>
      <c r="Q26" s="335">
        <f t="shared" si="12"/>
        <v>0</v>
      </c>
      <c r="R26" s="335">
        <f t="shared" si="12"/>
        <v>429</v>
      </c>
    </row>
    <row r="27" spans="1:18" ht="25.5" customHeight="1">
      <c r="A27" s="278" t="s">
        <v>36</v>
      </c>
      <c r="B27" s="279"/>
      <c r="C27" s="280" t="s">
        <v>37</v>
      </c>
      <c r="D27" s="333">
        <f>+G27+J27+M27+P27</f>
        <v>4375</v>
      </c>
      <c r="E27" s="333">
        <f t="shared" si="11"/>
        <v>9</v>
      </c>
      <c r="F27" s="333">
        <f t="shared" si="11"/>
        <v>4384</v>
      </c>
      <c r="G27" s="333">
        <v>2461</v>
      </c>
      <c r="H27" s="333">
        <v>49</v>
      </c>
      <c r="I27" s="333">
        <f>+G27+H27</f>
        <v>2510</v>
      </c>
      <c r="J27" s="333">
        <f>+'[4]6.c. mell. BBKP'!L27</f>
        <v>1037</v>
      </c>
      <c r="K27" s="333"/>
      <c r="L27" s="333">
        <f>+J27+K27</f>
        <v>1037</v>
      </c>
      <c r="M27" s="333">
        <v>469</v>
      </c>
      <c r="N27" s="333">
        <v>-40</v>
      </c>
      <c r="O27" s="333">
        <f>+M27+N27</f>
        <v>429</v>
      </c>
      <c r="P27" s="333">
        <v>408</v>
      </c>
      <c r="Q27" s="333"/>
      <c r="R27" s="333">
        <f>+P27+Q27</f>
        <v>408</v>
      </c>
    </row>
    <row r="28" spans="1:18" ht="25.5" customHeight="1">
      <c r="A28" s="278" t="s">
        <v>36</v>
      </c>
      <c r="B28" s="279"/>
      <c r="C28" s="280" t="s">
        <v>38</v>
      </c>
      <c r="D28" s="333">
        <f t="shared" ref="D28:D31" si="13">+G28+J28+M28+P28</f>
        <v>0</v>
      </c>
      <c r="E28" s="333">
        <f t="shared" si="11"/>
        <v>0</v>
      </c>
      <c r="F28" s="333">
        <f t="shared" si="11"/>
        <v>0</v>
      </c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</row>
    <row r="29" spans="1:18" ht="25.5" customHeight="1">
      <c r="A29" s="278" t="s">
        <v>36</v>
      </c>
      <c r="B29" s="279"/>
      <c r="C29" s="280" t="s">
        <v>39</v>
      </c>
      <c r="D29" s="333">
        <f t="shared" si="13"/>
        <v>60</v>
      </c>
      <c r="E29" s="333">
        <f t="shared" si="11"/>
        <v>11</v>
      </c>
      <c r="F29" s="333">
        <f t="shared" si="11"/>
        <v>71</v>
      </c>
      <c r="G29" s="333">
        <v>30</v>
      </c>
      <c r="H29" s="333">
        <v>11</v>
      </c>
      <c r="I29" s="333">
        <f>+G29+H29</f>
        <v>41</v>
      </c>
      <c r="J29" s="333">
        <v>20</v>
      </c>
      <c r="K29" s="333"/>
      <c r="L29" s="333">
        <f>+J29+K29</f>
        <v>20</v>
      </c>
      <c r="M29" s="333"/>
      <c r="N29" s="333"/>
      <c r="O29" s="333"/>
      <c r="P29" s="333">
        <v>10</v>
      </c>
      <c r="Q29" s="333"/>
      <c r="R29" s="333">
        <f>+P29+Q29</f>
        <v>10</v>
      </c>
    </row>
    <row r="30" spans="1:18" ht="25.5" customHeight="1">
      <c r="A30" s="278" t="s">
        <v>36</v>
      </c>
      <c r="B30" s="279"/>
      <c r="C30" s="280" t="s">
        <v>445</v>
      </c>
      <c r="D30" s="333">
        <f t="shared" si="13"/>
        <v>0</v>
      </c>
      <c r="E30" s="333">
        <f t="shared" si="11"/>
        <v>40</v>
      </c>
      <c r="F30" s="333">
        <f t="shared" si="11"/>
        <v>40</v>
      </c>
      <c r="G30" s="333"/>
      <c r="H30" s="333"/>
      <c r="I30" s="333"/>
      <c r="J30" s="333"/>
      <c r="K30" s="333"/>
      <c r="L30" s="333"/>
      <c r="M30" s="333"/>
      <c r="N30" s="333">
        <v>40</v>
      </c>
      <c r="O30" s="333">
        <f>+M30+N30</f>
        <v>40</v>
      </c>
      <c r="P30" s="333"/>
      <c r="Q30" s="333"/>
      <c r="R30" s="333"/>
    </row>
    <row r="31" spans="1:18" ht="39.6">
      <c r="A31" s="278" t="s">
        <v>36</v>
      </c>
      <c r="B31" s="279"/>
      <c r="C31" s="280" t="s">
        <v>41</v>
      </c>
      <c r="D31" s="333">
        <f t="shared" si="13"/>
        <v>64</v>
      </c>
      <c r="E31" s="333">
        <f t="shared" si="11"/>
        <v>3</v>
      </c>
      <c r="F31" s="333">
        <f t="shared" si="11"/>
        <v>67</v>
      </c>
      <c r="G31" s="333">
        <v>32</v>
      </c>
      <c r="H31" s="333">
        <v>3</v>
      </c>
      <c r="I31" s="333">
        <f>+G31+H31</f>
        <v>35</v>
      </c>
      <c r="J31" s="333">
        <v>21</v>
      </c>
      <c r="K31" s="333"/>
      <c r="L31" s="333">
        <f>+J31+K31</f>
        <v>21</v>
      </c>
      <c r="M31" s="333">
        <v>0</v>
      </c>
      <c r="N31" s="333"/>
      <c r="O31" s="333"/>
      <c r="P31" s="333">
        <v>11</v>
      </c>
      <c r="Q31" s="333"/>
      <c r="R31" s="333">
        <f>+P31+Q31</f>
        <v>11</v>
      </c>
    </row>
    <row r="32" spans="1:18" ht="9.75" customHeight="1">
      <c r="A32" s="281"/>
      <c r="B32" s="282"/>
      <c r="C32" s="283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</row>
    <row r="33" spans="1:18" ht="9" customHeight="1">
      <c r="A33" s="285"/>
      <c r="B33" s="286"/>
      <c r="C33" s="287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</row>
    <row r="34" spans="1:18" ht="15" customHeight="1">
      <c r="A34" s="273" t="s">
        <v>43</v>
      </c>
      <c r="B34" s="1124" t="s">
        <v>42</v>
      </c>
      <c r="C34" s="1125"/>
      <c r="D34" s="333">
        <f>+G34+J34+M34+P34</f>
        <v>1398</v>
      </c>
      <c r="E34" s="333">
        <f t="shared" ref="E34:F36" si="14">+H34+K34+N34+Q34</f>
        <v>757</v>
      </c>
      <c r="F34" s="333">
        <f t="shared" si="14"/>
        <v>2155</v>
      </c>
      <c r="G34" s="333">
        <v>765</v>
      </c>
      <c r="H34" s="333">
        <v>773</v>
      </c>
      <c r="I34" s="333">
        <f t="shared" ref="I34:I35" si="15">+G34+H34</f>
        <v>1538</v>
      </c>
      <c r="J34" s="333">
        <f>+'[4]6.c. mell. BBKP'!L34</f>
        <v>13</v>
      </c>
      <c r="K34" s="333"/>
      <c r="L34" s="333">
        <f>SUM(J34:K34)</f>
        <v>13</v>
      </c>
      <c r="M34" s="333"/>
      <c r="N34" s="333"/>
      <c r="O34" s="333"/>
      <c r="P34" s="333">
        <v>620</v>
      </c>
      <c r="Q34" s="333">
        <v>-16</v>
      </c>
      <c r="R34" s="333">
        <f>+P34+Q34</f>
        <v>604</v>
      </c>
    </row>
    <row r="35" spans="1:18" ht="15" customHeight="1">
      <c r="A35" s="273" t="s">
        <v>45</v>
      </c>
      <c r="B35" s="1124" t="s">
        <v>44</v>
      </c>
      <c r="C35" s="1125"/>
      <c r="D35" s="333">
        <f t="shared" ref="D35:D36" si="16">+G35+J35+M35+P35</f>
        <v>1657</v>
      </c>
      <c r="E35" s="333">
        <f t="shared" si="14"/>
        <v>314</v>
      </c>
      <c r="F35" s="333">
        <f t="shared" si="14"/>
        <v>1971</v>
      </c>
      <c r="G35" s="333">
        <f>+'[4]6.c. mell. BBKP'!$I$35</f>
        <v>1279</v>
      </c>
      <c r="H35" s="333">
        <v>298</v>
      </c>
      <c r="I35" s="333">
        <f t="shared" si="15"/>
        <v>1577</v>
      </c>
      <c r="J35" s="333">
        <f>+'[4]6.c. mell. BBKP'!L35</f>
        <v>300</v>
      </c>
      <c r="K35" s="333"/>
      <c r="L35" s="333">
        <f>SUM(J35:K35)</f>
        <v>300</v>
      </c>
      <c r="M35" s="333"/>
      <c r="N35" s="333"/>
      <c r="O35" s="333"/>
      <c r="P35" s="333">
        <f>+'[4]6.c. mell. BBKP'!R35</f>
        <v>78</v>
      </c>
      <c r="Q35" s="333">
        <v>16</v>
      </c>
      <c r="R35" s="333">
        <f>+P35+Q35</f>
        <v>94</v>
      </c>
    </row>
    <row r="36" spans="1:18" ht="15" customHeight="1">
      <c r="A36" s="273" t="s">
        <v>47</v>
      </c>
      <c r="B36" s="1124" t="s">
        <v>46</v>
      </c>
      <c r="C36" s="1125"/>
      <c r="D36" s="333">
        <f t="shared" si="16"/>
        <v>0</v>
      </c>
      <c r="E36" s="333">
        <f t="shared" si="14"/>
        <v>0</v>
      </c>
      <c r="F36" s="333">
        <f t="shared" si="14"/>
        <v>0</v>
      </c>
      <c r="G36" s="333"/>
      <c r="H36" s="333"/>
      <c r="I36" s="333"/>
      <c r="J36" s="333"/>
      <c r="K36" s="333"/>
      <c r="L36" s="333">
        <f t="shared" ref="L36" si="17">SUM(K36)</f>
        <v>0</v>
      </c>
      <c r="M36" s="333"/>
      <c r="N36" s="333"/>
      <c r="O36" s="333"/>
      <c r="P36" s="333"/>
      <c r="Q36" s="333"/>
      <c r="R36" s="333"/>
    </row>
    <row r="37" spans="1:18" s="337" customFormat="1" ht="15" customHeight="1">
      <c r="A37" s="334" t="s">
        <v>48</v>
      </c>
      <c r="B37" s="1126" t="s">
        <v>446</v>
      </c>
      <c r="C37" s="1127"/>
      <c r="D37" s="335">
        <f>SUM(D34:D36)</f>
        <v>3055</v>
      </c>
      <c r="E37" s="335">
        <f t="shared" ref="E37:R37" si="18">SUM(E34:E36)</f>
        <v>1071</v>
      </c>
      <c r="F37" s="335">
        <f t="shared" si="18"/>
        <v>4126</v>
      </c>
      <c r="G37" s="335">
        <f t="shared" si="18"/>
        <v>2044</v>
      </c>
      <c r="H37" s="335">
        <f t="shared" si="18"/>
        <v>1071</v>
      </c>
      <c r="I37" s="335">
        <f t="shared" si="18"/>
        <v>3115</v>
      </c>
      <c r="J37" s="335">
        <f t="shared" si="18"/>
        <v>313</v>
      </c>
      <c r="K37" s="335">
        <f t="shared" si="18"/>
        <v>0</v>
      </c>
      <c r="L37" s="335">
        <f t="shared" si="18"/>
        <v>313</v>
      </c>
      <c r="M37" s="335">
        <f t="shared" si="18"/>
        <v>0</v>
      </c>
      <c r="N37" s="335">
        <f t="shared" si="18"/>
        <v>0</v>
      </c>
      <c r="O37" s="335">
        <f t="shared" si="18"/>
        <v>0</v>
      </c>
      <c r="P37" s="335">
        <f t="shared" si="18"/>
        <v>698</v>
      </c>
      <c r="Q37" s="335">
        <f t="shared" si="18"/>
        <v>0</v>
      </c>
      <c r="R37" s="335">
        <f t="shared" si="18"/>
        <v>698</v>
      </c>
    </row>
    <row r="38" spans="1:18" ht="15" customHeight="1">
      <c r="A38" s="273" t="s">
        <v>50</v>
      </c>
      <c r="B38" s="1124" t="s">
        <v>49</v>
      </c>
      <c r="C38" s="1125"/>
      <c r="D38" s="333">
        <f>+G38+J38+M38+P38</f>
        <v>210</v>
      </c>
      <c r="E38" s="333">
        <f t="shared" ref="E38:F39" si="19">+H38+K38+N38+Q38</f>
        <v>0</v>
      </c>
      <c r="F38" s="333">
        <f t="shared" si="19"/>
        <v>210</v>
      </c>
      <c r="G38" s="333">
        <v>120</v>
      </c>
      <c r="H38" s="333"/>
      <c r="I38" s="333">
        <f t="shared" ref="I38:I39" si="20">+G38+H38</f>
        <v>120</v>
      </c>
      <c r="J38" s="333"/>
      <c r="K38" s="333"/>
      <c r="L38" s="333"/>
      <c r="M38" s="333"/>
      <c r="N38" s="333"/>
      <c r="O38" s="333"/>
      <c r="P38" s="333">
        <v>90</v>
      </c>
      <c r="Q38" s="333"/>
      <c r="R38" s="333">
        <f t="shared" ref="R38:R39" si="21">+P38+Q38</f>
        <v>90</v>
      </c>
    </row>
    <row r="39" spans="1:18" ht="15" customHeight="1">
      <c r="A39" s="273" t="s">
        <v>52</v>
      </c>
      <c r="B39" s="1124" t="s">
        <v>51</v>
      </c>
      <c r="C39" s="1125"/>
      <c r="D39" s="333">
        <f>+G39+J39+M39+P39</f>
        <v>330</v>
      </c>
      <c r="E39" s="333">
        <f t="shared" si="19"/>
        <v>0</v>
      </c>
      <c r="F39" s="333">
        <f t="shared" si="19"/>
        <v>330</v>
      </c>
      <c r="G39" s="333">
        <v>240</v>
      </c>
      <c r="H39" s="333"/>
      <c r="I39" s="333">
        <f t="shared" si="20"/>
        <v>240</v>
      </c>
      <c r="J39" s="333">
        <v>30</v>
      </c>
      <c r="K39" s="333"/>
      <c r="L39" s="333">
        <f>+J39+K39</f>
        <v>30</v>
      </c>
      <c r="M39" s="333"/>
      <c r="N39" s="333"/>
      <c r="O39" s="333"/>
      <c r="P39" s="333">
        <v>60</v>
      </c>
      <c r="Q39" s="333"/>
      <c r="R39" s="333">
        <f t="shared" si="21"/>
        <v>60</v>
      </c>
    </row>
    <row r="40" spans="1:18" s="337" customFormat="1" ht="15" customHeight="1">
      <c r="A40" s="334" t="s">
        <v>53</v>
      </c>
      <c r="B40" s="1126" t="s">
        <v>447</v>
      </c>
      <c r="C40" s="1127"/>
      <c r="D40" s="335">
        <f>SUM(D38:D39)</f>
        <v>540</v>
      </c>
      <c r="E40" s="335">
        <f t="shared" ref="E40:R40" si="22">SUM(E38:E39)</f>
        <v>0</v>
      </c>
      <c r="F40" s="335">
        <f t="shared" si="22"/>
        <v>540</v>
      </c>
      <c r="G40" s="335">
        <f t="shared" si="22"/>
        <v>360</v>
      </c>
      <c r="H40" s="335">
        <f t="shared" si="22"/>
        <v>0</v>
      </c>
      <c r="I40" s="335">
        <f t="shared" si="22"/>
        <v>360</v>
      </c>
      <c r="J40" s="335">
        <f t="shared" si="22"/>
        <v>30</v>
      </c>
      <c r="K40" s="335">
        <f t="shared" si="22"/>
        <v>0</v>
      </c>
      <c r="L40" s="335">
        <f t="shared" si="22"/>
        <v>30</v>
      </c>
      <c r="M40" s="335">
        <f t="shared" si="22"/>
        <v>0</v>
      </c>
      <c r="N40" s="335">
        <f t="shared" si="22"/>
        <v>0</v>
      </c>
      <c r="O40" s="335">
        <f t="shared" si="22"/>
        <v>0</v>
      </c>
      <c r="P40" s="335">
        <f t="shared" si="22"/>
        <v>150</v>
      </c>
      <c r="Q40" s="335">
        <f t="shared" si="22"/>
        <v>0</v>
      </c>
      <c r="R40" s="335">
        <f t="shared" si="22"/>
        <v>150</v>
      </c>
    </row>
    <row r="41" spans="1:18" ht="15" customHeight="1">
      <c r="A41" s="273" t="s">
        <v>55</v>
      </c>
      <c r="B41" s="1124" t="s">
        <v>54</v>
      </c>
      <c r="C41" s="1125"/>
      <c r="D41" s="333">
        <f>+G41+J41+M41+P41</f>
        <v>0</v>
      </c>
      <c r="E41" s="333">
        <f t="shared" ref="E41:F49" si="23">+H41+K41+N41+Q41</f>
        <v>0</v>
      </c>
      <c r="F41" s="333">
        <f t="shared" si="23"/>
        <v>0</v>
      </c>
      <c r="G41" s="333"/>
      <c r="H41" s="333"/>
      <c r="I41" s="333">
        <f t="shared" ref="I41:I44" si="24">+G41+H41</f>
        <v>0</v>
      </c>
      <c r="J41" s="333"/>
      <c r="K41" s="333"/>
      <c r="L41" s="333"/>
      <c r="M41" s="333"/>
      <c r="N41" s="333"/>
      <c r="O41" s="333"/>
      <c r="P41" s="333"/>
      <c r="Q41" s="333"/>
      <c r="R41" s="333"/>
    </row>
    <row r="42" spans="1:18" ht="15" customHeight="1">
      <c r="A42" s="273" t="s">
        <v>57</v>
      </c>
      <c r="B42" s="1124" t="s">
        <v>56</v>
      </c>
      <c r="C42" s="1125"/>
      <c r="D42" s="333">
        <f t="shared" ref="D42:D49" si="25">+G42+J42+M42+P42</f>
        <v>157</v>
      </c>
      <c r="E42" s="333">
        <f t="shared" si="23"/>
        <v>363</v>
      </c>
      <c r="F42" s="333">
        <f t="shared" si="23"/>
        <v>520</v>
      </c>
      <c r="G42" s="333">
        <f>+'[4]6.c. mell. BBKP'!I42</f>
        <v>157</v>
      </c>
      <c r="H42" s="333">
        <v>363</v>
      </c>
      <c r="I42" s="333">
        <f t="shared" si="24"/>
        <v>520</v>
      </c>
      <c r="J42" s="333"/>
      <c r="K42" s="333"/>
      <c r="L42" s="333"/>
      <c r="M42" s="333"/>
      <c r="N42" s="333"/>
      <c r="O42" s="333"/>
      <c r="P42" s="333"/>
      <c r="Q42" s="333"/>
      <c r="R42" s="333"/>
    </row>
    <row r="43" spans="1:18" ht="15" customHeight="1">
      <c r="A43" s="273" t="s">
        <v>58</v>
      </c>
      <c r="B43" s="1124" t="s">
        <v>448</v>
      </c>
      <c r="C43" s="1125"/>
      <c r="D43" s="333">
        <f t="shared" si="25"/>
        <v>440</v>
      </c>
      <c r="E43" s="333">
        <f t="shared" si="23"/>
        <v>218</v>
      </c>
      <c r="F43" s="333">
        <f t="shared" si="23"/>
        <v>658</v>
      </c>
      <c r="G43" s="333">
        <v>440</v>
      </c>
      <c r="H43" s="333">
        <v>218</v>
      </c>
      <c r="I43" s="333">
        <f t="shared" si="24"/>
        <v>658</v>
      </c>
      <c r="J43" s="333"/>
      <c r="K43" s="333"/>
      <c r="L43" s="333"/>
      <c r="M43" s="333"/>
      <c r="N43" s="333"/>
      <c r="O43" s="333"/>
      <c r="P43" s="333"/>
      <c r="Q43" s="333"/>
      <c r="R43" s="333"/>
    </row>
    <row r="44" spans="1:18" ht="15" customHeight="1">
      <c r="A44" s="273" t="s">
        <v>60</v>
      </c>
      <c r="B44" s="1124" t="s">
        <v>59</v>
      </c>
      <c r="C44" s="1125"/>
      <c r="D44" s="333">
        <f t="shared" si="25"/>
        <v>214</v>
      </c>
      <c r="E44" s="333">
        <f t="shared" si="23"/>
        <v>0</v>
      </c>
      <c r="F44" s="333">
        <f t="shared" si="23"/>
        <v>214</v>
      </c>
      <c r="G44" s="333">
        <v>50</v>
      </c>
      <c r="H44" s="333"/>
      <c r="I44" s="333">
        <f t="shared" si="24"/>
        <v>50</v>
      </c>
      <c r="J44" s="333"/>
      <c r="K44" s="333"/>
      <c r="L44" s="333"/>
      <c r="M44" s="333"/>
      <c r="N44" s="333"/>
      <c r="O44" s="333"/>
      <c r="P44" s="333">
        <f>+'[4]6.c. mell. BBKP'!R44</f>
        <v>164</v>
      </c>
      <c r="Q44" s="333"/>
      <c r="R44" s="333">
        <f>SUM(P44:Q44)</f>
        <v>164</v>
      </c>
    </row>
    <row r="45" spans="1:18" ht="15" customHeight="1">
      <c r="A45" s="273" t="s">
        <v>61</v>
      </c>
      <c r="B45" s="1124" t="s">
        <v>167</v>
      </c>
      <c r="C45" s="1125"/>
      <c r="D45" s="333">
        <f t="shared" si="25"/>
        <v>40</v>
      </c>
      <c r="E45" s="333">
        <f t="shared" si="23"/>
        <v>0</v>
      </c>
      <c r="F45" s="333">
        <f t="shared" si="23"/>
        <v>40</v>
      </c>
      <c r="G45" s="333">
        <f>+'[4]6.c. mell. BBKP'!I45</f>
        <v>40</v>
      </c>
      <c r="H45" s="333">
        <f>H47+H46</f>
        <v>0</v>
      </c>
      <c r="I45" s="333">
        <f>I47+I46</f>
        <v>40</v>
      </c>
      <c r="J45" s="333"/>
      <c r="K45" s="333"/>
      <c r="L45" s="333"/>
      <c r="M45" s="333"/>
      <c r="N45" s="333"/>
      <c r="O45" s="333"/>
      <c r="P45" s="333"/>
      <c r="Q45" s="333"/>
      <c r="R45" s="333"/>
    </row>
    <row r="46" spans="1:18" ht="25.5" customHeight="1">
      <c r="A46" s="278" t="s">
        <v>61</v>
      </c>
      <c r="B46" s="279"/>
      <c r="C46" s="280" t="s">
        <v>62</v>
      </c>
      <c r="D46" s="333">
        <f t="shared" si="25"/>
        <v>0</v>
      </c>
      <c r="E46" s="333">
        <f t="shared" si="23"/>
        <v>0</v>
      </c>
      <c r="F46" s="333">
        <f t="shared" si="23"/>
        <v>0</v>
      </c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</row>
    <row r="47" spans="1:18" ht="25.5" customHeight="1">
      <c r="A47" s="278" t="s">
        <v>61</v>
      </c>
      <c r="B47" s="279"/>
      <c r="C47" s="280" t="s">
        <v>169</v>
      </c>
      <c r="D47" s="333">
        <f t="shared" si="25"/>
        <v>40</v>
      </c>
      <c r="E47" s="333">
        <f t="shared" si="23"/>
        <v>0</v>
      </c>
      <c r="F47" s="333">
        <f t="shared" si="23"/>
        <v>40</v>
      </c>
      <c r="G47" s="333">
        <f>+'[4]6.c. mell. BBKP'!I47</f>
        <v>40</v>
      </c>
      <c r="H47" s="333"/>
      <c r="I47" s="333">
        <f>SUM(G47:H47)</f>
        <v>40</v>
      </c>
      <c r="J47" s="333"/>
      <c r="K47" s="333"/>
      <c r="L47" s="333"/>
      <c r="M47" s="333"/>
      <c r="N47" s="333"/>
      <c r="O47" s="333"/>
      <c r="P47" s="333"/>
      <c r="Q47" s="333"/>
      <c r="R47" s="333"/>
    </row>
    <row r="48" spans="1:18" ht="15" customHeight="1">
      <c r="A48" s="273" t="s">
        <v>64</v>
      </c>
      <c r="B48" s="1124" t="s">
        <v>449</v>
      </c>
      <c r="C48" s="1125"/>
      <c r="D48" s="333">
        <f t="shared" si="25"/>
        <v>200</v>
      </c>
      <c r="E48" s="333">
        <f t="shared" si="23"/>
        <v>12</v>
      </c>
      <c r="F48" s="333">
        <f t="shared" si="23"/>
        <v>212</v>
      </c>
      <c r="G48" s="333">
        <v>200</v>
      </c>
      <c r="H48" s="333">
        <v>12</v>
      </c>
      <c r="I48" s="333">
        <f t="shared" ref="I48:I49" si="26">+G48+H48</f>
        <v>212</v>
      </c>
      <c r="J48" s="333"/>
      <c r="K48" s="333"/>
      <c r="L48" s="333"/>
      <c r="M48" s="333"/>
      <c r="N48" s="333"/>
      <c r="O48" s="333"/>
      <c r="P48" s="333"/>
      <c r="Q48" s="333"/>
      <c r="R48" s="333"/>
    </row>
    <row r="49" spans="1:18" ht="15" customHeight="1">
      <c r="A49" s="273" t="s">
        <v>66</v>
      </c>
      <c r="B49" s="1124" t="s">
        <v>450</v>
      </c>
      <c r="C49" s="1125"/>
      <c r="D49" s="333">
        <f t="shared" si="25"/>
        <v>5151</v>
      </c>
      <c r="E49" s="333">
        <f t="shared" si="23"/>
        <v>7826</v>
      </c>
      <c r="F49" s="333">
        <f t="shared" si="23"/>
        <v>12977</v>
      </c>
      <c r="G49" s="333">
        <f>+'[4]6.c. mell. BBKP'!I49</f>
        <v>3160</v>
      </c>
      <c r="H49" s="333">
        <v>7786</v>
      </c>
      <c r="I49" s="333">
        <f t="shared" si="26"/>
        <v>10946</v>
      </c>
      <c r="J49" s="333">
        <f>+'[4]6.c. mell. BBKP'!L49</f>
        <v>351</v>
      </c>
      <c r="K49" s="333"/>
      <c r="L49" s="333">
        <f>SUM(J49:K49)</f>
        <v>351</v>
      </c>
      <c r="M49" s="333">
        <f>884+600</f>
        <v>1484</v>
      </c>
      <c r="N49" s="333"/>
      <c r="O49" s="333">
        <f>+M49+N49</f>
        <v>1484</v>
      </c>
      <c r="P49" s="333">
        <f>+'[4]6.c. mell. BBKP'!R49</f>
        <v>156</v>
      </c>
      <c r="Q49" s="333">
        <v>40</v>
      </c>
      <c r="R49" s="333">
        <f>+P49+Q49</f>
        <v>196</v>
      </c>
    </row>
    <row r="50" spans="1:18" s="337" customFormat="1" ht="15" customHeight="1">
      <c r="A50" s="334" t="s">
        <v>67</v>
      </c>
      <c r="B50" s="1126" t="s">
        <v>451</v>
      </c>
      <c r="C50" s="1127"/>
      <c r="D50" s="335">
        <f t="shared" ref="D50:E50" si="27">D42+D44+D45+D48+D49+D43</f>
        <v>6202</v>
      </c>
      <c r="E50" s="335">
        <f t="shared" si="27"/>
        <v>8419</v>
      </c>
      <c r="F50" s="335">
        <f>F42+F44+F45+F48+F49+F43</f>
        <v>14621</v>
      </c>
      <c r="G50" s="335">
        <f t="shared" ref="G50:H50" si="28">G42+G43+G44+G45+G48+G49</f>
        <v>4047</v>
      </c>
      <c r="H50" s="335">
        <f t="shared" si="28"/>
        <v>8379</v>
      </c>
      <c r="I50" s="335">
        <f>I42+I43+I44+I45+I48+I49</f>
        <v>12426</v>
      </c>
      <c r="J50" s="335">
        <f t="shared" ref="J50:R50" si="29">SUM(J41:J49)</f>
        <v>351</v>
      </c>
      <c r="K50" s="335">
        <f t="shared" si="29"/>
        <v>0</v>
      </c>
      <c r="L50" s="335">
        <f t="shared" si="29"/>
        <v>351</v>
      </c>
      <c r="M50" s="335">
        <f t="shared" si="29"/>
        <v>1484</v>
      </c>
      <c r="N50" s="335">
        <f t="shared" si="29"/>
        <v>0</v>
      </c>
      <c r="O50" s="335">
        <f t="shared" si="29"/>
        <v>1484</v>
      </c>
      <c r="P50" s="335">
        <f t="shared" si="29"/>
        <v>320</v>
      </c>
      <c r="Q50" s="335">
        <f t="shared" si="29"/>
        <v>40</v>
      </c>
      <c r="R50" s="335">
        <f t="shared" si="29"/>
        <v>360</v>
      </c>
    </row>
    <row r="51" spans="1:18" ht="15" customHeight="1">
      <c r="A51" s="273" t="s">
        <v>69</v>
      </c>
      <c r="B51" s="1124" t="s">
        <v>68</v>
      </c>
      <c r="C51" s="1125"/>
      <c r="D51" s="333">
        <f>+G51+J51+M51+P51</f>
        <v>236</v>
      </c>
      <c r="E51" s="333">
        <f t="shared" ref="E51:F52" si="30">+H51+K51+N51+Q51</f>
        <v>58</v>
      </c>
      <c r="F51" s="333">
        <f t="shared" si="30"/>
        <v>294</v>
      </c>
      <c r="G51" s="333">
        <v>200</v>
      </c>
      <c r="H51" s="333"/>
      <c r="I51" s="333">
        <f t="shared" ref="I51:I52" si="31">+G51+H51</f>
        <v>200</v>
      </c>
      <c r="J51" s="333">
        <f>+'[4]6.c. mell. BBKP'!L51</f>
        <v>11</v>
      </c>
      <c r="K51" s="333"/>
      <c r="L51" s="333">
        <f>SUM(J51:K51)</f>
        <v>11</v>
      </c>
      <c r="M51" s="333"/>
      <c r="N51" s="333">
        <v>58</v>
      </c>
      <c r="O51" s="333">
        <f>+M51+N51</f>
        <v>58</v>
      </c>
      <c r="P51" s="333">
        <v>25</v>
      </c>
      <c r="Q51" s="333"/>
      <c r="R51" s="333">
        <f>+P51+Q51</f>
        <v>25</v>
      </c>
    </row>
    <row r="52" spans="1:18" ht="15" customHeight="1">
      <c r="A52" s="273" t="s">
        <v>71</v>
      </c>
      <c r="B52" s="1124" t="s">
        <v>70</v>
      </c>
      <c r="C52" s="1125"/>
      <c r="D52" s="333">
        <f>+G52+J52+M52+P52</f>
        <v>700</v>
      </c>
      <c r="E52" s="333">
        <f t="shared" si="30"/>
        <v>0</v>
      </c>
      <c r="F52" s="333">
        <f t="shared" si="30"/>
        <v>700</v>
      </c>
      <c r="G52" s="333">
        <v>700</v>
      </c>
      <c r="H52" s="333"/>
      <c r="I52" s="333">
        <f t="shared" si="31"/>
        <v>700</v>
      </c>
      <c r="J52" s="333"/>
      <c r="K52" s="333"/>
      <c r="L52" s="333"/>
      <c r="M52" s="333"/>
      <c r="N52" s="333"/>
      <c r="O52" s="333"/>
      <c r="P52" s="333"/>
      <c r="Q52" s="333"/>
      <c r="R52" s="333"/>
    </row>
    <row r="53" spans="1:18" s="337" customFormat="1" ht="15" customHeight="1">
      <c r="A53" s="334" t="s">
        <v>72</v>
      </c>
      <c r="B53" s="1126" t="s">
        <v>156</v>
      </c>
      <c r="C53" s="1127"/>
      <c r="D53" s="335">
        <f>SUM(D51:D52)</f>
        <v>936</v>
      </c>
      <c r="E53" s="335">
        <f t="shared" ref="E53:R53" si="32">SUM(E51:E52)</f>
        <v>58</v>
      </c>
      <c r="F53" s="335">
        <f t="shared" si="32"/>
        <v>994</v>
      </c>
      <c r="G53" s="335">
        <f t="shared" si="32"/>
        <v>900</v>
      </c>
      <c r="H53" s="335">
        <f t="shared" si="32"/>
        <v>0</v>
      </c>
      <c r="I53" s="335">
        <f t="shared" si="32"/>
        <v>900</v>
      </c>
      <c r="J53" s="335">
        <f t="shared" si="32"/>
        <v>11</v>
      </c>
      <c r="K53" s="335">
        <f t="shared" si="32"/>
        <v>0</v>
      </c>
      <c r="L53" s="335">
        <f t="shared" si="32"/>
        <v>11</v>
      </c>
      <c r="M53" s="335">
        <f t="shared" si="32"/>
        <v>0</v>
      </c>
      <c r="N53" s="335">
        <f t="shared" si="32"/>
        <v>58</v>
      </c>
      <c r="O53" s="335">
        <f t="shared" si="32"/>
        <v>58</v>
      </c>
      <c r="P53" s="335">
        <f t="shared" si="32"/>
        <v>25</v>
      </c>
      <c r="Q53" s="335">
        <f t="shared" si="32"/>
        <v>0</v>
      </c>
      <c r="R53" s="335">
        <f t="shared" si="32"/>
        <v>25</v>
      </c>
    </row>
    <row r="54" spans="1:18" ht="15" customHeight="1">
      <c r="A54" s="273" t="s">
        <v>74</v>
      </c>
      <c r="B54" s="1124" t="s">
        <v>73</v>
      </c>
      <c r="C54" s="1125"/>
      <c r="D54" s="333">
        <f>+G54+J54+M54+P54</f>
        <v>1884</v>
      </c>
      <c r="E54" s="333">
        <f t="shared" ref="E54:F58" si="33">+H54+K54+N54+Q54</f>
        <v>881</v>
      </c>
      <c r="F54" s="333">
        <f t="shared" si="33"/>
        <v>2765</v>
      </c>
      <c r="G54" s="333">
        <f>+'[4]6.c. mell. BBKP'!I54</f>
        <v>1296</v>
      </c>
      <c r="H54" s="333">
        <v>860</v>
      </c>
      <c r="I54" s="333">
        <f t="shared" ref="I54:I58" si="34">+G54+H54</f>
        <v>2156</v>
      </c>
      <c r="J54" s="333">
        <f>+'[4]6.c. mell. BBKP'!L54</f>
        <v>183</v>
      </c>
      <c r="K54" s="333"/>
      <c r="L54" s="333">
        <f>SUM(J54:K54)</f>
        <v>183</v>
      </c>
      <c r="M54" s="333">
        <v>239</v>
      </c>
      <c r="N54" s="333"/>
      <c r="O54" s="333">
        <f>+M54+N54</f>
        <v>239</v>
      </c>
      <c r="P54" s="333">
        <f>+'[4]6.c. mell. BBKP'!R54</f>
        <v>166</v>
      </c>
      <c r="Q54" s="333">
        <v>21</v>
      </c>
      <c r="R54" s="333">
        <f>+P54+Q54</f>
        <v>187</v>
      </c>
    </row>
    <row r="55" spans="1:18" ht="15" customHeight="1">
      <c r="A55" s="273" t="s">
        <v>76</v>
      </c>
      <c r="B55" s="1124" t="s">
        <v>452</v>
      </c>
      <c r="C55" s="1125"/>
      <c r="D55" s="333">
        <f t="shared" ref="D55:D58" si="35">+G55+J55+M55+P55</f>
        <v>753</v>
      </c>
      <c r="E55" s="333">
        <f t="shared" si="33"/>
        <v>187</v>
      </c>
      <c r="F55" s="333">
        <f t="shared" si="33"/>
        <v>940</v>
      </c>
      <c r="G55" s="333">
        <f>+'[4]6.c. mell. BBKP'!I55</f>
        <v>456</v>
      </c>
      <c r="H55" s="333">
        <v>187</v>
      </c>
      <c r="I55" s="333">
        <f t="shared" si="34"/>
        <v>643</v>
      </c>
      <c r="J55" s="333">
        <v>270</v>
      </c>
      <c r="K55" s="333"/>
      <c r="L55" s="333">
        <f>+J55+K55</f>
        <v>270</v>
      </c>
      <c r="M55" s="333"/>
      <c r="N55" s="333"/>
      <c r="O55" s="333"/>
      <c r="P55" s="333">
        <v>27</v>
      </c>
      <c r="Q55" s="333"/>
      <c r="R55" s="333">
        <f>+P55+Q55</f>
        <v>27</v>
      </c>
    </row>
    <row r="56" spans="1:18" ht="15" customHeight="1">
      <c r="A56" s="273" t="s">
        <v>77</v>
      </c>
      <c r="B56" s="1124" t="s">
        <v>453</v>
      </c>
      <c r="C56" s="1125"/>
      <c r="D56" s="333">
        <f t="shared" si="35"/>
        <v>0</v>
      </c>
      <c r="E56" s="333">
        <f t="shared" si="33"/>
        <v>0</v>
      </c>
      <c r="F56" s="333">
        <f t="shared" si="33"/>
        <v>0</v>
      </c>
      <c r="G56" s="333"/>
      <c r="H56" s="333"/>
      <c r="I56" s="333">
        <f t="shared" si="34"/>
        <v>0</v>
      </c>
      <c r="J56" s="333"/>
      <c r="K56" s="333"/>
      <c r="L56" s="333"/>
      <c r="M56" s="333"/>
      <c r="N56" s="333"/>
      <c r="O56" s="333"/>
      <c r="P56" s="333"/>
      <c r="Q56" s="333"/>
      <c r="R56" s="333"/>
    </row>
    <row r="57" spans="1:18" ht="15" customHeight="1">
      <c r="A57" s="273" t="s">
        <v>78</v>
      </c>
      <c r="B57" s="1124" t="s">
        <v>454</v>
      </c>
      <c r="C57" s="1125"/>
      <c r="D57" s="333">
        <f t="shared" si="35"/>
        <v>0</v>
      </c>
      <c r="E57" s="333">
        <f t="shared" si="33"/>
        <v>0</v>
      </c>
      <c r="F57" s="333">
        <f t="shared" si="33"/>
        <v>0</v>
      </c>
      <c r="G57" s="333"/>
      <c r="H57" s="333"/>
      <c r="I57" s="333">
        <f t="shared" si="34"/>
        <v>0</v>
      </c>
      <c r="J57" s="333"/>
      <c r="K57" s="333"/>
      <c r="L57" s="333"/>
      <c r="M57" s="333"/>
      <c r="N57" s="333"/>
      <c r="O57" s="333"/>
      <c r="P57" s="333"/>
      <c r="Q57" s="333"/>
      <c r="R57" s="333"/>
    </row>
    <row r="58" spans="1:18" ht="15" customHeight="1">
      <c r="A58" s="273" t="s">
        <v>80</v>
      </c>
      <c r="B58" s="1124" t="s">
        <v>79</v>
      </c>
      <c r="C58" s="1125"/>
      <c r="D58" s="333">
        <f t="shared" si="35"/>
        <v>25</v>
      </c>
      <c r="E58" s="333">
        <f t="shared" si="33"/>
        <v>20</v>
      </c>
      <c r="F58" s="333">
        <f t="shared" si="33"/>
        <v>45</v>
      </c>
      <c r="G58" s="333"/>
      <c r="H58" s="333">
        <v>20</v>
      </c>
      <c r="I58" s="333">
        <f t="shared" si="34"/>
        <v>20</v>
      </c>
      <c r="J58" s="333"/>
      <c r="K58" s="333"/>
      <c r="L58" s="333"/>
      <c r="M58" s="333"/>
      <c r="N58" s="333"/>
      <c r="O58" s="333"/>
      <c r="P58" s="333">
        <v>25</v>
      </c>
      <c r="Q58" s="333"/>
      <c r="R58" s="333">
        <f>+P58+Q58</f>
        <v>25</v>
      </c>
    </row>
    <row r="59" spans="1:18" ht="15" customHeight="1">
      <c r="A59" s="334" t="s">
        <v>81</v>
      </c>
      <c r="B59" s="1126" t="s">
        <v>153</v>
      </c>
      <c r="C59" s="1127"/>
      <c r="D59" s="335">
        <f>SUM(D54:D58)</f>
        <v>2662</v>
      </c>
      <c r="E59" s="335">
        <f t="shared" ref="E59:R59" si="36">SUM(E54:E58)</f>
        <v>1088</v>
      </c>
      <c r="F59" s="335">
        <f t="shared" si="36"/>
        <v>3750</v>
      </c>
      <c r="G59" s="335">
        <f t="shared" si="36"/>
        <v>1752</v>
      </c>
      <c r="H59" s="335">
        <f t="shared" si="36"/>
        <v>1067</v>
      </c>
      <c r="I59" s="335">
        <f t="shared" si="36"/>
        <v>2819</v>
      </c>
      <c r="J59" s="335">
        <f t="shared" si="36"/>
        <v>453</v>
      </c>
      <c r="K59" s="335">
        <f t="shared" si="36"/>
        <v>0</v>
      </c>
      <c r="L59" s="335">
        <f t="shared" si="36"/>
        <v>453</v>
      </c>
      <c r="M59" s="335">
        <f t="shared" si="36"/>
        <v>239</v>
      </c>
      <c r="N59" s="335">
        <f t="shared" si="36"/>
        <v>0</v>
      </c>
      <c r="O59" s="335">
        <f t="shared" si="36"/>
        <v>239</v>
      </c>
      <c r="P59" s="335">
        <f t="shared" si="36"/>
        <v>218</v>
      </c>
      <c r="Q59" s="335">
        <f t="shared" si="36"/>
        <v>21</v>
      </c>
      <c r="R59" s="335">
        <f t="shared" si="36"/>
        <v>239</v>
      </c>
    </row>
    <row r="60" spans="1:18" ht="15" customHeight="1">
      <c r="A60" s="334" t="s">
        <v>82</v>
      </c>
      <c r="B60" s="1126" t="s">
        <v>342</v>
      </c>
      <c r="C60" s="1127"/>
      <c r="D60" s="335">
        <f>+D59+D53+D50+D40+D37</f>
        <v>13395</v>
      </c>
      <c r="E60" s="335">
        <f t="shared" ref="E60:F60" si="37">+E59+E53+E50+E40+E37</f>
        <v>10636</v>
      </c>
      <c r="F60" s="335">
        <f t="shared" si="37"/>
        <v>24031</v>
      </c>
      <c r="G60" s="335">
        <f t="shared" ref="G60:R60" si="38">+G59+G53+G50+G40+G37</f>
        <v>9103</v>
      </c>
      <c r="H60" s="335">
        <f t="shared" si="38"/>
        <v>10517</v>
      </c>
      <c r="I60" s="335">
        <f t="shared" si="38"/>
        <v>19620</v>
      </c>
      <c r="J60" s="335">
        <f t="shared" si="38"/>
        <v>1158</v>
      </c>
      <c r="K60" s="335">
        <f t="shared" si="38"/>
        <v>0</v>
      </c>
      <c r="L60" s="335">
        <f t="shared" si="38"/>
        <v>1158</v>
      </c>
      <c r="M60" s="335">
        <f t="shared" si="38"/>
        <v>1723</v>
      </c>
      <c r="N60" s="335">
        <f t="shared" si="38"/>
        <v>58</v>
      </c>
      <c r="O60" s="335">
        <f t="shared" si="38"/>
        <v>1781</v>
      </c>
      <c r="P60" s="335">
        <f t="shared" si="38"/>
        <v>1411</v>
      </c>
      <c r="Q60" s="335">
        <f t="shared" si="38"/>
        <v>61</v>
      </c>
      <c r="R60" s="335">
        <f t="shared" si="38"/>
        <v>1472</v>
      </c>
    </row>
    <row r="61" spans="1:18" ht="15" customHeight="1">
      <c r="A61" s="274"/>
      <c r="B61" s="837"/>
      <c r="C61" s="837"/>
      <c r="D61" s="828"/>
      <c r="E61" s="828"/>
      <c r="F61" s="828"/>
      <c r="G61" s="829"/>
      <c r="H61" s="828"/>
      <c r="I61" s="830"/>
      <c r="J61" s="829"/>
      <c r="K61" s="828"/>
      <c r="L61" s="830"/>
      <c r="M61" s="829"/>
      <c r="N61" s="828"/>
      <c r="O61" s="830"/>
      <c r="P61" s="829"/>
      <c r="Q61" s="828"/>
      <c r="R61" s="830"/>
    </row>
    <row r="62" spans="1:18" ht="27" customHeight="1">
      <c r="A62" s="824" t="s">
        <v>102</v>
      </c>
      <c r="B62" s="1124" t="s">
        <v>859</v>
      </c>
      <c r="C62" s="1125"/>
      <c r="D62" s="333">
        <f>D63</f>
        <v>584</v>
      </c>
      <c r="E62" s="333">
        <f>E63</f>
        <v>0</v>
      </c>
      <c r="F62" s="333">
        <f>F63</f>
        <v>584</v>
      </c>
      <c r="G62" s="333">
        <f>+'[4]6.c. mell. BBKP'!I62</f>
        <v>584</v>
      </c>
      <c r="H62" s="333">
        <f>H63</f>
        <v>0</v>
      </c>
      <c r="I62" s="333">
        <f>SUM(G62:H62)</f>
        <v>584</v>
      </c>
      <c r="J62" s="335"/>
      <c r="K62" s="335"/>
      <c r="L62" s="335"/>
      <c r="M62" s="335"/>
      <c r="N62" s="335"/>
      <c r="O62" s="335"/>
      <c r="P62" s="335"/>
      <c r="Q62" s="335"/>
      <c r="R62" s="335"/>
    </row>
    <row r="63" spans="1:18" ht="26.4">
      <c r="A63" s="825" t="s">
        <v>102</v>
      </c>
      <c r="B63" s="837"/>
      <c r="C63" s="826" t="s">
        <v>861</v>
      </c>
      <c r="D63" s="333">
        <f>G63+J63+M63+P63</f>
        <v>584</v>
      </c>
      <c r="E63" s="333">
        <f>H63+K63+N63+Q63</f>
        <v>0</v>
      </c>
      <c r="F63" s="333">
        <f>SUM(D63:E63)</f>
        <v>584</v>
      </c>
      <c r="G63" s="333">
        <f>+'[4]6.c. mell. BBKP'!I63</f>
        <v>584</v>
      </c>
      <c r="H63" s="843"/>
      <c r="I63" s="843">
        <f>SUM(G63:H63)</f>
        <v>584</v>
      </c>
      <c r="J63" s="333"/>
      <c r="K63" s="333"/>
      <c r="L63" s="333"/>
      <c r="M63" s="333"/>
      <c r="N63" s="333"/>
      <c r="O63" s="333"/>
      <c r="P63" s="333"/>
      <c r="Q63" s="333"/>
      <c r="R63" s="333"/>
    </row>
    <row r="64" spans="1:18" ht="34.5" customHeight="1">
      <c r="A64" s="273" t="s">
        <v>108</v>
      </c>
      <c r="B64" s="1124" t="s">
        <v>165</v>
      </c>
      <c r="C64" s="1125"/>
      <c r="D64" s="333">
        <f>(((+G64+J64)+M64)+P64)</f>
        <v>18575</v>
      </c>
      <c r="E64" s="333">
        <f>(((+H64+K64)+N64)+Q64)+F67</f>
        <v>0</v>
      </c>
      <c r="F64" s="333">
        <f t="shared" ref="F64" si="39">(((+I64+L64)+O64)+R64)+G67</f>
        <v>18575</v>
      </c>
      <c r="G64" s="333">
        <f>+'[4]6.c. mell. BBKP'!I64</f>
        <v>12260</v>
      </c>
      <c r="H64" s="333">
        <f>H65</f>
        <v>0</v>
      </c>
      <c r="I64" s="333">
        <f t="shared" ref="I64" si="40">+G64+H64</f>
        <v>12260</v>
      </c>
      <c r="J64" s="333"/>
      <c r="K64" s="333"/>
      <c r="L64" s="333"/>
      <c r="M64" s="333"/>
      <c r="N64" s="333"/>
      <c r="O64" s="333"/>
      <c r="P64" s="333">
        <v>6315</v>
      </c>
      <c r="Q64" s="333"/>
      <c r="R64" s="333">
        <f>+P64+Q64</f>
        <v>6315</v>
      </c>
    </row>
    <row r="65" spans="1:18" ht="38.25" customHeight="1">
      <c r="A65" s="289" t="s">
        <v>108</v>
      </c>
      <c r="B65" s="279"/>
      <c r="C65" s="290" t="s">
        <v>105</v>
      </c>
      <c r="D65" s="333">
        <f>(((+G65+J65)+M65)+P65)</f>
        <v>18575</v>
      </c>
      <c r="E65" s="333">
        <f t="shared" ref="E65:F65" si="41">(((+H65+K65)+N65)+Q65)</f>
        <v>0</v>
      </c>
      <c r="F65" s="333">
        <f t="shared" si="41"/>
        <v>18575</v>
      </c>
      <c r="G65" s="333">
        <f>+'[4]6.c. mell. BBKP'!I65</f>
        <v>12260</v>
      </c>
      <c r="H65" s="333"/>
      <c r="I65" s="333">
        <f>+G65+H65</f>
        <v>12260</v>
      </c>
      <c r="J65" s="333"/>
      <c r="K65" s="333"/>
      <c r="L65" s="333"/>
      <c r="M65" s="333"/>
      <c r="N65" s="333"/>
      <c r="O65" s="333"/>
      <c r="P65" s="333">
        <v>6315</v>
      </c>
      <c r="Q65" s="333"/>
      <c r="R65" s="333">
        <f>+P65+Q65</f>
        <v>6315</v>
      </c>
    </row>
    <row r="66" spans="1:18" ht="15" customHeight="1">
      <c r="A66" s="334" t="s">
        <v>109</v>
      </c>
      <c r="B66" s="1126" t="s">
        <v>164</v>
      </c>
      <c r="C66" s="1127"/>
      <c r="D66" s="335">
        <f t="shared" ref="D66:E66" si="42">+D64+D62</f>
        <v>19159</v>
      </c>
      <c r="E66" s="335">
        <f t="shared" si="42"/>
        <v>0</v>
      </c>
      <c r="F66" s="335">
        <f>+F64+F62</f>
        <v>19159</v>
      </c>
      <c r="G66" s="335">
        <f>+G62+G64</f>
        <v>12844</v>
      </c>
      <c r="H66" s="335">
        <f t="shared" ref="H66:I66" si="43">+H62+H64</f>
        <v>0</v>
      </c>
      <c r="I66" s="335">
        <f t="shared" si="43"/>
        <v>12844</v>
      </c>
      <c r="J66" s="335">
        <f t="shared" ref="J66:R66" si="44">+J64</f>
        <v>0</v>
      </c>
      <c r="K66" s="335">
        <f t="shared" si="44"/>
        <v>0</v>
      </c>
      <c r="L66" s="335">
        <f t="shared" si="44"/>
        <v>0</v>
      </c>
      <c r="M66" s="335">
        <f t="shared" si="44"/>
        <v>0</v>
      </c>
      <c r="N66" s="335">
        <f t="shared" si="44"/>
        <v>0</v>
      </c>
      <c r="O66" s="335">
        <f t="shared" si="44"/>
        <v>0</v>
      </c>
      <c r="P66" s="335">
        <f t="shared" si="44"/>
        <v>6315</v>
      </c>
      <c r="Q66" s="335">
        <f t="shared" si="44"/>
        <v>0</v>
      </c>
      <c r="R66" s="335">
        <f t="shared" si="44"/>
        <v>6315</v>
      </c>
    </row>
    <row r="67" spans="1:18" ht="27.75" customHeight="1">
      <c r="A67" s="291"/>
      <c r="B67" s="292"/>
      <c r="C67" s="292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</row>
    <row r="68" spans="1:18" ht="21.75" customHeight="1">
      <c r="A68" s="294"/>
      <c r="B68" s="295"/>
      <c r="C68" s="295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</row>
    <row r="69" spans="1:18" ht="15" customHeight="1">
      <c r="A69" s="273" t="s">
        <v>111</v>
      </c>
      <c r="B69" s="1124" t="s">
        <v>110</v>
      </c>
      <c r="C69" s="1125"/>
      <c r="D69" s="333">
        <f>+G69+J69+M69+P69</f>
        <v>0</v>
      </c>
      <c r="E69" s="333">
        <f t="shared" ref="E69:F76" si="45">+H69+K69+N69+Q69</f>
        <v>0</v>
      </c>
      <c r="F69" s="333">
        <f t="shared" si="45"/>
        <v>0</v>
      </c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</row>
    <row r="70" spans="1:18" ht="15" customHeight="1">
      <c r="A70" s="273" t="s">
        <v>112</v>
      </c>
      <c r="B70" s="1124" t="s">
        <v>455</v>
      </c>
      <c r="C70" s="1125"/>
      <c r="D70" s="333">
        <f t="shared" ref="D70:D76" si="46">+G70+J70+M70+P70</f>
        <v>0</v>
      </c>
      <c r="E70" s="333">
        <f t="shared" si="45"/>
        <v>0</v>
      </c>
      <c r="F70" s="333">
        <f t="shared" si="45"/>
        <v>0</v>
      </c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/>
      <c r="R70" s="333"/>
    </row>
    <row r="71" spans="1:18" ht="25.5" customHeight="1">
      <c r="A71" s="278" t="s">
        <v>112</v>
      </c>
      <c r="B71" s="279"/>
      <c r="C71" s="290" t="s">
        <v>113</v>
      </c>
      <c r="D71" s="333">
        <f t="shared" si="46"/>
        <v>0</v>
      </c>
      <c r="E71" s="333">
        <f t="shared" si="45"/>
        <v>0</v>
      </c>
      <c r="F71" s="333">
        <f t="shared" si="45"/>
        <v>0</v>
      </c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</row>
    <row r="72" spans="1:18" ht="15" customHeight="1">
      <c r="A72" s="273" t="s">
        <v>115</v>
      </c>
      <c r="B72" s="1124" t="s">
        <v>114</v>
      </c>
      <c r="C72" s="1125"/>
      <c r="D72" s="333">
        <f t="shared" si="46"/>
        <v>0</v>
      </c>
      <c r="E72" s="333">
        <f t="shared" si="45"/>
        <v>0</v>
      </c>
      <c r="F72" s="333">
        <f t="shared" si="45"/>
        <v>0</v>
      </c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</row>
    <row r="73" spans="1:18" ht="15" customHeight="1">
      <c r="A73" s="273" t="s">
        <v>117</v>
      </c>
      <c r="B73" s="1124" t="s">
        <v>116</v>
      </c>
      <c r="C73" s="1125"/>
      <c r="D73" s="333">
        <f t="shared" si="46"/>
        <v>2519</v>
      </c>
      <c r="E73" s="333">
        <f t="shared" si="45"/>
        <v>0</v>
      </c>
      <c r="F73" s="333">
        <f t="shared" si="45"/>
        <v>2519</v>
      </c>
      <c r="G73" s="333">
        <f>+'[4]6.c. mell. BBKP'!I73</f>
        <v>1653</v>
      </c>
      <c r="H73" s="333"/>
      <c r="I73" s="333">
        <f t="shared" ref="I73" si="47">+G73+H73</f>
        <v>1653</v>
      </c>
      <c r="J73" s="333">
        <f>+'[4]6.c. mell. BBKP'!L73</f>
        <v>866</v>
      </c>
      <c r="K73" s="333"/>
      <c r="L73" s="333">
        <f>SUM(J73:K73)</f>
        <v>866</v>
      </c>
      <c r="M73" s="333"/>
      <c r="N73" s="333"/>
      <c r="O73" s="333"/>
      <c r="P73" s="333"/>
      <c r="Q73" s="333"/>
      <c r="R73" s="333"/>
    </row>
    <row r="74" spans="1:18" ht="15" customHeight="1">
      <c r="A74" s="273" t="s">
        <v>119</v>
      </c>
      <c r="B74" s="1124" t="s">
        <v>118</v>
      </c>
      <c r="C74" s="1125"/>
      <c r="D74" s="333">
        <f t="shared" si="46"/>
        <v>0</v>
      </c>
      <c r="E74" s="333">
        <f t="shared" si="45"/>
        <v>0</v>
      </c>
      <c r="F74" s="333">
        <f t="shared" si="45"/>
        <v>0</v>
      </c>
      <c r="G74" s="333">
        <f>+'[4]6.c. mell. BBKP'!I74</f>
        <v>0</v>
      </c>
      <c r="H74" s="333"/>
      <c r="I74" s="333"/>
      <c r="J74" s="333">
        <f>+'[4]6.c. mell. BBKP'!L74</f>
        <v>0</v>
      </c>
      <c r="K74" s="333"/>
      <c r="L74" s="333">
        <f t="shared" ref="L74:L75" si="48">SUM(K74)</f>
        <v>0</v>
      </c>
      <c r="M74" s="333"/>
      <c r="N74" s="333"/>
      <c r="O74" s="333"/>
      <c r="P74" s="333"/>
      <c r="Q74" s="333"/>
      <c r="R74" s="333"/>
    </row>
    <row r="75" spans="1:18" ht="15" customHeight="1">
      <c r="A75" s="273" t="s">
        <v>121</v>
      </c>
      <c r="B75" s="1124" t="s">
        <v>120</v>
      </c>
      <c r="C75" s="1125"/>
      <c r="D75" s="333">
        <f t="shared" si="46"/>
        <v>0</v>
      </c>
      <c r="E75" s="333">
        <f t="shared" si="45"/>
        <v>0</v>
      </c>
      <c r="F75" s="333">
        <f t="shared" si="45"/>
        <v>0</v>
      </c>
      <c r="G75" s="333">
        <f>+'[4]6.c. mell. BBKP'!I75</f>
        <v>0</v>
      </c>
      <c r="H75" s="333"/>
      <c r="I75" s="333"/>
      <c r="J75" s="333">
        <f>+'[4]6.c. mell. BBKP'!L75</f>
        <v>0</v>
      </c>
      <c r="K75" s="333"/>
      <c r="L75" s="333">
        <f t="shared" si="48"/>
        <v>0</v>
      </c>
      <c r="M75" s="333"/>
      <c r="N75" s="333"/>
      <c r="O75" s="333"/>
      <c r="P75" s="333"/>
      <c r="Q75" s="333"/>
      <c r="R75" s="333"/>
    </row>
    <row r="76" spans="1:18" ht="15" customHeight="1">
      <c r="A76" s="273" t="s">
        <v>123</v>
      </c>
      <c r="B76" s="1124" t="s">
        <v>122</v>
      </c>
      <c r="C76" s="1125"/>
      <c r="D76" s="333">
        <f t="shared" si="46"/>
        <v>681</v>
      </c>
      <c r="E76" s="333">
        <f t="shared" si="45"/>
        <v>0</v>
      </c>
      <c r="F76" s="333">
        <f t="shared" si="45"/>
        <v>681</v>
      </c>
      <c r="G76" s="333">
        <f>+'[4]6.c. mell. BBKP'!I76</f>
        <v>447</v>
      </c>
      <c r="H76" s="333"/>
      <c r="I76" s="333">
        <f t="shared" ref="I76" si="49">+G76+H76</f>
        <v>447</v>
      </c>
      <c r="J76" s="333">
        <f>+'[4]6.c. mell. BBKP'!L76</f>
        <v>234</v>
      </c>
      <c r="K76" s="333"/>
      <c r="L76" s="333">
        <f>SUM(J76:K76)</f>
        <v>234</v>
      </c>
      <c r="M76" s="333"/>
      <c r="N76" s="333"/>
      <c r="O76" s="333"/>
      <c r="P76" s="333"/>
      <c r="Q76" s="333"/>
      <c r="R76" s="333"/>
    </row>
    <row r="77" spans="1:18" ht="15" customHeight="1">
      <c r="A77" s="334" t="s">
        <v>124</v>
      </c>
      <c r="B77" s="1126" t="s">
        <v>162</v>
      </c>
      <c r="C77" s="1127"/>
      <c r="D77" s="335">
        <f>SUM(D69:D76)</f>
        <v>3200</v>
      </c>
      <c r="E77" s="335">
        <f t="shared" ref="E77:R77" si="50">SUM(E69:E76)</f>
        <v>0</v>
      </c>
      <c r="F77" s="335">
        <f t="shared" si="50"/>
        <v>3200</v>
      </c>
      <c r="G77" s="335">
        <f t="shared" si="50"/>
        <v>2100</v>
      </c>
      <c r="H77" s="335">
        <f>SUM(H69:H76)</f>
        <v>0</v>
      </c>
      <c r="I77" s="335">
        <f t="shared" si="50"/>
        <v>2100</v>
      </c>
      <c r="J77" s="335">
        <f t="shared" si="50"/>
        <v>1100</v>
      </c>
      <c r="K77" s="335">
        <f t="shared" si="50"/>
        <v>0</v>
      </c>
      <c r="L77" s="335">
        <f t="shared" si="50"/>
        <v>1100</v>
      </c>
      <c r="M77" s="335">
        <f t="shared" si="50"/>
        <v>0</v>
      </c>
      <c r="N77" s="335">
        <f t="shared" si="50"/>
        <v>0</v>
      </c>
      <c r="O77" s="335">
        <f t="shared" si="50"/>
        <v>0</v>
      </c>
      <c r="P77" s="335">
        <f t="shared" si="50"/>
        <v>0</v>
      </c>
      <c r="Q77" s="335">
        <f t="shared" si="50"/>
        <v>0</v>
      </c>
      <c r="R77" s="335">
        <f t="shared" si="50"/>
        <v>0</v>
      </c>
    </row>
    <row r="78" spans="1:18">
      <c r="A78" s="274"/>
      <c r="B78" s="835"/>
      <c r="C78" s="835"/>
      <c r="D78" s="275"/>
      <c r="E78" s="275"/>
      <c r="F78" s="275"/>
      <c r="G78" s="277"/>
      <c r="H78" s="275"/>
      <c r="I78" s="276"/>
      <c r="J78" s="277"/>
      <c r="K78" s="275"/>
      <c r="L78" s="276"/>
      <c r="M78" s="277"/>
      <c r="N78" s="275"/>
      <c r="O78" s="276"/>
      <c r="P78" s="277"/>
      <c r="Q78" s="275"/>
      <c r="R78" s="276"/>
    </row>
    <row r="79" spans="1:18" ht="15" customHeight="1">
      <c r="A79" s="273" t="s">
        <v>126</v>
      </c>
      <c r="B79" s="1124" t="s">
        <v>125</v>
      </c>
      <c r="C79" s="1125"/>
      <c r="D79" s="333">
        <f>(((+G79+J79)+M79)+P79)</f>
        <v>0</v>
      </c>
      <c r="E79" s="333">
        <f t="shared" ref="E79:F82" si="51">(((+H79+K79)+N79)+Q79)</f>
        <v>0</v>
      </c>
      <c r="F79" s="333">
        <f t="shared" si="51"/>
        <v>0</v>
      </c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</row>
    <row r="80" spans="1:18" ht="15" customHeight="1">
      <c r="A80" s="273" t="s">
        <v>128</v>
      </c>
      <c r="B80" s="1124" t="s">
        <v>127</v>
      </c>
      <c r="C80" s="1125"/>
      <c r="D80" s="333">
        <f t="shared" ref="D80:D82" si="52">(((+G80+J80)+M80)+P80)</f>
        <v>0</v>
      </c>
      <c r="E80" s="333">
        <f t="shared" si="51"/>
        <v>0</v>
      </c>
      <c r="F80" s="333">
        <f t="shared" si="51"/>
        <v>0</v>
      </c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</row>
    <row r="81" spans="1:18" ht="15" customHeight="1">
      <c r="A81" s="273" t="s">
        <v>130</v>
      </c>
      <c r="B81" s="1124" t="s">
        <v>456</v>
      </c>
      <c r="C81" s="1125"/>
      <c r="D81" s="333">
        <f t="shared" si="52"/>
        <v>0</v>
      </c>
      <c r="E81" s="333">
        <f t="shared" si="51"/>
        <v>0</v>
      </c>
      <c r="F81" s="333">
        <f t="shared" si="51"/>
        <v>0</v>
      </c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</row>
    <row r="82" spans="1:18" ht="15" customHeight="1">
      <c r="A82" s="273" t="s">
        <v>132</v>
      </c>
      <c r="B82" s="1124" t="s">
        <v>131</v>
      </c>
      <c r="C82" s="1125"/>
      <c r="D82" s="333">
        <f t="shared" si="52"/>
        <v>0</v>
      </c>
      <c r="E82" s="333">
        <f t="shared" si="51"/>
        <v>0</v>
      </c>
      <c r="F82" s="333">
        <f t="shared" si="51"/>
        <v>0</v>
      </c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</row>
    <row r="83" spans="1:18" ht="15" customHeight="1">
      <c r="A83" s="334" t="s">
        <v>133</v>
      </c>
      <c r="B83" s="1126" t="s">
        <v>313</v>
      </c>
      <c r="C83" s="1127"/>
      <c r="D83" s="335">
        <f t="shared" ref="D83:R83" si="53">SUM(D79:D82)</f>
        <v>0</v>
      </c>
      <c r="E83" s="335">
        <f t="shared" ref="E83:F83" si="54">SUM(E79:E82)</f>
        <v>0</v>
      </c>
      <c r="F83" s="335">
        <f t="shared" si="54"/>
        <v>0</v>
      </c>
      <c r="G83" s="335">
        <f t="shared" si="53"/>
        <v>0</v>
      </c>
      <c r="H83" s="335">
        <f t="shared" si="53"/>
        <v>0</v>
      </c>
      <c r="I83" s="335">
        <f t="shared" si="53"/>
        <v>0</v>
      </c>
      <c r="J83" s="335">
        <f t="shared" si="53"/>
        <v>0</v>
      </c>
      <c r="K83" s="335">
        <f t="shared" si="53"/>
        <v>0</v>
      </c>
      <c r="L83" s="335">
        <f t="shared" si="53"/>
        <v>0</v>
      </c>
      <c r="M83" s="335">
        <f t="shared" si="53"/>
        <v>0</v>
      </c>
      <c r="N83" s="335">
        <f t="shared" si="53"/>
        <v>0</v>
      </c>
      <c r="O83" s="335">
        <f t="shared" si="53"/>
        <v>0</v>
      </c>
      <c r="P83" s="335">
        <f t="shared" si="53"/>
        <v>0</v>
      </c>
      <c r="Q83" s="335">
        <f t="shared" si="53"/>
        <v>0</v>
      </c>
      <c r="R83" s="335">
        <f t="shared" si="53"/>
        <v>0</v>
      </c>
    </row>
    <row r="84" spans="1:18">
      <c r="A84" s="274"/>
      <c r="B84" s="837"/>
      <c r="C84" s="837"/>
      <c r="D84" s="275"/>
      <c r="E84" s="275"/>
      <c r="F84" s="275"/>
      <c r="G84" s="277"/>
      <c r="H84" s="275"/>
      <c r="I84" s="276"/>
      <c r="J84" s="277"/>
      <c r="K84" s="275"/>
      <c r="L84" s="276"/>
      <c r="M84" s="277"/>
      <c r="N84" s="275"/>
      <c r="O84" s="276"/>
      <c r="P84" s="277"/>
      <c r="Q84" s="275"/>
      <c r="R84" s="276"/>
    </row>
    <row r="85" spans="1:18" ht="15" customHeight="1">
      <c r="A85" s="334" t="s">
        <v>135</v>
      </c>
      <c r="B85" s="1126" t="s">
        <v>159</v>
      </c>
      <c r="C85" s="1127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</row>
    <row r="86" spans="1:18" ht="15.75" customHeight="1" thickBot="1">
      <c r="A86" s="296"/>
      <c r="B86" s="297"/>
      <c r="C86" s="297"/>
      <c r="D86" s="298"/>
      <c r="E86" s="298"/>
      <c r="F86" s="298"/>
      <c r="G86" s="300"/>
      <c r="H86" s="298"/>
      <c r="I86" s="299"/>
      <c r="J86" s="300"/>
      <c r="K86" s="298"/>
      <c r="L86" s="299"/>
      <c r="M86" s="300"/>
      <c r="N86" s="298"/>
      <c r="O86" s="299"/>
      <c r="P86" s="300"/>
      <c r="Q86" s="298"/>
      <c r="R86" s="299"/>
    </row>
    <row r="87" spans="1:18" ht="15.75" customHeight="1" thickBot="1">
      <c r="A87" s="301" t="s">
        <v>136</v>
      </c>
      <c r="B87" s="1121" t="s">
        <v>457</v>
      </c>
      <c r="C87" s="1122"/>
      <c r="D87" s="302">
        <f>+D85+D83+D77+D66+D60+D26+D24</f>
        <v>57152</v>
      </c>
      <c r="E87" s="302">
        <f t="shared" ref="E87:R87" si="55">+E85+E83+E77+E66+E60+E26+E24</f>
        <v>10856</v>
      </c>
      <c r="F87" s="302">
        <f t="shared" si="55"/>
        <v>68008</v>
      </c>
      <c r="G87" s="302">
        <f t="shared" si="55"/>
        <v>35973</v>
      </c>
      <c r="H87" s="302">
        <f>+H85+H83+H77+H66+H60+H26+H24</f>
        <v>10795</v>
      </c>
      <c r="I87" s="302">
        <f t="shared" si="55"/>
        <v>46768</v>
      </c>
      <c r="J87" s="302">
        <f t="shared" si="55"/>
        <v>7297</v>
      </c>
      <c r="K87" s="302">
        <f t="shared" si="55"/>
        <v>0</v>
      </c>
      <c r="L87" s="302">
        <f t="shared" si="55"/>
        <v>7297</v>
      </c>
      <c r="M87" s="302">
        <f t="shared" si="55"/>
        <v>4156</v>
      </c>
      <c r="N87" s="302">
        <f t="shared" si="55"/>
        <v>0</v>
      </c>
      <c r="O87" s="302">
        <f t="shared" si="55"/>
        <v>4156</v>
      </c>
      <c r="P87" s="302">
        <f t="shared" si="55"/>
        <v>9726</v>
      </c>
      <c r="Q87" s="302">
        <f t="shared" si="55"/>
        <v>61</v>
      </c>
      <c r="R87" s="302">
        <f t="shared" si="55"/>
        <v>9787</v>
      </c>
    </row>
  </sheetData>
  <mergeCells count="76">
    <mergeCell ref="B11:C11"/>
    <mergeCell ref="A2:A4"/>
    <mergeCell ref="B87:C87"/>
    <mergeCell ref="B40:C40"/>
    <mergeCell ref="B20:C20"/>
    <mergeCell ref="B16:C16"/>
    <mergeCell ref="B55:C55"/>
    <mergeCell ref="B56:C56"/>
    <mergeCell ref="B45:C45"/>
    <mergeCell ref="B62:C62"/>
    <mergeCell ref="B57:C57"/>
    <mergeCell ref="B64:C64"/>
    <mergeCell ref="B77:C77"/>
    <mergeCell ref="B70:C70"/>
    <mergeCell ref="B66:C66"/>
    <mergeCell ref="B69:C69"/>
    <mergeCell ref="J2:L2"/>
    <mergeCell ref="G3:I3"/>
    <mergeCell ref="M2:O2"/>
    <mergeCell ref="P2:R2"/>
    <mergeCell ref="J3:L3"/>
    <mergeCell ref="M3:O3"/>
    <mergeCell ref="P3:R3"/>
    <mergeCell ref="B35:C35"/>
    <mergeCell ref="B36:C36"/>
    <mergeCell ref="B37:C37"/>
    <mergeCell ref="B38:C38"/>
    <mergeCell ref="G2:I2"/>
    <mergeCell ref="D2:F3"/>
    <mergeCell ref="B2:C4"/>
    <mergeCell ref="B5:C5"/>
    <mergeCell ref="B17:C17"/>
    <mergeCell ref="B9:C9"/>
    <mergeCell ref="B6:C6"/>
    <mergeCell ref="B7:C7"/>
    <mergeCell ref="B8:C8"/>
    <mergeCell ref="B12:C12"/>
    <mergeCell ref="B13:C13"/>
    <mergeCell ref="B10:C10"/>
    <mergeCell ref="B85:C85"/>
    <mergeCell ref="B58:C58"/>
    <mergeCell ref="B59:C59"/>
    <mergeCell ref="B75:C75"/>
    <mergeCell ref="B60:C60"/>
    <mergeCell ref="B83:C83"/>
    <mergeCell ref="B79:C79"/>
    <mergeCell ref="B81:C81"/>
    <mergeCell ref="B72:C72"/>
    <mergeCell ref="B74:C74"/>
    <mergeCell ref="B73:C73"/>
    <mergeCell ref="B80:C80"/>
    <mergeCell ref="B82:C82"/>
    <mergeCell ref="B76:C76"/>
    <mergeCell ref="B48:C48"/>
    <mergeCell ref="B49:C49"/>
    <mergeCell ref="B50:C50"/>
    <mergeCell ref="B53:C53"/>
    <mergeCell ref="B54:C54"/>
    <mergeCell ref="B52:C52"/>
    <mergeCell ref="B51:C51"/>
    <mergeCell ref="P1:R1"/>
    <mergeCell ref="B41:C41"/>
    <mergeCell ref="B42:C42"/>
    <mergeCell ref="B43:C43"/>
    <mergeCell ref="B44:C44"/>
    <mergeCell ref="B22:C22"/>
    <mergeCell ref="B26:C26"/>
    <mergeCell ref="B21:C21"/>
    <mergeCell ref="B23:C23"/>
    <mergeCell ref="B14:C14"/>
    <mergeCell ref="B15:C15"/>
    <mergeCell ref="B24:C24"/>
    <mergeCell ref="B18:C18"/>
    <mergeCell ref="B19:C19"/>
    <mergeCell ref="B34:C34"/>
    <mergeCell ref="B39:C39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7" fitToHeight="2" orientation="portrait" cellComments="asDisplayed" r:id="rId1"/>
  <headerFooter>
    <oddHeader>&amp;C&amp;"Times New Roman,Félkövér"&amp;12Martonvásár Város Önkormányzatának kiadásai 2016.
Brunszvik-Beehtoven Kulturális Központ&amp;R&amp;"Times New Roman,Félkövér"&amp;12 6.c melléklet</oddHeader>
  </headerFooter>
  <rowBreaks count="1" manualBreakCount="1">
    <brk id="6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4"/>
  <sheetViews>
    <sheetView workbookViewId="0">
      <selection activeCell="D55" sqref="D55"/>
    </sheetView>
  </sheetViews>
  <sheetFormatPr defaultColWidth="9.109375" defaultRowHeight="13.2"/>
  <cols>
    <col min="1" max="1" width="6.88671875" style="253" customWidth="1"/>
    <col min="2" max="2" width="50.109375" style="253" customWidth="1"/>
    <col min="3" max="3" width="10.44140625" style="253" customWidth="1"/>
    <col min="4" max="4" width="9.5546875" style="255" bestFit="1" customWidth="1"/>
    <col min="5" max="5" width="10.33203125" style="255" customWidth="1"/>
    <col min="6" max="6" width="7.88671875" style="255" bestFit="1" customWidth="1"/>
    <col min="7" max="7" width="8.5546875" style="266" bestFit="1" customWidth="1"/>
    <col min="8" max="8" width="11.6640625" style="255" customWidth="1"/>
    <col min="9" max="16384" width="9.109375" style="253"/>
  </cols>
  <sheetData>
    <row r="1" spans="1:8" ht="14.25" customHeight="1">
      <c r="B1" s="254"/>
      <c r="G1" s="1143" t="s">
        <v>406</v>
      </c>
      <c r="H1" s="1143"/>
    </row>
    <row r="2" spans="1:8" s="254" customFormat="1" ht="39.6">
      <c r="A2" s="246" t="s">
        <v>348</v>
      </c>
      <c r="B2" s="246" t="s">
        <v>349</v>
      </c>
      <c r="C2" s="246" t="s">
        <v>755</v>
      </c>
      <c r="D2" s="246" t="s">
        <v>745</v>
      </c>
      <c r="E2" s="246" t="s">
        <v>917</v>
      </c>
      <c r="F2" s="246" t="s">
        <v>350</v>
      </c>
      <c r="G2" s="246" t="s">
        <v>351</v>
      </c>
      <c r="H2" s="256" t="s">
        <v>401</v>
      </c>
    </row>
    <row r="3" spans="1:8">
      <c r="A3" s="257">
        <v>1</v>
      </c>
      <c r="B3" s="256"/>
      <c r="C3" s="256"/>
      <c r="D3" s="258"/>
      <c r="E3" s="258"/>
      <c r="F3" s="258"/>
      <c r="G3" s="258"/>
      <c r="H3" s="258"/>
    </row>
    <row r="4" spans="1:8" ht="12.75" customHeight="1">
      <c r="A4" s="257">
        <v>2</v>
      </c>
      <c r="B4" s="248"/>
      <c r="C4" s="207"/>
      <c r="D4" s="207"/>
      <c r="E4" s="207"/>
      <c r="F4" s="207"/>
      <c r="G4" s="207"/>
      <c r="H4" s="249"/>
    </row>
    <row r="5" spans="1:8" s="259" customFormat="1" ht="12.75" customHeight="1">
      <c r="A5" s="915">
        <v>3</v>
      </c>
      <c r="B5" s="247" t="s">
        <v>439</v>
      </c>
      <c r="C5" s="251"/>
      <c r="D5" s="251"/>
      <c r="E5" s="251"/>
      <c r="F5" s="251"/>
      <c r="G5" s="251"/>
      <c r="H5" s="251"/>
    </row>
    <row r="6" spans="1:8" ht="12.75" customHeight="1">
      <c r="A6" s="257">
        <v>4</v>
      </c>
      <c r="B6" s="205"/>
      <c r="C6" s="204"/>
      <c r="D6" s="208"/>
      <c r="E6" s="208"/>
      <c r="F6" s="204"/>
      <c r="G6" s="204"/>
      <c r="H6" s="261"/>
    </row>
    <row r="7" spans="1:8" s="259" customFormat="1" ht="12.75" customHeight="1">
      <c r="A7" s="915">
        <v>5</v>
      </c>
      <c r="B7" s="260" t="s">
        <v>353</v>
      </c>
      <c r="C7" s="251"/>
      <c r="D7" s="251"/>
      <c r="E7" s="251"/>
      <c r="F7" s="251"/>
      <c r="G7" s="251"/>
      <c r="H7" s="251"/>
    </row>
    <row r="8" spans="1:8" s="259" customFormat="1" ht="12.75" customHeight="1" thickBot="1">
      <c r="A8" s="257">
        <v>6</v>
      </c>
      <c r="B8" s="536"/>
      <c r="C8" s="537"/>
      <c r="D8" s="537"/>
      <c r="E8" s="537"/>
      <c r="F8" s="537"/>
      <c r="G8" s="537"/>
      <c r="H8" s="537"/>
    </row>
    <row r="9" spans="1:8" ht="12.75" customHeight="1" thickBot="1">
      <c r="A9" s="914">
        <v>7</v>
      </c>
      <c r="B9" s="533" t="s">
        <v>438</v>
      </c>
      <c r="C9" s="541"/>
      <c r="D9" s="535"/>
      <c r="E9" s="535"/>
      <c r="F9" s="535"/>
      <c r="G9" s="535"/>
      <c r="H9" s="916"/>
    </row>
    <row r="10" spans="1:8" ht="12.75" customHeight="1">
      <c r="A10" s="257">
        <v>8</v>
      </c>
      <c r="B10" s="917"/>
      <c r="C10" s="538"/>
      <c r="D10" s="539"/>
      <c r="E10" s="539"/>
      <c r="F10" s="539"/>
      <c r="G10" s="539"/>
      <c r="H10" s="540"/>
    </row>
    <row r="11" spans="1:8" ht="12.75" customHeight="1">
      <c r="A11" s="915">
        <v>9</v>
      </c>
      <c r="B11" s="260" t="s">
        <v>354</v>
      </c>
      <c r="C11" s="207">
        <f t="shared" ref="C11:H11" si="0">+SUM(C12:C56)</f>
        <v>76609</v>
      </c>
      <c r="D11" s="207">
        <f t="shared" si="0"/>
        <v>103483</v>
      </c>
      <c r="E11" s="207">
        <f t="shared" si="0"/>
        <v>180092</v>
      </c>
      <c r="F11" s="207">
        <f t="shared" si="0"/>
        <v>0</v>
      </c>
      <c r="G11" s="207">
        <f t="shared" si="0"/>
        <v>0</v>
      </c>
      <c r="H11" s="207">
        <f t="shared" si="0"/>
        <v>0</v>
      </c>
    </row>
    <row r="12" spans="1:8" ht="12.75" customHeight="1">
      <c r="A12" s="257">
        <v>10</v>
      </c>
      <c r="B12" s="526" t="s">
        <v>615</v>
      </c>
      <c r="C12" s="913">
        <f>+'[4]7.mell. Beruházás'!E12</f>
        <v>320</v>
      </c>
      <c r="D12" s="208"/>
      <c r="E12" s="208">
        <f>+C12+D12</f>
        <v>320</v>
      </c>
      <c r="F12" s="208"/>
      <c r="G12" s="208"/>
      <c r="H12" s="261"/>
    </row>
    <row r="13" spans="1:8" ht="12.75" customHeight="1">
      <c r="A13" s="257">
        <v>11</v>
      </c>
      <c r="B13" s="526" t="s">
        <v>884</v>
      </c>
      <c r="C13" s="913">
        <f>+'[4]7.mell. Beruházás'!E13</f>
        <v>953</v>
      </c>
      <c r="D13" s="208"/>
      <c r="E13" s="208">
        <f t="shared" ref="E13:E56" si="1">+C13+D13</f>
        <v>953</v>
      </c>
      <c r="F13" s="208"/>
      <c r="G13" s="208"/>
      <c r="H13" s="261"/>
    </row>
    <row r="14" spans="1:8" ht="12.75" customHeight="1">
      <c r="A14" s="257">
        <v>12</v>
      </c>
      <c r="B14" s="526" t="s">
        <v>885</v>
      </c>
      <c r="C14" s="913">
        <f>+'[4]7.mell. Beruházás'!E14</f>
        <v>1270</v>
      </c>
      <c r="D14" s="208"/>
      <c r="E14" s="208">
        <f t="shared" si="1"/>
        <v>1270</v>
      </c>
      <c r="F14" s="208"/>
      <c r="G14" s="208"/>
      <c r="H14" s="261"/>
    </row>
    <row r="15" spans="1:8" ht="12.75" customHeight="1">
      <c r="A15" s="257">
        <v>13</v>
      </c>
      <c r="B15" s="526" t="s">
        <v>886</v>
      </c>
      <c r="C15" s="913">
        <f>+'[4]7.mell. Beruházás'!E15</f>
        <v>2159</v>
      </c>
      <c r="D15" s="208"/>
      <c r="E15" s="208">
        <f t="shared" si="1"/>
        <v>2159</v>
      </c>
      <c r="F15" s="208"/>
      <c r="G15" s="208"/>
      <c r="H15" s="261"/>
    </row>
    <row r="16" spans="1:8" ht="12.75" customHeight="1">
      <c r="A16" s="257">
        <v>14</v>
      </c>
      <c r="B16" s="526" t="s">
        <v>794</v>
      </c>
      <c r="C16" s="913">
        <f>+'[4]7.mell. Beruházás'!E16</f>
        <v>1499</v>
      </c>
      <c r="D16" s="208"/>
      <c r="E16" s="208">
        <f t="shared" si="1"/>
        <v>1499</v>
      </c>
      <c r="F16" s="208"/>
      <c r="G16" s="208"/>
      <c r="H16" s="261"/>
    </row>
    <row r="17" spans="1:8" ht="12.75" customHeight="1">
      <c r="A17" s="257">
        <v>15</v>
      </c>
      <c r="B17" s="526" t="s">
        <v>795</v>
      </c>
      <c r="C17" s="913">
        <f>+'[4]7.mell. Beruházás'!E17</f>
        <v>1499</v>
      </c>
      <c r="D17" s="208"/>
      <c r="E17" s="208">
        <f t="shared" si="1"/>
        <v>1499</v>
      </c>
      <c r="F17" s="208"/>
      <c r="G17" s="208"/>
      <c r="H17" s="261"/>
    </row>
    <row r="18" spans="1:8" ht="12.75" customHeight="1">
      <c r="A18" s="257">
        <v>16</v>
      </c>
      <c r="B18" s="526" t="s">
        <v>796</v>
      </c>
      <c r="C18" s="913">
        <f>+'[4]7.mell. Beruházás'!E18</f>
        <v>3175</v>
      </c>
      <c r="D18" s="208"/>
      <c r="E18" s="208">
        <f t="shared" si="1"/>
        <v>3175</v>
      </c>
      <c r="F18" s="208"/>
      <c r="G18" s="208"/>
      <c r="H18" s="261"/>
    </row>
    <row r="19" spans="1:8" ht="12.75" customHeight="1">
      <c r="A19" s="257">
        <v>17</v>
      </c>
      <c r="B19" s="526" t="s">
        <v>797</v>
      </c>
      <c r="C19" s="913">
        <f>+'[4]7.mell. Beruházás'!E19</f>
        <v>6750</v>
      </c>
      <c r="D19" s="208"/>
      <c r="E19" s="208">
        <f t="shared" si="1"/>
        <v>6750</v>
      </c>
      <c r="F19" s="208"/>
      <c r="G19" s="208"/>
      <c r="H19" s="261"/>
    </row>
    <row r="20" spans="1:8" ht="12.75" customHeight="1">
      <c r="A20" s="257">
        <v>18</v>
      </c>
      <c r="B20" s="526" t="s">
        <v>798</v>
      </c>
      <c r="C20" s="913">
        <f>+'[4]7.mell. Beruházás'!E20</f>
        <v>31742</v>
      </c>
      <c r="D20" s="208">
        <v>862</v>
      </c>
      <c r="E20" s="208">
        <f t="shared" si="1"/>
        <v>32604</v>
      </c>
      <c r="F20" s="208"/>
      <c r="G20" s="208"/>
      <c r="H20" s="261"/>
    </row>
    <row r="21" spans="1:8" ht="12.75" customHeight="1">
      <c r="A21" s="257">
        <v>19</v>
      </c>
      <c r="B21" s="526" t="s">
        <v>887</v>
      </c>
      <c r="C21" s="913">
        <f>+'[4]7.mell. Beruházás'!E21</f>
        <v>152</v>
      </c>
      <c r="D21" s="208"/>
      <c r="E21" s="208">
        <f t="shared" si="1"/>
        <v>152</v>
      </c>
      <c r="F21" s="208"/>
      <c r="G21" s="208"/>
      <c r="H21" s="261"/>
    </row>
    <row r="22" spans="1:8" ht="12.75" customHeight="1">
      <c r="A22" s="257">
        <v>20</v>
      </c>
      <c r="B22" s="526" t="s">
        <v>888</v>
      </c>
      <c r="C22" s="913">
        <f>+'[4]7.mell. Beruházás'!E22</f>
        <v>381</v>
      </c>
      <c r="D22" s="208"/>
      <c r="E22" s="208">
        <f t="shared" si="1"/>
        <v>381</v>
      </c>
      <c r="F22" s="208"/>
      <c r="G22" s="208"/>
      <c r="H22" s="261"/>
    </row>
    <row r="23" spans="1:8" ht="12.75" customHeight="1">
      <c r="A23" s="257">
        <v>21</v>
      </c>
      <c r="B23" s="526" t="s">
        <v>889</v>
      </c>
      <c r="C23" s="913">
        <f>+'[4]7.mell. Beruházás'!E23</f>
        <v>15000</v>
      </c>
      <c r="D23" s="208"/>
      <c r="E23" s="208">
        <f t="shared" si="1"/>
        <v>15000</v>
      </c>
      <c r="F23" s="208"/>
      <c r="G23" s="208"/>
      <c r="H23" s="261"/>
    </row>
    <row r="24" spans="1:8" ht="12.75" customHeight="1">
      <c r="A24" s="257">
        <v>22</v>
      </c>
      <c r="B24" s="526" t="s">
        <v>890</v>
      </c>
      <c r="C24" s="913">
        <f>+'[4]7.mell. Beruházás'!E24</f>
        <v>665</v>
      </c>
      <c r="D24" s="208"/>
      <c r="E24" s="208">
        <f t="shared" si="1"/>
        <v>665</v>
      </c>
      <c r="F24" s="208"/>
      <c r="G24" s="208"/>
      <c r="H24" s="261"/>
    </row>
    <row r="25" spans="1:8" ht="12.75" customHeight="1">
      <c r="A25" s="257">
        <v>23</v>
      </c>
      <c r="B25" s="526" t="s">
        <v>793</v>
      </c>
      <c r="C25" s="913">
        <f>+'[4]7.mell. Beruházás'!E25</f>
        <v>100</v>
      </c>
      <c r="D25" s="208"/>
      <c r="E25" s="208">
        <f t="shared" si="1"/>
        <v>100</v>
      </c>
      <c r="F25" s="208"/>
      <c r="G25" s="208"/>
      <c r="H25" s="261"/>
    </row>
    <row r="26" spans="1:8" ht="12.75" customHeight="1">
      <c r="A26" s="257">
        <v>24</v>
      </c>
      <c r="B26" s="526" t="s">
        <v>891</v>
      </c>
      <c r="C26" s="913">
        <f>+'[4]7.mell. Beruházás'!E26</f>
        <v>1346</v>
      </c>
      <c r="D26" s="208"/>
      <c r="E26" s="208">
        <f t="shared" si="1"/>
        <v>1346</v>
      </c>
      <c r="F26" s="208"/>
      <c r="G26" s="208"/>
      <c r="H26" s="261"/>
    </row>
    <row r="27" spans="1:8" ht="12.75" customHeight="1">
      <c r="A27" s="257">
        <v>25</v>
      </c>
      <c r="B27" s="526" t="s">
        <v>892</v>
      </c>
      <c r="C27" s="913">
        <f>+'[4]7.mell. Beruházás'!E27</f>
        <v>53</v>
      </c>
      <c r="D27" s="208"/>
      <c r="E27" s="208">
        <f t="shared" si="1"/>
        <v>53</v>
      </c>
      <c r="F27" s="208"/>
      <c r="G27" s="208"/>
      <c r="H27" s="261"/>
    </row>
    <row r="28" spans="1:8" ht="12.75" customHeight="1">
      <c r="A28" s="257">
        <v>26</v>
      </c>
      <c r="B28" s="526" t="s">
        <v>893</v>
      </c>
      <c r="C28" s="913">
        <f>+'[4]7.mell. Beruházás'!E28</f>
        <v>279</v>
      </c>
      <c r="D28" s="208"/>
      <c r="E28" s="208">
        <f t="shared" si="1"/>
        <v>279</v>
      </c>
      <c r="F28" s="208"/>
      <c r="G28" s="208"/>
      <c r="H28" s="261"/>
    </row>
    <row r="29" spans="1:8" ht="12.75" customHeight="1">
      <c r="A29" s="257">
        <v>27</v>
      </c>
      <c r="B29" s="526" t="s">
        <v>894</v>
      </c>
      <c r="C29" s="913">
        <f>+'[4]7.mell. Beruházás'!E29</f>
        <v>300</v>
      </c>
      <c r="D29" s="208"/>
      <c r="E29" s="208">
        <f t="shared" si="1"/>
        <v>300</v>
      </c>
      <c r="F29" s="208"/>
      <c r="G29" s="208"/>
      <c r="H29" s="261"/>
    </row>
    <row r="30" spans="1:8" ht="12.75" customHeight="1">
      <c r="A30" s="257">
        <v>28</v>
      </c>
      <c r="B30" s="526" t="s">
        <v>895</v>
      </c>
      <c r="C30" s="913">
        <f>+'[4]7.mell. Beruházás'!E30</f>
        <v>1600</v>
      </c>
      <c r="D30" s="208"/>
      <c r="E30" s="208">
        <f t="shared" si="1"/>
        <v>1600</v>
      </c>
      <c r="F30" s="208"/>
      <c r="G30" s="208"/>
      <c r="H30" s="261"/>
    </row>
    <row r="31" spans="1:8" ht="12.75" customHeight="1">
      <c r="A31" s="257">
        <v>29</v>
      </c>
      <c r="B31" s="526" t="s">
        <v>896</v>
      </c>
      <c r="C31" s="913">
        <f>+'[4]7.mell. Beruházás'!E31</f>
        <v>3000</v>
      </c>
      <c r="D31" s="208"/>
      <c r="E31" s="208">
        <f t="shared" si="1"/>
        <v>3000</v>
      </c>
      <c r="F31" s="208"/>
      <c r="G31" s="208"/>
      <c r="H31" s="261"/>
    </row>
    <row r="32" spans="1:8" ht="12.75" customHeight="1">
      <c r="A32" s="257">
        <v>30</v>
      </c>
      <c r="B32" s="526" t="s">
        <v>897</v>
      </c>
      <c r="C32" s="913">
        <f>+'[4]7.mell. Beruházás'!E32</f>
        <v>55</v>
      </c>
      <c r="D32" s="208"/>
      <c r="E32" s="208">
        <f t="shared" si="1"/>
        <v>55</v>
      </c>
      <c r="F32" s="208"/>
      <c r="G32" s="208"/>
      <c r="H32" s="261"/>
    </row>
    <row r="33" spans="1:8" ht="12.75" customHeight="1">
      <c r="A33" s="257">
        <v>31</v>
      </c>
      <c r="B33" s="526" t="s">
        <v>898</v>
      </c>
      <c r="C33" s="913">
        <f>+'[4]7.mell. Beruházás'!E33</f>
        <v>493</v>
      </c>
      <c r="D33" s="208"/>
      <c r="E33" s="208">
        <f t="shared" si="1"/>
        <v>493</v>
      </c>
      <c r="F33" s="208"/>
      <c r="G33" s="208"/>
      <c r="H33" s="261"/>
    </row>
    <row r="34" spans="1:8" ht="12.75" customHeight="1">
      <c r="A34" s="257">
        <v>32</v>
      </c>
      <c r="B34" s="526" t="s">
        <v>899</v>
      </c>
      <c r="C34" s="913">
        <f>+'[4]7.mell. Beruházás'!E34</f>
        <v>953</v>
      </c>
      <c r="D34" s="208"/>
      <c r="E34" s="208">
        <f t="shared" si="1"/>
        <v>953</v>
      </c>
      <c r="F34" s="208"/>
      <c r="G34" s="208"/>
      <c r="H34" s="261"/>
    </row>
    <row r="35" spans="1:8" ht="12.75" customHeight="1">
      <c r="A35" s="257">
        <v>33</v>
      </c>
      <c r="B35" s="526" t="s">
        <v>900</v>
      </c>
      <c r="C35" s="913">
        <f>+'[4]7.mell. Beruházás'!E35</f>
        <v>150</v>
      </c>
      <c r="D35" s="208"/>
      <c r="E35" s="208">
        <f t="shared" si="1"/>
        <v>150</v>
      </c>
      <c r="F35" s="208"/>
      <c r="G35" s="208"/>
      <c r="H35" s="261"/>
    </row>
    <row r="36" spans="1:8" ht="12.75" customHeight="1">
      <c r="A36" s="257">
        <v>34</v>
      </c>
      <c r="B36" s="526" t="s">
        <v>901</v>
      </c>
      <c r="C36" s="913">
        <f>+'[4]7.mell. Beruházás'!E36</f>
        <v>10</v>
      </c>
      <c r="D36" s="208"/>
      <c r="E36" s="208">
        <f t="shared" si="1"/>
        <v>10</v>
      </c>
      <c r="F36" s="208"/>
      <c r="G36" s="208"/>
      <c r="H36" s="261"/>
    </row>
    <row r="37" spans="1:8" ht="12.75" customHeight="1">
      <c r="A37" s="257">
        <v>35</v>
      </c>
      <c r="B37" s="526" t="s">
        <v>902</v>
      </c>
      <c r="C37" s="913">
        <f>+'[4]7.mell. Beruházás'!E37</f>
        <v>494</v>
      </c>
      <c r="D37" s="208"/>
      <c r="E37" s="208">
        <f t="shared" si="1"/>
        <v>494</v>
      </c>
      <c r="F37" s="208"/>
      <c r="G37" s="208"/>
      <c r="H37" s="261"/>
    </row>
    <row r="38" spans="1:8" ht="12.75" customHeight="1">
      <c r="A38" s="257">
        <v>36</v>
      </c>
      <c r="B38" s="526" t="s">
        <v>903</v>
      </c>
      <c r="C38" s="913">
        <f>+'[4]7.mell. Beruházás'!E38</f>
        <v>565</v>
      </c>
      <c r="D38" s="208"/>
      <c r="E38" s="208">
        <f t="shared" si="1"/>
        <v>565</v>
      </c>
      <c r="F38" s="208"/>
      <c r="G38" s="208"/>
      <c r="H38" s="261"/>
    </row>
    <row r="39" spans="1:8" ht="12.75" customHeight="1">
      <c r="A39" s="257">
        <v>37</v>
      </c>
      <c r="B39" s="526" t="s">
        <v>904</v>
      </c>
      <c r="C39" s="913">
        <f>+'[4]7.mell. Beruházás'!E39</f>
        <v>1632</v>
      </c>
      <c r="D39" s="208"/>
      <c r="E39" s="208">
        <f t="shared" si="1"/>
        <v>1632</v>
      </c>
      <c r="F39" s="208"/>
      <c r="G39" s="208"/>
      <c r="H39" s="261"/>
    </row>
    <row r="40" spans="1:8" ht="12.75" customHeight="1">
      <c r="A40" s="257">
        <v>38</v>
      </c>
      <c r="B40" s="526" t="s">
        <v>905</v>
      </c>
      <c r="C40" s="913">
        <f>+'[4]7.mell. Beruházás'!E40</f>
        <v>14</v>
      </c>
      <c r="D40" s="208"/>
      <c r="E40" s="208">
        <f t="shared" si="1"/>
        <v>14</v>
      </c>
      <c r="F40" s="208"/>
      <c r="G40" s="208"/>
      <c r="H40" s="261"/>
    </row>
    <row r="41" spans="1:8" ht="12.75" customHeight="1">
      <c r="A41" s="257">
        <v>39</v>
      </c>
      <c r="B41" s="526" t="s">
        <v>1062</v>
      </c>
      <c r="C41" s="207"/>
      <c r="D41" s="208">
        <f>9986+1524</f>
        <v>11510</v>
      </c>
      <c r="E41" s="208">
        <f t="shared" si="1"/>
        <v>11510</v>
      </c>
      <c r="F41" s="208"/>
      <c r="G41" s="208"/>
      <c r="H41" s="261"/>
    </row>
    <row r="42" spans="1:8" ht="12.75" customHeight="1">
      <c r="A42" s="257">
        <v>40</v>
      </c>
      <c r="B42" s="526" t="s">
        <v>1177</v>
      </c>
      <c r="C42" s="207"/>
      <c r="D42" s="208">
        <v>728</v>
      </c>
      <c r="E42" s="208">
        <f t="shared" si="1"/>
        <v>728</v>
      </c>
      <c r="F42" s="208"/>
      <c r="G42" s="208"/>
      <c r="H42" s="261"/>
    </row>
    <row r="43" spans="1:8" ht="12.75" customHeight="1">
      <c r="A43" s="257">
        <v>41</v>
      </c>
      <c r="B43" s="526" t="s">
        <v>1112</v>
      </c>
      <c r="C43" s="207"/>
      <c r="D43" s="208">
        <v>704</v>
      </c>
      <c r="E43" s="208">
        <f t="shared" si="1"/>
        <v>704</v>
      </c>
      <c r="F43" s="208"/>
      <c r="G43" s="208"/>
      <c r="H43" s="261"/>
    </row>
    <row r="44" spans="1:8" ht="12.75" customHeight="1">
      <c r="A44" s="257">
        <v>42</v>
      </c>
      <c r="B44" s="526" t="s">
        <v>1178</v>
      </c>
      <c r="C44" s="207"/>
      <c r="D44" s="208">
        <v>3150</v>
      </c>
      <c r="E44" s="208">
        <f t="shared" si="1"/>
        <v>3150</v>
      </c>
      <c r="F44" s="208"/>
      <c r="G44" s="208"/>
      <c r="H44" s="261"/>
    </row>
    <row r="45" spans="1:8" ht="12.75" customHeight="1">
      <c r="A45" s="257">
        <v>43</v>
      </c>
      <c r="B45" s="526" t="s">
        <v>1179</v>
      </c>
      <c r="C45" s="207"/>
      <c r="D45" s="208">
        <v>33366</v>
      </c>
      <c r="E45" s="208">
        <f t="shared" ref="E45:E48" si="2">+C45+D45</f>
        <v>33366</v>
      </c>
      <c r="F45" s="208"/>
      <c r="G45" s="208"/>
      <c r="H45" s="261"/>
    </row>
    <row r="46" spans="1:8" ht="12.75" customHeight="1">
      <c r="A46" s="257">
        <v>44</v>
      </c>
      <c r="B46" s="526" t="s">
        <v>1130</v>
      </c>
      <c r="C46" s="207"/>
      <c r="D46" s="208">
        <v>176</v>
      </c>
      <c r="E46" s="208">
        <f t="shared" si="2"/>
        <v>176</v>
      </c>
      <c r="F46" s="208"/>
      <c r="G46" s="208"/>
      <c r="H46" s="261"/>
    </row>
    <row r="47" spans="1:8" ht="12.75" customHeight="1">
      <c r="A47" s="257">
        <v>45</v>
      </c>
      <c r="B47" s="526" t="s">
        <v>1180</v>
      </c>
      <c r="C47" s="207"/>
      <c r="D47" s="208">
        <v>661</v>
      </c>
      <c r="E47" s="208">
        <f t="shared" si="2"/>
        <v>661</v>
      </c>
      <c r="F47" s="208"/>
      <c r="G47" s="208"/>
      <c r="H47" s="261"/>
    </row>
    <row r="48" spans="1:8" ht="12.75" customHeight="1">
      <c r="A48" s="257">
        <v>46</v>
      </c>
      <c r="B48" s="526" t="s">
        <v>1181</v>
      </c>
      <c r="C48" s="207"/>
      <c r="D48" s="208">
        <v>30000</v>
      </c>
      <c r="E48" s="208">
        <f t="shared" si="2"/>
        <v>30000</v>
      </c>
      <c r="F48" s="208"/>
      <c r="G48" s="208"/>
      <c r="H48" s="261"/>
    </row>
    <row r="49" spans="1:8" ht="12.75" customHeight="1">
      <c r="A49" s="257">
        <v>47</v>
      </c>
      <c r="B49" s="526" t="s">
        <v>1138</v>
      </c>
      <c r="C49" s="207"/>
      <c r="D49" s="208">
        <v>7000</v>
      </c>
      <c r="E49" s="208">
        <f t="shared" ref="E49:E52" si="3">+C49+D49</f>
        <v>7000</v>
      </c>
      <c r="F49" s="208"/>
      <c r="G49" s="208"/>
      <c r="H49" s="261"/>
    </row>
    <row r="50" spans="1:8" ht="12.75" customHeight="1">
      <c r="A50" s="257">
        <v>48</v>
      </c>
      <c r="B50" s="526" t="s">
        <v>1139</v>
      </c>
      <c r="C50" s="207"/>
      <c r="D50" s="208">
        <v>9804</v>
      </c>
      <c r="E50" s="208">
        <f t="shared" si="3"/>
        <v>9804</v>
      </c>
      <c r="F50" s="208"/>
      <c r="G50" s="208"/>
      <c r="H50" s="261"/>
    </row>
    <row r="51" spans="1:8" ht="12.75" customHeight="1">
      <c r="A51" s="257">
        <v>49</v>
      </c>
      <c r="B51" s="526" t="s">
        <v>1140</v>
      </c>
      <c r="C51" s="207"/>
      <c r="D51" s="208">
        <v>1245</v>
      </c>
      <c r="E51" s="208">
        <f t="shared" si="3"/>
        <v>1245</v>
      </c>
      <c r="F51" s="208"/>
      <c r="G51" s="208"/>
      <c r="H51" s="261"/>
    </row>
    <row r="52" spans="1:8" ht="12.75" customHeight="1">
      <c r="A52" s="257">
        <v>50</v>
      </c>
      <c r="B52" s="526" t="s">
        <v>1182</v>
      </c>
      <c r="C52" s="207"/>
      <c r="D52" s="208">
        <v>850</v>
      </c>
      <c r="E52" s="208">
        <f t="shared" si="3"/>
        <v>850</v>
      </c>
      <c r="F52" s="208"/>
      <c r="G52" s="208"/>
      <c r="H52" s="261"/>
    </row>
    <row r="53" spans="1:8" ht="12.75" customHeight="1">
      <c r="A53" s="257">
        <v>51</v>
      </c>
      <c r="B53" s="526" t="s">
        <v>1183</v>
      </c>
      <c r="C53" s="207"/>
      <c r="D53" s="208">
        <v>1199</v>
      </c>
      <c r="E53" s="208">
        <f t="shared" si="1"/>
        <v>1199</v>
      </c>
      <c r="F53" s="208"/>
      <c r="G53" s="208"/>
      <c r="H53" s="261"/>
    </row>
    <row r="54" spans="1:8" ht="12.75" customHeight="1">
      <c r="A54" s="257">
        <v>52</v>
      </c>
      <c r="B54" s="526" t="s">
        <v>1184</v>
      </c>
      <c r="C54" s="207"/>
      <c r="D54" s="208">
        <v>2228</v>
      </c>
      <c r="E54" s="208">
        <f t="shared" ref="E54" si="4">+C54+D54</f>
        <v>2228</v>
      </c>
      <c r="F54" s="208"/>
      <c r="G54" s="208"/>
      <c r="H54" s="261"/>
    </row>
    <row r="55" spans="1:8" ht="12.75" customHeight="1">
      <c r="A55" s="257">
        <v>53</v>
      </c>
      <c r="B55" s="526"/>
      <c r="C55" s="207"/>
      <c r="D55" s="208"/>
      <c r="E55" s="208">
        <f t="shared" ref="E55" si="5">+C55+D55</f>
        <v>0</v>
      </c>
      <c r="F55" s="208"/>
      <c r="G55" s="208"/>
      <c r="H55" s="261"/>
    </row>
    <row r="56" spans="1:8" ht="12.75" customHeight="1">
      <c r="A56" s="257">
        <v>54</v>
      </c>
      <c r="B56" s="526"/>
      <c r="C56" s="207"/>
      <c r="D56" s="208"/>
      <c r="E56" s="208">
        <f t="shared" si="1"/>
        <v>0</v>
      </c>
      <c r="F56" s="208"/>
      <c r="G56" s="208"/>
      <c r="H56" s="261"/>
    </row>
    <row r="57" spans="1:8" ht="12.75" customHeight="1">
      <c r="A57" s="1226">
        <v>55</v>
      </c>
      <c r="B57" s="260" t="s">
        <v>355</v>
      </c>
      <c r="C57" s="204"/>
      <c r="D57" s="209"/>
      <c r="E57" s="209"/>
      <c r="F57" s="209"/>
      <c r="G57" s="209"/>
      <c r="H57" s="250"/>
    </row>
    <row r="58" spans="1:8" ht="12.75" customHeight="1" thickBot="1">
      <c r="A58" s="1227">
        <v>56</v>
      </c>
      <c r="B58" s="526"/>
      <c r="C58" s="527"/>
      <c r="D58" s="528"/>
      <c r="E58" s="528"/>
      <c r="F58" s="528"/>
      <c r="G58" s="528"/>
      <c r="H58" s="529"/>
    </row>
    <row r="59" spans="1:8" s="259" customFormat="1" ht="12.75" customHeight="1" thickBot="1">
      <c r="A59" s="1229">
        <v>57</v>
      </c>
      <c r="B59" s="533" t="s">
        <v>356</v>
      </c>
      <c r="C59" s="534">
        <f t="shared" ref="C59:H59" si="6">+C57+C11</f>
        <v>76609</v>
      </c>
      <c r="D59" s="534">
        <f t="shared" si="6"/>
        <v>103483</v>
      </c>
      <c r="E59" s="534">
        <f t="shared" si="6"/>
        <v>180092</v>
      </c>
      <c r="F59" s="534">
        <f t="shared" si="6"/>
        <v>0</v>
      </c>
      <c r="G59" s="534">
        <f t="shared" si="6"/>
        <v>0</v>
      </c>
      <c r="H59" s="534">
        <f t="shared" si="6"/>
        <v>0</v>
      </c>
    </row>
    <row r="60" spans="1:8" ht="12.75" customHeight="1">
      <c r="A60" s="1228">
        <v>58</v>
      </c>
      <c r="B60" s="530"/>
      <c r="C60" s="531"/>
      <c r="D60" s="532"/>
      <c r="E60" s="532"/>
      <c r="F60" s="532"/>
      <c r="G60" s="532"/>
      <c r="H60" s="532"/>
    </row>
    <row r="61" spans="1:8" ht="12.75" customHeight="1">
      <c r="A61" s="1226">
        <v>59</v>
      </c>
      <c r="B61" s="210" t="s">
        <v>357</v>
      </c>
      <c r="C61" s="204"/>
      <c r="D61" s="209"/>
      <c r="E61" s="209"/>
      <c r="F61" s="209"/>
      <c r="G61" s="209"/>
      <c r="H61" s="209"/>
    </row>
    <row r="62" spans="1:8" ht="12.75" customHeight="1">
      <c r="A62" s="257">
        <v>60</v>
      </c>
      <c r="B62" s="262"/>
      <c r="C62" s="207"/>
      <c r="D62" s="208"/>
      <c r="E62" s="208"/>
      <c r="F62" s="208"/>
      <c r="G62" s="208"/>
      <c r="H62" s="261"/>
    </row>
    <row r="63" spans="1:8" ht="12.75" customHeight="1">
      <c r="A63" s="1226">
        <v>61</v>
      </c>
      <c r="B63" s="210" t="s">
        <v>359</v>
      </c>
      <c r="C63" s="204"/>
      <c r="D63" s="251"/>
      <c r="E63" s="251"/>
      <c r="F63" s="251"/>
      <c r="G63" s="251"/>
      <c r="H63" s="251"/>
    </row>
    <row r="64" spans="1:8" ht="12.75" customHeight="1">
      <c r="A64" s="257">
        <v>62</v>
      </c>
      <c r="B64" s="210"/>
      <c r="C64" s="204"/>
      <c r="D64" s="209"/>
      <c r="E64" s="209"/>
      <c r="F64" s="209"/>
      <c r="G64" s="209"/>
      <c r="H64" s="250"/>
    </row>
    <row r="65" spans="1:8" ht="12.75" customHeight="1">
      <c r="A65" s="1226">
        <v>63</v>
      </c>
      <c r="B65" s="210" t="s">
        <v>608</v>
      </c>
      <c r="C65" s="204"/>
      <c r="D65" s="209"/>
      <c r="E65" s="209"/>
      <c r="F65" s="209"/>
      <c r="G65" s="209"/>
      <c r="H65" s="250"/>
    </row>
    <row r="66" spans="1:8" ht="12.75" customHeight="1">
      <c r="A66" s="257">
        <v>64</v>
      </c>
      <c r="B66" s="206" t="s">
        <v>609</v>
      </c>
      <c r="C66" s="913">
        <f>+'[4]7.mell. Beruházás'!E51</f>
        <v>3200</v>
      </c>
      <c r="D66" s="208"/>
      <c r="E66" s="208">
        <f>+C66+D66</f>
        <v>3200</v>
      </c>
      <c r="F66" s="208"/>
      <c r="G66" s="208"/>
      <c r="H66" s="261"/>
    </row>
    <row r="67" spans="1:8" ht="12.75" customHeight="1">
      <c r="A67" s="257">
        <v>65</v>
      </c>
      <c r="B67" s="206" t="s">
        <v>610</v>
      </c>
      <c r="C67" s="913">
        <f>+'[4]7.mell. Beruházás'!E52</f>
        <v>0</v>
      </c>
      <c r="D67" s="208"/>
      <c r="E67" s="208"/>
      <c r="F67" s="208"/>
      <c r="G67" s="208"/>
      <c r="H67" s="261"/>
    </row>
    <row r="68" spans="1:8" ht="12.75" customHeight="1">
      <c r="A68" s="257">
        <v>66</v>
      </c>
      <c r="B68" s="206" t="s">
        <v>611</v>
      </c>
      <c r="C68" s="913">
        <f>+'[4]7.mell. Beruházás'!E53</f>
        <v>17</v>
      </c>
      <c r="D68" s="208"/>
      <c r="E68" s="208">
        <f>+C68+D68</f>
        <v>17</v>
      </c>
      <c r="F68" s="208"/>
      <c r="G68" s="208"/>
      <c r="H68" s="261"/>
    </row>
    <row r="69" spans="1:8" ht="12.75" customHeight="1">
      <c r="A69" s="257">
        <v>67</v>
      </c>
      <c r="B69" s="526" t="s">
        <v>612</v>
      </c>
      <c r="C69" s="913">
        <f>+'[4]7.mell. Beruházás'!E54</f>
        <v>0</v>
      </c>
      <c r="D69" s="528"/>
      <c r="E69" s="528"/>
      <c r="F69" s="528"/>
      <c r="G69" s="528"/>
      <c r="H69" s="529"/>
    </row>
    <row r="70" spans="1:8" ht="12.75" customHeight="1">
      <c r="A70" s="257">
        <v>68</v>
      </c>
      <c r="B70" s="526" t="s">
        <v>613</v>
      </c>
      <c r="C70" s="913">
        <f>+'[4]7.mell. Beruházás'!E55</f>
        <v>466</v>
      </c>
      <c r="D70" s="528">
        <v>515</v>
      </c>
      <c r="E70" s="208">
        <f>+C70+D70</f>
        <v>981</v>
      </c>
      <c r="F70" s="528"/>
      <c r="G70" s="528"/>
      <c r="H70" s="529"/>
    </row>
    <row r="71" spans="1:8" ht="12.75" customHeight="1" thickBot="1">
      <c r="A71" s="1227">
        <v>69</v>
      </c>
      <c r="B71" s="526" t="s">
        <v>614</v>
      </c>
      <c r="C71" s="913">
        <f>+'[4]7.mell. Beruházás'!E56</f>
        <v>2733</v>
      </c>
      <c r="D71" s="528">
        <f>276-559-12</f>
        <v>-295</v>
      </c>
      <c r="E71" s="528">
        <f>+C71+D71</f>
        <v>2438</v>
      </c>
      <c r="F71" s="528"/>
      <c r="G71" s="528"/>
      <c r="H71" s="529"/>
    </row>
    <row r="72" spans="1:8" s="259" customFormat="1" ht="12.75" customHeight="1" thickBot="1">
      <c r="A72" s="1229">
        <v>70</v>
      </c>
      <c r="B72" s="533" t="s">
        <v>360</v>
      </c>
      <c r="C72" s="534">
        <f>SUM(C66:C71)</f>
        <v>6416</v>
      </c>
      <c r="D72" s="534">
        <f t="shared" ref="D72:H72" si="7">SUM(D66:D71)</f>
        <v>220</v>
      </c>
      <c r="E72" s="534">
        <f t="shared" si="7"/>
        <v>6636</v>
      </c>
      <c r="F72" s="534">
        <f t="shared" si="7"/>
        <v>0</v>
      </c>
      <c r="G72" s="534">
        <f t="shared" si="7"/>
        <v>0</v>
      </c>
      <c r="H72" s="534">
        <f t="shared" si="7"/>
        <v>0</v>
      </c>
    </row>
    <row r="73" spans="1:8" s="259" customFormat="1" ht="13.5" customHeight="1" thickBot="1">
      <c r="A73" s="1229">
        <v>71</v>
      </c>
      <c r="B73" s="918" t="s">
        <v>363</v>
      </c>
      <c r="C73" s="919">
        <f>+C72+C59</f>
        <v>83025</v>
      </c>
      <c r="D73" s="919">
        <f t="shared" ref="D73:H73" si="8">+D72+D59</f>
        <v>103703</v>
      </c>
      <c r="E73" s="919">
        <f t="shared" si="8"/>
        <v>186728</v>
      </c>
      <c r="F73" s="919">
        <f t="shared" si="8"/>
        <v>0</v>
      </c>
      <c r="G73" s="919">
        <f t="shared" si="8"/>
        <v>0</v>
      </c>
      <c r="H73" s="920">
        <f t="shared" si="8"/>
        <v>0</v>
      </c>
    </row>
    <row r="74" spans="1:8" ht="13.5" customHeight="1">
      <c r="B74" s="211"/>
      <c r="C74" s="263"/>
      <c r="D74" s="264"/>
      <c r="E74" s="264"/>
      <c r="F74" s="264"/>
      <c r="G74" s="264"/>
      <c r="H74" s="265"/>
    </row>
  </sheetData>
  <mergeCells count="1">
    <mergeCell ref="G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&amp;C&amp;"Times New Roman,Félkövér"&amp;12Martonvásár Város Önkormányzat beruházási (felhalmozási) célú kiadásai
előirányzata feladatonként    &amp;R&amp;"Times New Roman,Félkövér"&amp;10 7.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workbookViewId="0">
      <selection activeCell="F16" sqref="F16"/>
    </sheetView>
  </sheetViews>
  <sheetFormatPr defaultColWidth="53.109375" defaultRowHeight="14.4"/>
  <cols>
    <col min="1" max="1" width="5.5546875" style="115" customWidth="1"/>
    <col min="2" max="2" width="53.109375" style="116" customWidth="1"/>
    <col min="3" max="3" width="13.6640625" style="115" customWidth="1"/>
    <col min="4" max="4" width="13.44140625" style="115" customWidth="1"/>
    <col min="5" max="5" width="13.33203125" style="115" customWidth="1"/>
    <col min="6" max="6" width="11.33203125" style="115" customWidth="1"/>
    <col min="7" max="7" width="11.88671875" style="115" customWidth="1"/>
    <col min="8" max="8" width="11.6640625" style="148" customWidth="1"/>
    <col min="9" max="16384" width="53.109375" style="115"/>
  </cols>
  <sheetData>
    <row r="1" spans="1:8" ht="12.75" customHeight="1" thickBot="1">
      <c r="G1" s="1144" t="s">
        <v>406</v>
      </c>
      <c r="H1" s="1144"/>
    </row>
    <row r="2" spans="1:8" s="144" customFormat="1" ht="39.75" customHeight="1" thickBot="1">
      <c r="A2" s="142" t="s">
        <v>364</v>
      </c>
      <c r="B2" s="117" t="s">
        <v>365</v>
      </c>
      <c r="C2" s="117" t="s">
        <v>301</v>
      </c>
      <c r="D2" s="117" t="s">
        <v>745</v>
      </c>
      <c r="E2" s="117" t="s">
        <v>917</v>
      </c>
      <c r="F2" s="117" t="s">
        <v>350</v>
      </c>
      <c r="G2" s="117" t="s">
        <v>351</v>
      </c>
      <c r="H2" s="143" t="s">
        <v>178</v>
      </c>
    </row>
    <row r="3" spans="1:8" s="148" customFormat="1" ht="12.75" customHeight="1">
      <c r="A3" s="145">
        <v>1</v>
      </c>
      <c r="B3" s="146" t="s">
        <v>302</v>
      </c>
      <c r="C3" s="146" t="s">
        <v>310</v>
      </c>
      <c r="D3" s="146" t="s">
        <v>303</v>
      </c>
      <c r="E3" s="146" t="s">
        <v>304</v>
      </c>
      <c r="F3" s="146" t="s">
        <v>305</v>
      </c>
      <c r="G3" s="146" t="s">
        <v>306</v>
      </c>
      <c r="H3" s="147" t="s">
        <v>352</v>
      </c>
    </row>
    <row r="4" spans="1:8" s="148" customFormat="1" ht="12.75" customHeight="1">
      <c r="A4" s="149">
        <v>2</v>
      </c>
      <c r="B4" s="150" t="s">
        <v>366</v>
      </c>
      <c r="C4" s="151"/>
      <c r="D4" s="151"/>
      <c r="E4" s="151"/>
      <c r="F4" s="151"/>
      <c r="G4" s="151"/>
      <c r="H4" s="152"/>
    </row>
    <row r="5" spans="1:8" ht="13.5" customHeight="1">
      <c r="A5" s="149">
        <v>3</v>
      </c>
      <c r="B5" s="132"/>
      <c r="C5" s="153"/>
      <c r="D5" s="154"/>
      <c r="E5" s="155"/>
      <c r="F5" s="155"/>
      <c r="G5" s="155"/>
      <c r="H5" s="156"/>
    </row>
    <row r="6" spans="1:8" ht="12.75" customHeight="1">
      <c r="A6" s="149">
        <v>4</v>
      </c>
      <c r="B6" s="157"/>
      <c r="C6" s="153"/>
      <c r="D6" s="154"/>
      <c r="E6" s="155"/>
      <c r="F6" s="155"/>
      <c r="G6" s="155"/>
      <c r="H6" s="156"/>
    </row>
    <row r="7" spans="1:8" ht="12.75" customHeight="1" thickBot="1">
      <c r="A7" s="158">
        <v>5</v>
      </c>
      <c r="B7" s="133"/>
      <c r="C7" s="159"/>
      <c r="D7" s="160"/>
      <c r="E7" s="161"/>
      <c r="F7" s="161"/>
      <c r="G7" s="161"/>
      <c r="H7" s="162"/>
    </row>
    <row r="8" spans="1:8" ht="12.75" customHeight="1" thickBot="1">
      <c r="A8" s="163">
        <v>6</v>
      </c>
      <c r="B8" s="118" t="s">
        <v>367</v>
      </c>
      <c r="C8" s="164"/>
      <c r="D8" s="165"/>
      <c r="E8" s="126"/>
      <c r="F8" s="126"/>
      <c r="G8" s="126"/>
      <c r="H8" s="166"/>
    </row>
    <row r="9" spans="1:8" ht="12.75" customHeight="1">
      <c r="A9" s="145">
        <v>7</v>
      </c>
      <c r="B9" s="167" t="s">
        <v>440</v>
      </c>
      <c r="C9" s="168"/>
      <c r="D9" s="169"/>
      <c r="E9" s="127"/>
      <c r="F9" s="127"/>
      <c r="G9" s="127"/>
      <c r="H9" s="170"/>
    </row>
    <row r="10" spans="1:8" ht="12.75" customHeight="1" thickBot="1">
      <c r="A10" s="158">
        <v>8</v>
      </c>
      <c r="B10" s="133"/>
      <c r="C10" s="159"/>
      <c r="D10" s="160"/>
      <c r="E10" s="161"/>
      <c r="F10" s="161"/>
      <c r="G10" s="161"/>
      <c r="H10" s="162"/>
    </row>
    <row r="11" spans="1:8" ht="12.75" customHeight="1" thickBot="1">
      <c r="A11" s="163">
        <v>9</v>
      </c>
      <c r="B11" s="131" t="s">
        <v>353</v>
      </c>
      <c r="C11" s="164"/>
      <c r="D11" s="165"/>
      <c r="E11" s="126"/>
      <c r="F11" s="126"/>
      <c r="G11" s="126"/>
      <c r="H11" s="166"/>
    </row>
    <row r="12" spans="1:8" ht="12.75" customHeight="1">
      <c r="A12" s="145">
        <v>10</v>
      </c>
      <c r="B12" s="167" t="s">
        <v>368</v>
      </c>
      <c r="C12" s="168">
        <f>+SUM(C13:C14)</f>
        <v>5663</v>
      </c>
      <c r="D12" s="168">
        <f t="shared" ref="D12:E12" si="0">+SUM(D13:D14)</f>
        <v>0</v>
      </c>
      <c r="E12" s="168">
        <f t="shared" si="0"/>
        <v>5663</v>
      </c>
      <c r="F12" s="127"/>
      <c r="G12" s="127"/>
      <c r="H12" s="170"/>
    </row>
    <row r="13" spans="1:8" ht="12.75" customHeight="1">
      <c r="A13" s="149">
        <v>11</v>
      </c>
      <c r="B13" s="206" t="s">
        <v>906</v>
      </c>
      <c r="C13" s="207">
        <f>+'[4]8.mell. Felújítás'!$E13</f>
        <v>5418</v>
      </c>
      <c r="D13" s="208"/>
      <c r="E13" s="207">
        <f>+C13+D13</f>
        <v>5418</v>
      </c>
      <c r="F13" s="207"/>
      <c r="G13" s="119"/>
      <c r="H13" s="156"/>
    </row>
    <row r="14" spans="1:8" ht="12.75" customHeight="1">
      <c r="A14" s="149">
        <v>12</v>
      </c>
      <c r="B14" s="206" t="s">
        <v>907</v>
      </c>
      <c r="C14" s="207">
        <f>+'[4]8.mell. Felújítás'!$E14</f>
        <v>245</v>
      </c>
      <c r="D14" s="208"/>
      <c r="E14" s="207">
        <f>+C14+D14</f>
        <v>245</v>
      </c>
      <c r="F14" s="207"/>
      <c r="G14" s="119"/>
      <c r="H14" s="156"/>
    </row>
    <row r="15" spans="1:8" ht="12.75" customHeight="1">
      <c r="A15" s="149">
        <v>13</v>
      </c>
      <c r="B15" s="206" t="s">
        <v>1175</v>
      </c>
      <c r="C15" s="173"/>
      <c r="D15" s="1224">
        <v>486</v>
      </c>
      <c r="E15" s="207">
        <f>+C15+D15</f>
        <v>486</v>
      </c>
      <c r="F15" s="130"/>
      <c r="G15" s="130"/>
      <c r="H15" s="175"/>
    </row>
    <row r="16" spans="1:8" ht="12.75" customHeight="1" thickBot="1">
      <c r="A16" s="158">
        <v>14</v>
      </c>
      <c r="B16" s="206" t="s">
        <v>1176</v>
      </c>
      <c r="C16" s="207"/>
      <c r="D16" s="1225">
        <v>31340</v>
      </c>
      <c r="E16" s="207">
        <f>+C16+D16</f>
        <v>31340</v>
      </c>
      <c r="F16" s="207"/>
      <c r="G16" s="123"/>
      <c r="H16" s="162"/>
    </row>
    <row r="17" spans="1:8" ht="12.75" customHeight="1" thickBot="1">
      <c r="A17" s="163">
        <v>15</v>
      </c>
      <c r="B17" s="134" t="s">
        <v>369</v>
      </c>
      <c r="C17" s="135">
        <f>SUM(C13:C16)</f>
        <v>5663</v>
      </c>
      <c r="D17" s="135">
        <f t="shared" ref="D17:E17" si="1">SUM(D13:D16)</f>
        <v>31826</v>
      </c>
      <c r="E17" s="135">
        <f t="shared" si="1"/>
        <v>37489</v>
      </c>
      <c r="F17" s="135">
        <f>SUM(F13:F16)</f>
        <v>0</v>
      </c>
      <c r="G17" s="135">
        <f>SUM(G13:G13)</f>
        <v>0</v>
      </c>
      <c r="H17" s="136">
        <f>SUM(H13:H13)</f>
        <v>0</v>
      </c>
    </row>
    <row r="18" spans="1:8" ht="12.75" customHeight="1">
      <c r="A18" s="145">
        <v>16</v>
      </c>
      <c r="B18" s="137" t="s">
        <v>357</v>
      </c>
      <c r="C18" s="138"/>
      <c r="D18" s="177"/>
      <c r="E18" s="138"/>
      <c r="F18" s="138"/>
      <c r="G18" s="138"/>
      <c r="H18" s="170"/>
    </row>
    <row r="19" spans="1:8" ht="12.75" customHeight="1">
      <c r="A19" s="149">
        <v>17</v>
      </c>
      <c r="B19" s="132"/>
      <c r="C19" s="119"/>
      <c r="D19" s="172"/>
      <c r="E19" s="119"/>
      <c r="F19" s="119"/>
      <c r="G19" s="119"/>
      <c r="H19" s="156"/>
    </row>
    <row r="20" spans="1:8" ht="12.75" customHeight="1">
      <c r="A20" s="149">
        <v>18</v>
      </c>
      <c r="B20" s="129" t="s">
        <v>358</v>
      </c>
      <c r="C20" s="173"/>
      <c r="D20" s="174"/>
      <c r="E20" s="130"/>
      <c r="F20" s="130"/>
      <c r="G20" s="130"/>
      <c r="H20" s="175"/>
    </row>
    <row r="21" spans="1:8" ht="12.75" customHeight="1">
      <c r="A21" s="149">
        <v>19</v>
      </c>
      <c r="B21" s="129"/>
      <c r="C21" s="173"/>
      <c r="D21" s="174"/>
      <c r="E21" s="130"/>
      <c r="F21" s="130"/>
      <c r="G21" s="130"/>
      <c r="H21" s="175"/>
    </row>
    <row r="22" spans="1:8" ht="12.75" customHeight="1" thickBot="1">
      <c r="A22" s="158">
        <v>20</v>
      </c>
      <c r="B22" s="122"/>
      <c r="C22" s="123"/>
      <c r="D22" s="176"/>
      <c r="E22" s="123"/>
      <c r="F22" s="123"/>
      <c r="G22" s="123"/>
      <c r="H22" s="162">
        <f>SUM(F22:G22)</f>
        <v>0</v>
      </c>
    </row>
    <row r="23" spans="1:8" ht="12.75" customHeight="1" thickBot="1">
      <c r="A23" s="163">
        <v>21</v>
      </c>
      <c r="B23" s="134" t="s">
        <v>359</v>
      </c>
      <c r="C23" s="135"/>
      <c r="D23" s="140">
        <f>SUM(D21:D22)</f>
        <v>0</v>
      </c>
      <c r="E23" s="140">
        <f>SUM(E21:E22)</f>
        <v>0</v>
      </c>
      <c r="F23" s="140">
        <f>SUM(F21:F22)</f>
        <v>0</v>
      </c>
      <c r="G23" s="140">
        <f>SUM(G21:G22)</f>
        <v>0</v>
      </c>
      <c r="H23" s="141">
        <f>SUM(H21:H22)</f>
        <v>0</v>
      </c>
    </row>
    <row r="24" spans="1:8" ht="12.75" customHeight="1">
      <c r="A24" s="145">
        <v>22</v>
      </c>
      <c r="B24" s="137" t="s">
        <v>370</v>
      </c>
      <c r="C24" s="138"/>
      <c r="D24" s="177"/>
      <c r="E24" s="138"/>
      <c r="F24" s="138"/>
      <c r="G24" s="138"/>
      <c r="H24" s="170"/>
    </row>
    <row r="25" spans="1:8" ht="12.75" customHeight="1" thickBot="1">
      <c r="A25" s="158">
        <v>23</v>
      </c>
      <c r="B25" s="178"/>
      <c r="C25" s="123"/>
      <c r="D25" s="179"/>
      <c r="E25" s="123"/>
      <c r="F25" s="123"/>
      <c r="G25" s="123"/>
      <c r="H25" s="162"/>
    </row>
    <row r="26" spans="1:8" ht="12.75" customHeight="1" thickBot="1">
      <c r="A26" s="163">
        <v>24</v>
      </c>
      <c r="B26" s="134" t="s">
        <v>371</v>
      </c>
      <c r="C26" s="135"/>
      <c r="D26" s="140">
        <f>SUM(D25:D25)</f>
        <v>0</v>
      </c>
      <c r="E26" s="140">
        <f>SUM(E25:E25)</f>
        <v>0</v>
      </c>
      <c r="F26" s="140">
        <f>SUM(F25:F25)</f>
        <v>0</v>
      </c>
      <c r="G26" s="140">
        <f>SUM(G25:G25)</f>
        <v>0</v>
      </c>
      <c r="H26" s="141">
        <f>SUM(H25:H25)</f>
        <v>0</v>
      </c>
    </row>
    <row r="27" spans="1:8" ht="12.75" customHeight="1">
      <c r="A27" s="145">
        <v>25</v>
      </c>
      <c r="B27" s="137" t="s">
        <v>361</v>
      </c>
      <c r="C27" s="138"/>
      <c r="D27" s="139"/>
      <c r="E27" s="139"/>
      <c r="F27" s="139"/>
      <c r="G27" s="138"/>
      <c r="H27" s="128"/>
    </row>
    <row r="28" spans="1:8" ht="12.75" customHeight="1">
      <c r="A28" s="149">
        <v>26</v>
      </c>
      <c r="B28" s="171"/>
      <c r="C28" s="119"/>
      <c r="D28" s="120"/>
      <c r="E28" s="120"/>
      <c r="F28" s="120"/>
      <c r="G28" s="119"/>
      <c r="H28" s="121"/>
    </row>
    <row r="29" spans="1:8" ht="12.75" customHeight="1" thickBot="1">
      <c r="A29" s="158">
        <v>27</v>
      </c>
      <c r="B29" s="178"/>
      <c r="C29" s="123"/>
      <c r="D29" s="124"/>
      <c r="E29" s="124"/>
      <c r="F29" s="124"/>
      <c r="G29" s="123"/>
      <c r="H29" s="125"/>
    </row>
    <row r="30" spans="1:8" s="181" customFormat="1" ht="12.75" customHeight="1" thickBot="1">
      <c r="A30" s="163">
        <v>28</v>
      </c>
      <c r="B30" s="134" t="s">
        <v>362</v>
      </c>
      <c r="C30" s="135"/>
      <c r="D30" s="140"/>
      <c r="E30" s="140"/>
      <c r="F30" s="140"/>
      <c r="G30" s="135"/>
      <c r="H30" s="180"/>
    </row>
    <row r="31" spans="1:8" ht="12.75" customHeight="1">
      <c r="A31" s="145">
        <v>29</v>
      </c>
      <c r="B31" s="182"/>
      <c r="C31" s="183"/>
      <c r="D31" s="184"/>
      <c r="E31" s="184"/>
      <c r="F31" s="184"/>
      <c r="G31" s="183"/>
      <c r="H31" s="185"/>
    </row>
    <row r="32" spans="1:8" s="181" customFormat="1" ht="12.75" customHeight="1" thickBot="1">
      <c r="A32" s="158">
        <v>30</v>
      </c>
      <c r="B32" s="186"/>
      <c r="C32" s="187"/>
      <c r="D32" s="188"/>
      <c r="E32" s="188"/>
      <c r="F32" s="188"/>
      <c r="G32" s="187"/>
      <c r="H32" s="189"/>
    </row>
    <row r="33" spans="1:8" s="181" customFormat="1" ht="12.75" customHeight="1" thickBot="1">
      <c r="A33" s="163">
        <v>31</v>
      </c>
      <c r="B33" s="190" t="s">
        <v>372</v>
      </c>
      <c r="C33" s="191">
        <f t="shared" ref="C33:H33" si="2">+C30+C26+C23+C20+C17</f>
        <v>5663</v>
      </c>
      <c r="D33" s="191">
        <f t="shared" si="2"/>
        <v>31826</v>
      </c>
      <c r="E33" s="191">
        <f t="shared" si="2"/>
        <v>37489</v>
      </c>
      <c r="F33" s="191">
        <f t="shared" si="2"/>
        <v>0</v>
      </c>
      <c r="G33" s="191">
        <f t="shared" si="2"/>
        <v>0</v>
      </c>
      <c r="H33" s="166">
        <f t="shared" si="2"/>
        <v>0</v>
      </c>
    </row>
  </sheetData>
  <mergeCells count="1">
    <mergeCell ref="G1:H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&amp;C&amp;"Times New Roman,Félkövér"&amp;12Martonvásár Város Önkormányzat felújítási (felhalmozási) célú kiadásai
előirányzata feladatonként      &amp;R&amp;"Times New Roman,Félkövér"&amp;10 8.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5" sqref="E5"/>
    </sheetView>
  </sheetViews>
  <sheetFormatPr defaultRowHeight="14.4"/>
  <cols>
    <col min="1" max="1" width="7.88671875" bestFit="1" customWidth="1"/>
    <col min="2" max="2" width="29.5546875" customWidth="1"/>
    <col min="3" max="3" width="13" customWidth="1"/>
    <col min="4" max="4" width="13.5546875" customWidth="1"/>
    <col min="5" max="5" width="13.6640625" customWidth="1"/>
  </cols>
  <sheetData>
    <row r="1" spans="1:5" ht="14.4" customHeight="1">
      <c r="A1" s="1145" t="s">
        <v>373</v>
      </c>
      <c r="B1" s="1147" t="s">
        <v>280</v>
      </c>
      <c r="C1" s="1149" t="s">
        <v>872</v>
      </c>
      <c r="D1" s="1149" t="s">
        <v>745</v>
      </c>
      <c r="E1" s="1151" t="s">
        <v>918</v>
      </c>
    </row>
    <row r="2" spans="1:5">
      <c r="A2" s="1146"/>
      <c r="B2" s="1148"/>
      <c r="C2" s="1150"/>
      <c r="D2" s="1150"/>
      <c r="E2" s="1152"/>
    </row>
    <row r="3" spans="1:5">
      <c r="A3" s="1146"/>
      <c r="B3" s="1148"/>
      <c r="C3" s="1150"/>
      <c r="D3" s="1150"/>
      <c r="E3" s="1152"/>
    </row>
    <row r="4" spans="1:5">
      <c r="A4" s="1146"/>
      <c r="B4" s="1148"/>
      <c r="C4" s="1150"/>
      <c r="D4" s="1150"/>
      <c r="E4" s="1152"/>
    </row>
    <row r="5" spans="1:5">
      <c r="A5" s="871" t="s">
        <v>302</v>
      </c>
      <c r="B5" s="872" t="s">
        <v>310</v>
      </c>
      <c r="C5" s="873" t="s">
        <v>303</v>
      </c>
      <c r="D5" s="873" t="s">
        <v>304</v>
      </c>
      <c r="E5" s="874" t="s">
        <v>305</v>
      </c>
    </row>
    <row r="6" spans="1:5">
      <c r="A6" s="192">
        <v>1</v>
      </c>
      <c r="B6" s="193" t="s">
        <v>262</v>
      </c>
      <c r="C6" s="193">
        <v>1</v>
      </c>
      <c r="D6" s="193"/>
      <c r="E6" s="194">
        <f>+C6+D6</f>
        <v>1</v>
      </c>
    </row>
    <row r="7" spans="1:5">
      <c r="A7" s="192">
        <v>2</v>
      </c>
      <c r="B7" s="193" t="s">
        <v>374</v>
      </c>
      <c r="C7" s="193"/>
      <c r="D7" s="193"/>
      <c r="E7" s="194"/>
    </row>
    <row r="8" spans="1:5">
      <c r="A8" s="192">
        <v>3</v>
      </c>
      <c r="B8" s="195" t="s">
        <v>290</v>
      </c>
      <c r="C8" s="195">
        <v>35</v>
      </c>
      <c r="D8" s="195"/>
      <c r="E8" s="196">
        <f>+C8+D8</f>
        <v>35</v>
      </c>
    </row>
    <row r="9" spans="1:5">
      <c r="A9" s="192">
        <v>4</v>
      </c>
      <c r="B9" s="195" t="s">
        <v>375</v>
      </c>
      <c r="C9" s="195">
        <v>6</v>
      </c>
      <c r="D9" s="195"/>
      <c r="E9" s="196">
        <f>+C9+D9</f>
        <v>6</v>
      </c>
    </row>
    <row r="10" spans="1:5">
      <c r="A10" s="192">
        <v>5</v>
      </c>
      <c r="B10" s="193" t="s">
        <v>376</v>
      </c>
      <c r="C10" s="197">
        <f t="shared" ref="C10:D10" si="0">SUM(C8:C9)</f>
        <v>41</v>
      </c>
      <c r="D10" s="197">
        <f t="shared" si="0"/>
        <v>0</v>
      </c>
      <c r="E10" s="907">
        <f t="shared" ref="E10" si="1">SUM(E8:E9)</f>
        <v>41</v>
      </c>
    </row>
    <row r="11" spans="1:5">
      <c r="A11" s="192">
        <v>6</v>
      </c>
      <c r="B11" s="193" t="s">
        <v>402</v>
      </c>
      <c r="C11" s="193">
        <v>26.5</v>
      </c>
      <c r="D11" s="193"/>
      <c r="E11" s="194">
        <f>+C11+D11</f>
        <v>26.5</v>
      </c>
    </row>
    <row r="12" spans="1:5">
      <c r="A12" s="192"/>
      <c r="B12" s="193" t="s">
        <v>682</v>
      </c>
      <c r="C12" s="193">
        <v>1</v>
      </c>
      <c r="D12" s="193"/>
      <c r="E12" s="194">
        <f>+C12+D12</f>
        <v>1</v>
      </c>
    </row>
    <row r="13" spans="1:5">
      <c r="A13" s="192">
        <v>7</v>
      </c>
      <c r="B13" s="193" t="s">
        <v>377</v>
      </c>
      <c r="C13" s="193">
        <v>3</v>
      </c>
      <c r="D13" s="193"/>
      <c r="E13" s="194">
        <f>+C13+D13</f>
        <v>3</v>
      </c>
    </row>
    <row r="14" spans="1:5">
      <c r="A14" s="192">
        <v>8</v>
      </c>
      <c r="B14" s="193" t="s">
        <v>378</v>
      </c>
      <c r="C14" s="193">
        <v>1</v>
      </c>
      <c r="D14" s="193"/>
      <c r="E14" s="194">
        <f>+C14+D14</f>
        <v>1</v>
      </c>
    </row>
    <row r="15" spans="1:5">
      <c r="A15" s="192">
        <v>9</v>
      </c>
      <c r="B15" s="193" t="s">
        <v>379</v>
      </c>
      <c r="C15" s="193">
        <v>12</v>
      </c>
      <c r="D15" s="193"/>
      <c r="E15" s="194">
        <f>+C15+D15</f>
        <v>12</v>
      </c>
    </row>
    <row r="16" spans="1:5" ht="15" thickBot="1">
      <c r="A16" s="198">
        <v>10</v>
      </c>
      <c r="B16" s="908" t="s">
        <v>380</v>
      </c>
      <c r="C16" s="199">
        <f>SUM(C10:C15)+C6</f>
        <v>85.5</v>
      </c>
      <c r="D16" s="199">
        <f>SUM(D10:D15)+D6</f>
        <v>0</v>
      </c>
      <c r="E16" s="909">
        <f>SUM(E10:E15)+E6</f>
        <v>85.5</v>
      </c>
    </row>
  </sheetData>
  <mergeCells count="5">
    <mergeCell ref="A1:A4"/>
    <mergeCell ref="B1:B4"/>
    <mergeCell ref="C1:C4"/>
    <mergeCell ref="D1:D4"/>
    <mergeCell ref="E1:E4"/>
  </mergeCells>
  <printOptions horizontalCentered="1"/>
  <pageMargins left="0.70866141732283472" right="0.70866141732283472" top="0.89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  
2016. évi létszámkerete     &amp;R&amp;"Times New Roman,Félkövér"&amp;10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workbookViewId="0">
      <selection activeCell="B24" sqref="B24:C24"/>
    </sheetView>
  </sheetViews>
  <sheetFormatPr defaultColWidth="9.109375" defaultRowHeight="14.4"/>
  <cols>
    <col min="1" max="1" width="5.88671875" style="355" customWidth="1"/>
    <col min="2" max="2" width="42.5546875" style="356" customWidth="1"/>
    <col min="3" max="8" width="11" style="356" customWidth="1"/>
    <col min="9" max="9" width="12.109375" style="356" customWidth="1"/>
    <col min="10" max="10" width="13.33203125" style="356" customWidth="1"/>
    <col min="11" max="16384" width="9.109375" style="356"/>
  </cols>
  <sheetData>
    <row r="1" spans="1:11" s="402" customFormat="1" ht="26.25" customHeight="1" thickBot="1">
      <c r="A1" s="355"/>
      <c r="B1" s="356"/>
      <c r="C1" s="356"/>
      <c r="D1" s="356"/>
      <c r="E1" s="356"/>
      <c r="F1" s="356"/>
      <c r="G1" s="356"/>
      <c r="H1" s="356"/>
      <c r="I1" s="356"/>
      <c r="J1" s="401" t="s">
        <v>474</v>
      </c>
    </row>
    <row r="2" spans="1:11" s="403" customFormat="1" ht="32.25" customHeight="1" thickBot="1">
      <c r="A2" s="1160" t="s">
        <v>491</v>
      </c>
      <c r="B2" s="1162" t="s">
        <v>492</v>
      </c>
      <c r="C2" s="1160" t="s">
        <v>493</v>
      </c>
      <c r="D2" s="1160" t="s">
        <v>494</v>
      </c>
      <c r="E2" s="1153" t="s">
        <v>495</v>
      </c>
      <c r="F2" s="1154"/>
      <c r="G2" s="1154"/>
      <c r="H2" s="1154"/>
      <c r="I2" s="1155"/>
      <c r="J2" s="1156" t="s">
        <v>178</v>
      </c>
    </row>
    <row r="3" spans="1:11" s="407" customFormat="1" ht="37.5" customHeight="1" thickBot="1">
      <c r="A3" s="1161"/>
      <c r="B3" s="1163"/>
      <c r="C3" s="1157"/>
      <c r="D3" s="1161"/>
      <c r="E3" s="404" t="s">
        <v>496</v>
      </c>
      <c r="F3" s="405" t="s">
        <v>497</v>
      </c>
      <c r="G3" s="405" t="s">
        <v>498</v>
      </c>
      <c r="H3" s="405" t="s">
        <v>499</v>
      </c>
      <c r="I3" s="406" t="s">
        <v>618</v>
      </c>
      <c r="J3" s="1157"/>
    </row>
    <row r="4" spans="1:11" ht="20.100000000000001" customHeight="1">
      <c r="A4" s="408">
        <v>1</v>
      </c>
      <c r="B4" s="409">
        <v>2</v>
      </c>
      <c r="C4" s="408">
        <v>3</v>
      </c>
      <c r="D4" s="408">
        <v>4</v>
      </c>
      <c r="E4" s="410">
        <v>5</v>
      </c>
      <c r="F4" s="411">
        <v>6</v>
      </c>
      <c r="G4" s="411">
        <v>7</v>
      </c>
      <c r="H4" s="411">
        <v>8</v>
      </c>
      <c r="I4" s="412">
        <v>9</v>
      </c>
      <c r="J4" s="408" t="s">
        <v>500</v>
      </c>
    </row>
    <row r="5" spans="1:11" s="421" customFormat="1" ht="20.100000000000001" customHeight="1">
      <c r="A5" s="413" t="s">
        <v>307</v>
      </c>
      <c r="B5" s="414" t="s">
        <v>501</v>
      </c>
      <c r="C5" s="415"/>
      <c r="D5" s="416"/>
      <c r="E5" s="417">
        <f>SUM(E6:E6)</f>
        <v>0</v>
      </c>
      <c r="F5" s="418"/>
      <c r="G5" s="418"/>
      <c r="H5" s="418"/>
      <c r="I5" s="419"/>
      <c r="J5" s="420"/>
    </row>
    <row r="6" spans="1:11" ht="20.100000000000001" customHeight="1">
      <c r="A6" s="413" t="s">
        <v>416</v>
      </c>
      <c r="B6" s="422"/>
      <c r="C6" s="423"/>
      <c r="D6" s="424"/>
      <c r="E6" s="425"/>
      <c r="F6" s="426"/>
      <c r="G6" s="426"/>
      <c r="H6" s="426"/>
      <c r="I6" s="427"/>
      <c r="J6" s="420"/>
    </row>
    <row r="7" spans="1:11" ht="20.100000000000001" customHeight="1">
      <c r="A7" s="413" t="s">
        <v>476</v>
      </c>
      <c r="B7" s="428"/>
      <c r="C7" s="429"/>
      <c r="D7" s="424"/>
      <c r="E7" s="425"/>
      <c r="F7" s="426"/>
      <c r="G7" s="426"/>
      <c r="H7" s="426"/>
      <c r="I7" s="427"/>
      <c r="J7" s="420"/>
    </row>
    <row r="8" spans="1:11" ht="20.100000000000001" customHeight="1">
      <c r="A8" s="413" t="s">
        <v>477</v>
      </c>
      <c r="B8" s="428"/>
      <c r="C8" s="429"/>
      <c r="D8" s="424"/>
      <c r="E8" s="425"/>
      <c r="F8" s="426"/>
      <c r="G8" s="426"/>
      <c r="H8" s="426"/>
      <c r="I8" s="427"/>
      <c r="J8" s="420"/>
    </row>
    <row r="9" spans="1:11" s="421" customFormat="1" ht="20.100000000000001" customHeight="1">
      <c r="A9" s="413" t="s">
        <v>478</v>
      </c>
      <c r="B9" s="430" t="s">
        <v>502</v>
      </c>
      <c r="C9" s="431"/>
      <c r="D9" s="416">
        <f t="shared" ref="D9:J9" si="0">SUM(D10:D11)</f>
        <v>0</v>
      </c>
      <c r="E9" s="417">
        <f t="shared" si="0"/>
        <v>0</v>
      </c>
      <c r="F9" s="418">
        <f t="shared" si="0"/>
        <v>0</v>
      </c>
      <c r="G9" s="418">
        <f t="shared" si="0"/>
        <v>0</v>
      </c>
      <c r="H9" s="418">
        <f t="shared" si="0"/>
        <v>0</v>
      </c>
      <c r="I9" s="419">
        <f t="shared" si="0"/>
        <v>0</v>
      </c>
      <c r="J9" s="416">
        <f t="shared" si="0"/>
        <v>0</v>
      </c>
    </row>
    <row r="10" spans="1:11" ht="20.100000000000001" customHeight="1">
      <c r="A10" s="413" t="s">
        <v>479</v>
      </c>
      <c r="B10" s="422"/>
      <c r="C10" s="423"/>
      <c r="D10" s="424">
        <v>0</v>
      </c>
      <c r="E10" s="425">
        <v>0</v>
      </c>
      <c r="F10" s="426">
        <v>0</v>
      </c>
      <c r="G10" s="426">
        <v>0</v>
      </c>
      <c r="H10" s="426">
        <v>0</v>
      </c>
      <c r="I10" s="427">
        <v>0</v>
      </c>
      <c r="J10" s="420">
        <f>SUM(D10:I10)</f>
        <v>0</v>
      </c>
    </row>
    <row r="11" spans="1:11" ht="20.100000000000001" customHeight="1">
      <c r="A11" s="413" t="s">
        <v>480</v>
      </c>
      <c r="B11" s="422"/>
      <c r="C11" s="423"/>
      <c r="D11" s="424"/>
      <c r="E11" s="425"/>
      <c r="F11" s="426"/>
      <c r="G11" s="426"/>
      <c r="H11" s="426"/>
      <c r="I11" s="427"/>
      <c r="J11" s="420">
        <f>SUM(D11:I11)</f>
        <v>0</v>
      </c>
      <c r="K11" s="432"/>
    </row>
    <row r="12" spans="1:11" ht="19.5" customHeight="1">
      <c r="A12" s="413" t="s">
        <v>481</v>
      </c>
      <c r="B12" s="422"/>
      <c r="C12" s="423"/>
      <c r="D12" s="424"/>
      <c r="E12" s="425"/>
      <c r="F12" s="426"/>
      <c r="G12" s="426"/>
      <c r="H12" s="426"/>
      <c r="I12" s="427"/>
      <c r="J12" s="420"/>
    </row>
    <row r="13" spans="1:11" ht="20.100000000000001" customHeight="1">
      <c r="A13" s="413" t="s">
        <v>482</v>
      </c>
      <c r="B13" s="433"/>
      <c r="C13" s="434"/>
      <c r="D13" s="435"/>
      <c r="E13" s="436"/>
      <c r="F13" s="437"/>
      <c r="G13" s="437"/>
      <c r="H13" s="437"/>
      <c r="I13" s="438"/>
      <c r="J13" s="420"/>
    </row>
    <row r="14" spans="1:11" s="421" customFormat="1" ht="13.2">
      <c r="A14" s="413" t="s">
        <v>483</v>
      </c>
      <c r="B14" s="439" t="s">
        <v>503</v>
      </c>
      <c r="C14" s="431"/>
      <c r="D14" s="440">
        <f>+D15+D16</f>
        <v>24727</v>
      </c>
      <c r="E14" s="910">
        <f t="shared" ref="E14:J14" si="1">+E15+E16</f>
        <v>8973</v>
      </c>
      <c r="F14" s="912">
        <f t="shared" si="1"/>
        <v>0</v>
      </c>
      <c r="G14" s="911">
        <f t="shared" si="1"/>
        <v>1812</v>
      </c>
      <c r="H14" s="440">
        <f t="shared" si="1"/>
        <v>0</v>
      </c>
      <c r="I14" s="440">
        <f t="shared" si="1"/>
        <v>0</v>
      </c>
      <c r="J14" s="440">
        <f t="shared" si="1"/>
        <v>35512</v>
      </c>
    </row>
    <row r="15" spans="1:11" s="445" customFormat="1">
      <c r="A15" s="413" t="s">
        <v>484</v>
      </c>
      <c r="B15" s="645" t="s">
        <v>504</v>
      </c>
      <c r="C15" s="441">
        <v>2012</v>
      </c>
      <c r="D15" s="442">
        <v>23327</v>
      </c>
      <c r="E15" s="443">
        <v>6673</v>
      </c>
      <c r="F15" s="357"/>
      <c r="G15" s="357"/>
      <c r="H15" s="357"/>
      <c r="I15" s="444"/>
      <c r="J15" s="420">
        <f>SUM(E15+G15+H15+I15)+D15</f>
        <v>30000</v>
      </c>
    </row>
    <row r="16" spans="1:11" ht="15" thickBot="1">
      <c r="A16" s="446" t="s">
        <v>485</v>
      </c>
      <c r="B16" s="645" t="s">
        <v>723</v>
      </c>
      <c r="C16" s="441">
        <v>2015</v>
      </c>
      <c r="D16" s="447">
        <v>1400</v>
      </c>
      <c r="E16" s="448">
        <v>2300</v>
      </c>
      <c r="F16" s="449"/>
      <c r="G16" s="449">
        <v>1812</v>
      </c>
      <c r="H16" s="449"/>
      <c r="I16" s="450"/>
      <c r="J16" s="420">
        <f>SUM(E16+G16+H16+I16)+D16</f>
        <v>5512</v>
      </c>
    </row>
    <row r="17" spans="1:10" s="421" customFormat="1" ht="13.8" thickBot="1">
      <c r="A17" s="1158" t="s">
        <v>505</v>
      </c>
      <c r="B17" s="1159"/>
      <c r="C17" s="451"/>
      <c r="D17" s="452">
        <f>+D14+D9</f>
        <v>24727</v>
      </c>
      <c r="E17" s="453">
        <f t="shared" ref="E17:J17" si="2">+E14+E9</f>
        <v>8973</v>
      </c>
      <c r="F17" s="454">
        <f t="shared" si="2"/>
        <v>0</v>
      </c>
      <c r="G17" s="454">
        <f t="shared" si="2"/>
        <v>1812</v>
      </c>
      <c r="H17" s="454">
        <f t="shared" si="2"/>
        <v>0</v>
      </c>
      <c r="I17" s="455">
        <f t="shared" si="2"/>
        <v>0</v>
      </c>
      <c r="J17" s="452">
        <f t="shared" si="2"/>
        <v>35512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zoomScale="89" zoomScaleNormal="89" workbookViewId="0">
      <selection activeCell="L35" sqref="L35"/>
    </sheetView>
  </sheetViews>
  <sheetFormatPr defaultColWidth="9.109375" defaultRowHeight="13.2"/>
  <cols>
    <col min="1" max="1" width="4.109375" style="358" customWidth="1"/>
    <col min="2" max="2" width="31.44140625" style="359" customWidth="1"/>
    <col min="3" max="3" width="8.88671875" style="359" bestFit="1" customWidth="1"/>
    <col min="4" max="5" width="7.6640625" style="359" customWidth="1"/>
    <col min="6" max="6" width="8.109375" style="359" customWidth="1"/>
    <col min="7" max="7" width="7.5546875" style="359" customWidth="1"/>
    <col min="8" max="8" width="7.44140625" style="359" customWidth="1"/>
    <col min="9" max="9" width="7.5546875" style="359" customWidth="1"/>
    <col min="10" max="10" width="8.5546875" style="359" customWidth="1"/>
    <col min="11" max="11" width="8.109375" style="359" customWidth="1"/>
    <col min="12" max="12" width="10.44140625" style="359" customWidth="1"/>
    <col min="13" max="13" width="8.109375" style="359" customWidth="1"/>
    <col min="14" max="14" width="8.5546875" style="359" customWidth="1"/>
    <col min="15" max="15" width="9.109375" style="359" customWidth="1"/>
    <col min="16" max="16" width="10.88671875" style="358" customWidth="1"/>
    <col min="17" max="16384" width="9.109375" style="359"/>
  </cols>
  <sheetData>
    <row r="1" spans="1:17" ht="13.8" thickBot="1">
      <c r="P1" s="360" t="s">
        <v>487</v>
      </c>
    </row>
    <row r="2" spans="1:17" s="358" customFormat="1" ht="39.6">
      <c r="A2" s="361" t="s">
        <v>475</v>
      </c>
      <c r="B2" s="362" t="s">
        <v>280</v>
      </c>
      <c r="C2" s="363" t="s">
        <v>869</v>
      </c>
      <c r="D2" s="362" t="s">
        <v>460</v>
      </c>
      <c r="E2" s="362" t="s">
        <v>461</v>
      </c>
      <c r="F2" s="362" t="s">
        <v>462</v>
      </c>
      <c r="G2" s="362" t="s">
        <v>463</v>
      </c>
      <c r="H2" s="362" t="s">
        <v>464</v>
      </c>
      <c r="I2" s="362" t="s">
        <v>465</v>
      </c>
      <c r="J2" s="362" t="s">
        <v>466</v>
      </c>
      <c r="K2" s="362" t="s">
        <v>488</v>
      </c>
      <c r="L2" s="362" t="s">
        <v>467</v>
      </c>
      <c r="M2" s="362" t="s">
        <v>468</v>
      </c>
      <c r="N2" s="362" t="s">
        <v>469</v>
      </c>
      <c r="O2" s="362" t="s">
        <v>470</v>
      </c>
      <c r="P2" s="364" t="s">
        <v>486</v>
      </c>
    </row>
    <row r="3" spans="1:17" s="366" customFormat="1">
      <c r="A3" s="365"/>
      <c r="B3" s="1164" t="s">
        <v>337</v>
      </c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  <c r="O3" s="1164"/>
      <c r="P3" s="1165"/>
    </row>
    <row r="4" spans="1:17" s="369" customFormat="1" ht="15" customHeight="1">
      <c r="A4" s="365"/>
      <c r="B4" s="66" t="s">
        <v>330</v>
      </c>
      <c r="C4" s="91">
        <f>+'1.mell. Mérleg'!E5</f>
        <v>598540</v>
      </c>
      <c r="D4" s="367">
        <f>49831+1385</f>
        <v>51216</v>
      </c>
      <c r="E4" s="367">
        <f>49127+32186+1385</f>
        <v>82698</v>
      </c>
      <c r="F4" s="367">
        <f>16941+1385</f>
        <v>18326</v>
      </c>
      <c r="G4" s="367">
        <f>49127+1385</f>
        <v>50512</v>
      </c>
      <c r="H4" s="367">
        <f>49127+1385</f>
        <v>50512</v>
      </c>
      <c r="I4" s="367">
        <f>49127+1385</f>
        <v>50512</v>
      </c>
      <c r="J4" s="367">
        <v>49127</v>
      </c>
      <c r="K4" s="367">
        <v>49128</v>
      </c>
      <c r="L4" s="367">
        <f>49127-35733</f>
        <v>13394</v>
      </c>
      <c r="M4" s="367">
        <v>49128</v>
      </c>
      <c r="N4" s="367">
        <f>49127+35733</f>
        <v>84860</v>
      </c>
      <c r="O4" s="367">
        <v>49127</v>
      </c>
      <c r="P4" s="368">
        <f>SUM(D4:O4)</f>
        <v>598540</v>
      </c>
    </row>
    <row r="5" spans="1:17" s="369" customFormat="1" ht="26.4">
      <c r="A5" s="365"/>
      <c r="B5" s="66" t="s">
        <v>203</v>
      </c>
      <c r="C5" s="91">
        <f>+'1.mell. Mérleg'!E6</f>
        <v>57575</v>
      </c>
      <c r="D5" s="367">
        <f t="shared" ref="D5:I5" si="0">3034+326</f>
        <v>3360</v>
      </c>
      <c r="E5" s="367">
        <f t="shared" si="0"/>
        <v>3360</v>
      </c>
      <c r="F5" s="367">
        <f t="shared" si="0"/>
        <v>3360</v>
      </c>
      <c r="G5" s="367">
        <f t="shared" si="0"/>
        <v>3360</v>
      </c>
      <c r="H5" s="367">
        <f t="shared" si="0"/>
        <v>3360</v>
      </c>
      <c r="I5" s="367">
        <f t="shared" si="0"/>
        <v>3360</v>
      </c>
      <c r="J5" s="367">
        <f>3034+6404</f>
        <v>9438</v>
      </c>
      <c r="K5" s="367">
        <f>3034+6404</f>
        <v>9438</v>
      </c>
      <c r="L5" s="367">
        <f>3034+6404</f>
        <v>9438</v>
      </c>
      <c r="M5" s="367">
        <v>3034</v>
      </c>
      <c r="N5" s="367">
        <v>3034</v>
      </c>
      <c r="O5" s="367">
        <v>3033</v>
      </c>
      <c r="P5" s="368">
        <f>SUM(D5:O5)</f>
        <v>57575</v>
      </c>
    </row>
    <row r="6" spans="1:17" s="373" customFormat="1" ht="26.4">
      <c r="A6" s="370"/>
      <c r="B6" s="67" t="s">
        <v>328</v>
      </c>
      <c r="C6" s="95">
        <f>+C4+C5</f>
        <v>656115</v>
      </c>
      <c r="D6" s="371">
        <f>SUM(D4:D5)</f>
        <v>54576</v>
      </c>
      <c r="E6" s="371">
        <f t="shared" ref="E6:P6" si="1">SUM(E4:E5)</f>
        <v>86058</v>
      </c>
      <c r="F6" s="371">
        <f t="shared" si="1"/>
        <v>21686</v>
      </c>
      <c r="G6" s="371">
        <f t="shared" si="1"/>
        <v>53872</v>
      </c>
      <c r="H6" s="371">
        <f t="shared" si="1"/>
        <v>53872</v>
      </c>
      <c r="I6" s="371">
        <f t="shared" si="1"/>
        <v>53872</v>
      </c>
      <c r="J6" s="371">
        <f t="shared" si="1"/>
        <v>58565</v>
      </c>
      <c r="K6" s="371">
        <f t="shared" si="1"/>
        <v>58566</v>
      </c>
      <c r="L6" s="371">
        <f t="shared" si="1"/>
        <v>22832</v>
      </c>
      <c r="M6" s="371">
        <f t="shared" si="1"/>
        <v>52162</v>
      </c>
      <c r="N6" s="371">
        <f t="shared" si="1"/>
        <v>87894</v>
      </c>
      <c r="O6" s="371">
        <f t="shared" si="1"/>
        <v>52160</v>
      </c>
      <c r="P6" s="372">
        <f t="shared" si="1"/>
        <v>656115</v>
      </c>
      <c r="Q6" s="369"/>
    </row>
    <row r="7" spans="1:17" s="369" customFormat="1">
      <c r="A7" s="365"/>
      <c r="B7" s="66" t="s">
        <v>218</v>
      </c>
      <c r="C7" s="91">
        <f>+'1.mell. Mérleg'!E10</f>
        <v>147800</v>
      </c>
      <c r="D7" s="367">
        <v>2780</v>
      </c>
      <c r="E7" s="367">
        <v>2780</v>
      </c>
      <c r="F7" s="367">
        <v>40000</v>
      </c>
      <c r="G7" s="367">
        <v>22780</v>
      </c>
      <c r="H7" s="367">
        <v>2780</v>
      </c>
      <c r="I7" s="367">
        <v>2780</v>
      </c>
      <c r="J7" s="367">
        <v>2780</v>
      </c>
      <c r="K7" s="367">
        <v>2780</v>
      </c>
      <c r="L7" s="367">
        <v>40000</v>
      </c>
      <c r="M7" s="367">
        <v>22780</v>
      </c>
      <c r="N7" s="367">
        <v>2780</v>
      </c>
      <c r="O7" s="367">
        <v>2780</v>
      </c>
      <c r="P7" s="368">
        <f t="shared" ref="P7:P12" si="2">SUM(D7:O7)</f>
        <v>147800</v>
      </c>
    </row>
    <row r="8" spans="1:17" s="369" customFormat="1">
      <c r="A8" s="365"/>
      <c r="B8" s="66" t="s">
        <v>333</v>
      </c>
      <c r="C8" s="91">
        <f>+'1.mell. Mérleg'!E11</f>
        <v>135000</v>
      </c>
      <c r="D8" s="367">
        <v>3900</v>
      </c>
      <c r="E8" s="367">
        <v>3900</v>
      </c>
      <c r="F8" s="367">
        <v>45000</v>
      </c>
      <c r="G8" s="367">
        <v>6900</v>
      </c>
      <c r="H8" s="367">
        <v>3900</v>
      </c>
      <c r="I8" s="367">
        <v>3900</v>
      </c>
      <c r="J8" s="367">
        <v>3900</v>
      </c>
      <c r="K8" s="367">
        <v>3900</v>
      </c>
      <c r="L8" s="367">
        <v>45000</v>
      </c>
      <c r="M8" s="367">
        <v>6900</v>
      </c>
      <c r="N8" s="367">
        <v>3900</v>
      </c>
      <c r="O8" s="367">
        <v>3900</v>
      </c>
      <c r="P8" s="368">
        <f t="shared" si="2"/>
        <v>135000</v>
      </c>
    </row>
    <row r="9" spans="1:17" s="369" customFormat="1">
      <c r="A9" s="365"/>
      <c r="B9" s="66" t="s">
        <v>231</v>
      </c>
      <c r="C9" s="91">
        <f>+'1.mell. Mérleg'!E12</f>
        <v>1700</v>
      </c>
      <c r="D9" s="367">
        <v>0</v>
      </c>
      <c r="E9" s="367">
        <v>20</v>
      </c>
      <c r="F9" s="367">
        <v>800</v>
      </c>
      <c r="G9" s="367">
        <v>50</v>
      </c>
      <c r="H9" s="367">
        <v>20</v>
      </c>
      <c r="I9" s="367">
        <v>20</v>
      </c>
      <c r="J9" s="367">
        <v>20</v>
      </c>
      <c r="K9" s="367">
        <v>50</v>
      </c>
      <c r="L9" s="367">
        <v>650</v>
      </c>
      <c r="M9" s="367">
        <v>40</v>
      </c>
      <c r="N9" s="367">
        <v>20</v>
      </c>
      <c r="O9" s="367">
        <v>10</v>
      </c>
      <c r="P9" s="368">
        <f t="shared" si="2"/>
        <v>1700</v>
      </c>
    </row>
    <row r="10" spans="1:17" s="373" customFormat="1">
      <c r="A10" s="370"/>
      <c r="B10" s="67" t="s">
        <v>334</v>
      </c>
      <c r="C10" s="95">
        <f>SUM(C7:C9)</f>
        <v>284500</v>
      </c>
      <c r="D10" s="371">
        <f>SUM(D7:D9)</f>
        <v>6680</v>
      </c>
      <c r="E10" s="371">
        <f t="shared" ref="E10:P10" si="3">SUM(E7:E9)</f>
        <v>6700</v>
      </c>
      <c r="F10" s="371">
        <f t="shared" si="3"/>
        <v>85800</v>
      </c>
      <c r="G10" s="371">
        <f t="shared" si="3"/>
        <v>29730</v>
      </c>
      <c r="H10" s="371">
        <f t="shared" si="3"/>
        <v>6700</v>
      </c>
      <c r="I10" s="371">
        <f t="shared" si="3"/>
        <v>6700</v>
      </c>
      <c r="J10" s="371">
        <f t="shared" si="3"/>
        <v>6700</v>
      </c>
      <c r="K10" s="371">
        <f t="shared" si="3"/>
        <v>6730</v>
      </c>
      <c r="L10" s="371">
        <f t="shared" si="3"/>
        <v>85650</v>
      </c>
      <c r="M10" s="371">
        <f t="shared" si="3"/>
        <v>29720</v>
      </c>
      <c r="N10" s="371">
        <f t="shared" si="3"/>
        <v>6700</v>
      </c>
      <c r="O10" s="371">
        <f t="shared" si="3"/>
        <v>6690</v>
      </c>
      <c r="P10" s="372">
        <f t="shared" si="3"/>
        <v>284500</v>
      </c>
      <c r="Q10" s="369"/>
    </row>
    <row r="11" spans="1:17" s="369" customFormat="1">
      <c r="A11" s="365"/>
      <c r="B11" s="66" t="s">
        <v>278</v>
      </c>
      <c r="C11" s="91">
        <f>+'1.mell. Mérleg'!E13</f>
        <v>42804</v>
      </c>
      <c r="D11" s="367">
        <v>2966</v>
      </c>
      <c r="E11" s="367">
        <f>2966+520</f>
        <v>3486</v>
      </c>
      <c r="F11" s="367">
        <v>2966</v>
      </c>
      <c r="G11" s="367">
        <f>2966+520</f>
        <v>3486</v>
      </c>
      <c r="H11" s="367">
        <v>2966</v>
      </c>
      <c r="I11" s="367">
        <v>2966</v>
      </c>
      <c r="J11" s="367">
        <f>2966+2057</f>
        <v>5023</v>
      </c>
      <c r="K11" s="367">
        <f>2966+2057</f>
        <v>5023</v>
      </c>
      <c r="L11" s="367">
        <f>2966+2059</f>
        <v>5025</v>
      </c>
      <c r="M11" s="367">
        <v>2966</v>
      </c>
      <c r="N11" s="367">
        <v>2966</v>
      </c>
      <c r="O11" s="367">
        <v>2965</v>
      </c>
      <c r="P11" s="368">
        <f t="shared" si="2"/>
        <v>42804</v>
      </c>
    </row>
    <row r="12" spans="1:17" s="369" customFormat="1">
      <c r="A12" s="365"/>
      <c r="B12" s="66" t="s">
        <v>276</v>
      </c>
      <c r="C12" s="91">
        <f>+'1.mell. Mérleg'!E14</f>
        <v>19025</v>
      </c>
      <c r="D12" s="367">
        <f>19500-4500</f>
        <v>15000</v>
      </c>
      <c r="E12" s="367"/>
      <c r="F12" s="367">
        <v>11</v>
      </c>
      <c r="G12" s="367"/>
      <c r="H12" s="367"/>
      <c r="I12" s="367">
        <v>10</v>
      </c>
      <c r="J12" s="367">
        <v>3983</v>
      </c>
      <c r="K12" s="367"/>
      <c r="L12" s="367">
        <v>11</v>
      </c>
      <c r="M12" s="367"/>
      <c r="N12" s="367"/>
      <c r="O12" s="367">
        <v>10</v>
      </c>
      <c r="P12" s="368">
        <f t="shared" si="2"/>
        <v>19025</v>
      </c>
    </row>
    <row r="13" spans="1:17" s="373" customFormat="1">
      <c r="A13" s="374"/>
      <c r="B13" s="375" t="s">
        <v>414</v>
      </c>
      <c r="C13" s="376">
        <f>+C12+C11+C10+C6</f>
        <v>1002444</v>
      </c>
      <c r="D13" s="376">
        <f t="shared" ref="D13:P13" si="4">+D12+D11+D10+D6</f>
        <v>79222</v>
      </c>
      <c r="E13" s="376">
        <f t="shared" si="4"/>
        <v>96244</v>
      </c>
      <c r="F13" s="376">
        <f t="shared" si="4"/>
        <v>110463</v>
      </c>
      <c r="G13" s="376">
        <f t="shared" si="4"/>
        <v>87088</v>
      </c>
      <c r="H13" s="376">
        <f t="shared" si="4"/>
        <v>63538</v>
      </c>
      <c r="I13" s="376">
        <f t="shared" si="4"/>
        <v>63548</v>
      </c>
      <c r="J13" s="376">
        <f t="shared" si="4"/>
        <v>74271</v>
      </c>
      <c r="K13" s="376">
        <f t="shared" si="4"/>
        <v>70319</v>
      </c>
      <c r="L13" s="376">
        <f t="shared" si="4"/>
        <v>113518</v>
      </c>
      <c r="M13" s="376">
        <f t="shared" si="4"/>
        <v>84848</v>
      </c>
      <c r="N13" s="376">
        <f t="shared" si="4"/>
        <v>97560</v>
      </c>
      <c r="O13" s="376">
        <f t="shared" si="4"/>
        <v>61825</v>
      </c>
      <c r="P13" s="377">
        <f t="shared" si="4"/>
        <v>1002444</v>
      </c>
      <c r="Q13" s="369"/>
    </row>
    <row r="14" spans="1:17" s="369" customFormat="1" ht="26.4">
      <c r="A14" s="365"/>
      <c r="B14" s="66" t="s">
        <v>329</v>
      </c>
      <c r="C14" s="91">
        <f>+'1.mell. Mérleg'!E16</f>
        <v>300</v>
      </c>
      <c r="D14" s="367">
        <v>300</v>
      </c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72">
        <f>SUM(D14:O14)</f>
        <v>300</v>
      </c>
    </row>
    <row r="15" spans="1:17" s="369" customFormat="1" ht="14.1" customHeight="1">
      <c r="A15" s="365"/>
      <c r="B15" s="66" t="s">
        <v>277</v>
      </c>
      <c r="C15" s="91">
        <f>+'1.mell. Mérleg'!E17</f>
        <v>49605</v>
      </c>
      <c r="D15" s="367">
        <v>21000</v>
      </c>
      <c r="E15" s="367"/>
      <c r="F15" s="367"/>
      <c r="G15" s="367"/>
      <c r="H15" s="367"/>
      <c r="I15" s="367"/>
      <c r="J15" s="367">
        <v>28605</v>
      </c>
      <c r="K15" s="367"/>
      <c r="L15" s="367"/>
      <c r="M15" s="367"/>
      <c r="N15" s="367"/>
      <c r="O15" s="367"/>
      <c r="P15" s="372">
        <f>SUM(D15:O15)</f>
        <v>49605</v>
      </c>
    </row>
    <row r="16" spans="1:17" s="369" customFormat="1" ht="14.1" customHeight="1">
      <c r="A16" s="365"/>
      <c r="B16" s="66" t="s">
        <v>281</v>
      </c>
      <c r="C16" s="91">
        <f>+'1.mell. Mérleg'!E18</f>
        <v>0</v>
      </c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72">
        <f>SUM(D16:O16)</f>
        <v>0</v>
      </c>
    </row>
    <row r="17" spans="1:17" s="369" customFormat="1" ht="14.1" customHeight="1">
      <c r="A17" s="378"/>
      <c r="B17" s="375" t="s">
        <v>277</v>
      </c>
      <c r="C17" s="376">
        <f>+C16+C15+C14</f>
        <v>49905</v>
      </c>
      <c r="D17" s="376">
        <f t="shared" ref="D17:P17" si="5">+D16+D15+D14</f>
        <v>21300</v>
      </c>
      <c r="E17" s="376">
        <f t="shared" si="5"/>
        <v>0</v>
      </c>
      <c r="F17" s="376">
        <f t="shared" si="5"/>
        <v>0</v>
      </c>
      <c r="G17" s="376">
        <f t="shared" si="5"/>
        <v>0</v>
      </c>
      <c r="H17" s="376">
        <f t="shared" si="5"/>
        <v>0</v>
      </c>
      <c r="I17" s="376">
        <f t="shared" si="5"/>
        <v>0</v>
      </c>
      <c r="J17" s="376">
        <f t="shared" si="5"/>
        <v>28605</v>
      </c>
      <c r="K17" s="376">
        <f t="shared" si="5"/>
        <v>0</v>
      </c>
      <c r="L17" s="376">
        <f t="shared" si="5"/>
        <v>0</v>
      </c>
      <c r="M17" s="376">
        <f t="shared" si="5"/>
        <v>0</v>
      </c>
      <c r="N17" s="376">
        <f t="shared" si="5"/>
        <v>0</v>
      </c>
      <c r="O17" s="376">
        <f t="shared" si="5"/>
        <v>0</v>
      </c>
      <c r="P17" s="377">
        <f t="shared" si="5"/>
        <v>49905</v>
      </c>
    </row>
    <row r="18" spans="1:17" s="369" customFormat="1" ht="14.1" customHeight="1">
      <c r="A18" s="365"/>
      <c r="B18" s="66" t="s">
        <v>396</v>
      </c>
      <c r="C18" s="91">
        <f>+'1.mell. Mérleg'!E21</f>
        <v>0</v>
      </c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72">
        <f>SUM(D18:O18)</f>
        <v>0</v>
      </c>
    </row>
    <row r="19" spans="1:17" s="369" customFormat="1" ht="14.1" customHeight="1">
      <c r="A19" s="365"/>
      <c r="B19" s="66" t="s">
        <v>397</v>
      </c>
      <c r="C19" s="91">
        <f>+'1.mell. Mérleg'!E23</f>
        <v>56840</v>
      </c>
      <c r="D19" s="367">
        <v>382</v>
      </c>
      <c r="E19" s="367">
        <v>382</v>
      </c>
      <c r="F19" s="367">
        <v>382</v>
      </c>
      <c r="G19" s="367">
        <v>382</v>
      </c>
      <c r="H19" s="367">
        <v>382</v>
      </c>
      <c r="I19" s="367">
        <f>382+48554</f>
        <v>48936</v>
      </c>
      <c r="J19" s="367">
        <v>382</v>
      </c>
      <c r="K19" s="367">
        <v>382</v>
      </c>
      <c r="L19" s="367">
        <v>4084</v>
      </c>
      <c r="M19" s="367">
        <v>382</v>
      </c>
      <c r="N19" s="367">
        <v>382</v>
      </c>
      <c r="O19" s="367">
        <v>382</v>
      </c>
      <c r="P19" s="372">
        <f>SUM(D19:O19)</f>
        <v>56840</v>
      </c>
    </row>
    <row r="20" spans="1:17" s="369" customFormat="1" ht="14.1" customHeight="1">
      <c r="A20" s="365"/>
      <c r="B20" s="66" t="s">
        <v>398</v>
      </c>
      <c r="C20" s="91">
        <f>+'1.mell. Mérleg'!E24</f>
        <v>355806</v>
      </c>
      <c r="D20" s="367">
        <v>46299</v>
      </c>
      <c r="E20" s="367">
        <f>14744+58</f>
        <v>14802</v>
      </c>
      <c r="F20" s="367">
        <v>58</v>
      </c>
      <c r="G20" s="367">
        <f>23901+58</f>
        <v>23959</v>
      </c>
      <c r="H20" s="367">
        <v>46984</v>
      </c>
      <c r="I20" s="367">
        <v>46979</v>
      </c>
      <c r="J20" s="367">
        <v>46984</v>
      </c>
      <c r="K20" s="367">
        <v>46957</v>
      </c>
      <c r="L20" s="367">
        <v>58</v>
      </c>
      <c r="M20" s="367">
        <v>23968</v>
      </c>
      <c r="N20" s="367">
        <v>11253</v>
      </c>
      <c r="O20" s="367">
        <v>47505</v>
      </c>
      <c r="P20" s="372">
        <f>SUM(D20:O20)</f>
        <v>355806</v>
      </c>
    </row>
    <row r="21" spans="1:17" s="373" customFormat="1" ht="14.1" customHeight="1">
      <c r="A21" s="370"/>
      <c r="B21" s="67" t="s">
        <v>335</v>
      </c>
      <c r="C21" s="95">
        <f>+C20+C19</f>
        <v>412646</v>
      </c>
      <c r="D21" s="95">
        <f t="shared" ref="D21:P21" si="6">+D20+D19</f>
        <v>46681</v>
      </c>
      <c r="E21" s="95">
        <f t="shared" si="6"/>
        <v>15184</v>
      </c>
      <c r="F21" s="95">
        <f t="shared" si="6"/>
        <v>440</v>
      </c>
      <c r="G21" s="95">
        <f t="shared" si="6"/>
        <v>24341</v>
      </c>
      <c r="H21" s="95">
        <f t="shared" si="6"/>
        <v>47366</v>
      </c>
      <c r="I21" s="95">
        <f t="shared" si="6"/>
        <v>95915</v>
      </c>
      <c r="J21" s="95">
        <f t="shared" si="6"/>
        <v>47366</v>
      </c>
      <c r="K21" s="95">
        <f t="shared" si="6"/>
        <v>47339</v>
      </c>
      <c r="L21" s="95">
        <f t="shared" si="6"/>
        <v>4142</v>
      </c>
      <c r="M21" s="95">
        <f t="shared" si="6"/>
        <v>24350</v>
      </c>
      <c r="N21" s="95">
        <f t="shared" si="6"/>
        <v>11635</v>
      </c>
      <c r="O21" s="95">
        <f t="shared" si="6"/>
        <v>47887</v>
      </c>
      <c r="P21" s="379">
        <f t="shared" si="6"/>
        <v>412646</v>
      </c>
      <c r="Q21" s="369"/>
    </row>
    <row r="22" spans="1:17" s="369" customFormat="1" ht="14.1" customHeight="1">
      <c r="A22" s="378"/>
      <c r="B22" s="380" t="s">
        <v>284</v>
      </c>
      <c r="C22" s="376">
        <f>+C21+C18</f>
        <v>412646</v>
      </c>
      <c r="D22" s="376">
        <f t="shared" ref="D22:P22" si="7">+D21+D18</f>
        <v>46681</v>
      </c>
      <c r="E22" s="376">
        <f t="shared" si="7"/>
        <v>15184</v>
      </c>
      <c r="F22" s="376">
        <f t="shared" si="7"/>
        <v>440</v>
      </c>
      <c r="G22" s="376">
        <f t="shared" si="7"/>
        <v>24341</v>
      </c>
      <c r="H22" s="376">
        <f t="shared" si="7"/>
        <v>47366</v>
      </c>
      <c r="I22" s="376">
        <f t="shared" si="7"/>
        <v>95915</v>
      </c>
      <c r="J22" s="376">
        <f t="shared" si="7"/>
        <v>47366</v>
      </c>
      <c r="K22" s="376">
        <f t="shared" si="7"/>
        <v>47339</v>
      </c>
      <c r="L22" s="376">
        <f t="shared" si="7"/>
        <v>4142</v>
      </c>
      <c r="M22" s="376">
        <f t="shared" si="7"/>
        <v>24350</v>
      </c>
      <c r="N22" s="376">
        <f t="shared" si="7"/>
        <v>11635</v>
      </c>
      <c r="O22" s="376">
        <f t="shared" si="7"/>
        <v>47887</v>
      </c>
      <c r="P22" s="376">
        <f t="shared" si="7"/>
        <v>412646</v>
      </c>
    </row>
    <row r="23" spans="1:17" s="366" customFormat="1" ht="15.9" customHeight="1" thickBot="1">
      <c r="A23" s="381"/>
      <c r="B23" s="382" t="s">
        <v>400</v>
      </c>
      <c r="C23" s="383">
        <f>+C22+C17+C13</f>
        <v>1464995</v>
      </c>
      <c r="D23" s="383">
        <f t="shared" ref="D23:P23" si="8">+D22+D17+D13</f>
        <v>147203</v>
      </c>
      <c r="E23" s="383">
        <f t="shared" si="8"/>
        <v>111428</v>
      </c>
      <c r="F23" s="383">
        <f t="shared" si="8"/>
        <v>110903</v>
      </c>
      <c r="G23" s="383">
        <f t="shared" si="8"/>
        <v>111429</v>
      </c>
      <c r="H23" s="383">
        <f t="shared" si="8"/>
        <v>110904</v>
      </c>
      <c r="I23" s="383">
        <f t="shared" si="8"/>
        <v>159463</v>
      </c>
      <c r="J23" s="383">
        <f t="shared" si="8"/>
        <v>150242</v>
      </c>
      <c r="K23" s="383">
        <f t="shared" si="8"/>
        <v>117658</v>
      </c>
      <c r="L23" s="383">
        <f t="shared" si="8"/>
        <v>117660</v>
      </c>
      <c r="M23" s="383">
        <f t="shared" si="8"/>
        <v>109198</v>
      </c>
      <c r="N23" s="383">
        <f t="shared" si="8"/>
        <v>109195</v>
      </c>
      <c r="O23" s="383">
        <f t="shared" si="8"/>
        <v>109712</v>
      </c>
      <c r="P23" s="384">
        <f t="shared" si="8"/>
        <v>1464995</v>
      </c>
      <c r="Q23" s="369"/>
    </row>
    <row r="24" spans="1:17" s="366" customFormat="1" ht="15" customHeight="1" thickBot="1">
      <c r="A24" s="385"/>
      <c r="B24" s="1166"/>
      <c r="C24" s="1166"/>
      <c r="D24" s="1166"/>
      <c r="E24" s="1166"/>
      <c r="F24" s="1166"/>
      <c r="G24" s="1166"/>
      <c r="H24" s="1166"/>
      <c r="I24" s="1166"/>
      <c r="J24" s="1166"/>
      <c r="K24" s="1166"/>
      <c r="L24" s="1166"/>
      <c r="M24" s="1166"/>
      <c r="N24" s="1166"/>
      <c r="O24" s="1166"/>
      <c r="P24" s="1166"/>
      <c r="Q24" s="369"/>
    </row>
    <row r="25" spans="1:17" s="358" customFormat="1" ht="26.1" customHeight="1">
      <c r="A25" s="361" t="s">
        <v>475</v>
      </c>
      <c r="B25" s="362" t="s">
        <v>280</v>
      </c>
      <c r="C25" s="363" t="s">
        <v>869</v>
      </c>
      <c r="D25" s="362" t="s">
        <v>460</v>
      </c>
      <c r="E25" s="362" t="s">
        <v>461</v>
      </c>
      <c r="F25" s="362" t="s">
        <v>462</v>
      </c>
      <c r="G25" s="362" t="s">
        <v>463</v>
      </c>
      <c r="H25" s="362" t="s">
        <v>464</v>
      </c>
      <c r="I25" s="362" t="s">
        <v>465</v>
      </c>
      <c r="J25" s="362" t="s">
        <v>466</v>
      </c>
      <c r="K25" s="362" t="s">
        <v>488</v>
      </c>
      <c r="L25" s="362" t="s">
        <v>467</v>
      </c>
      <c r="M25" s="362" t="s">
        <v>468</v>
      </c>
      <c r="N25" s="362" t="s">
        <v>469</v>
      </c>
      <c r="O25" s="362" t="s">
        <v>470</v>
      </c>
      <c r="P25" s="364" t="s">
        <v>486</v>
      </c>
      <c r="Q25" s="369"/>
    </row>
    <row r="26" spans="1:17" s="369" customFormat="1" ht="14.1" customHeight="1">
      <c r="A26" s="365"/>
      <c r="B26" s="212" t="s">
        <v>173</v>
      </c>
      <c r="C26" s="231">
        <f>+'1.mell. Mérleg'!E31</f>
        <v>272751</v>
      </c>
      <c r="D26" s="367">
        <f>22005-64</f>
        <v>21941</v>
      </c>
      <c r="E26" s="367">
        <f>22005-64</f>
        <v>21941</v>
      </c>
      <c r="F26" s="367">
        <f>22005-64</f>
        <v>21941</v>
      </c>
      <c r="G26" s="367">
        <f>22005-64</f>
        <v>21941</v>
      </c>
      <c r="H26" s="367">
        <f>22006-64</f>
        <v>21942</v>
      </c>
      <c r="I26" s="367">
        <f>22005-63</f>
        <v>21942</v>
      </c>
      <c r="J26" s="367">
        <f>22006+3023</f>
        <v>25029</v>
      </c>
      <c r="K26" s="367">
        <f>22005+3024</f>
        <v>25029</v>
      </c>
      <c r="L26" s="367">
        <f>22005+3024</f>
        <v>25029</v>
      </c>
      <c r="M26" s="367">
        <v>22006</v>
      </c>
      <c r="N26" s="367">
        <v>22005</v>
      </c>
      <c r="O26" s="367">
        <v>22005</v>
      </c>
      <c r="P26" s="368">
        <f t="shared" ref="P26:P31" si="9">SUM(D26:O26)</f>
        <v>272751</v>
      </c>
    </row>
    <row r="27" spans="1:17" s="369" customFormat="1" ht="14.1" customHeight="1">
      <c r="A27" s="365"/>
      <c r="B27" s="212" t="s">
        <v>172</v>
      </c>
      <c r="C27" s="231">
        <f>+'1.mell. Mérleg'!E32</f>
        <v>76101</v>
      </c>
      <c r="D27" s="367">
        <f>6140+25</f>
        <v>6165</v>
      </c>
      <c r="E27" s="367">
        <f>6140+26</f>
        <v>6166</v>
      </c>
      <c r="F27" s="367">
        <f>6140+25</f>
        <v>6165</v>
      </c>
      <c r="G27" s="367">
        <f>6140+26</f>
        <v>6166</v>
      </c>
      <c r="H27" s="367">
        <f>6140+25</f>
        <v>6165</v>
      </c>
      <c r="I27" s="367">
        <f>6140+26</f>
        <v>6166</v>
      </c>
      <c r="J27" s="367">
        <f>6140+756</f>
        <v>6896</v>
      </c>
      <c r="K27" s="367">
        <f>6140+756</f>
        <v>6896</v>
      </c>
      <c r="L27" s="367">
        <f>6140+756</f>
        <v>6896</v>
      </c>
      <c r="M27" s="367">
        <v>6140</v>
      </c>
      <c r="N27" s="367">
        <v>6140</v>
      </c>
      <c r="O27" s="367">
        <v>6140</v>
      </c>
      <c r="P27" s="368">
        <f t="shared" si="9"/>
        <v>76101</v>
      </c>
    </row>
    <row r="28" spans="1:17" s="369" customFormat="1" ht="14.1" customHeight="1">
      <c r="A28" s="365"/>
      <c r="B28" s="212" t="s">
        <v>152</v>
      </c>
      <c r="C28" s="231">
        <f>+'1.mell. Mérleg'!E33</f>
        <v>189547</v>
      </c>
      <c r="D28" s="367">
        <f>10639+4751</f>
        <v>15390</v>
      </c>
      <c r="E28" s="367">
        <f>10640+4751</f>
        <v>15391</v>
      </c>
      <c r="F28" s="367">
        <f>10639+4751</f>
        <v>15390</v>
      </c>
      <c r="G28" s="367">
        <f>10640+4751</f>
        <v>15391</v>
      </c>
      <c r="H28" s="367">
        <f>10639+4751</f>
        <v>15390</v>
      </c>
      <c r="I28" s="367">
        <f>10640+4752</f>
        <v>15392</v>
      </c>
      <c r="J28" s="367">
        <f>10639+11121</f>
        <v>21760</v>
      </c>
      <c r="K28" s="367">
        <f>10640+11121</f>
        <v>21761</v>
      </c>
      <c r="L28" s="367">
        <f>10642+11121</f>
        <v>21763</v>
      </c>
      <c r="M28" s="367">
        <v>10640</v>
      </c>
      <c r="N28" s="367">
        <v>10639</v>
      </c>
      <c r="O28" s="367">
        <v>10640</v>
      </c>
      <c r="P28" s="368">
        <f t="shared" si="9"/>
        <v>189547</v>
      </c>
    </row>
    <row r="29" spans="1:17" s="369" customFormat="1" ht="14.1" customHeight="1">
      <c r="A29" s="365"/>
      <c r="B29" s="213" t="s">
        <v>151</v>
      </c>
      <c r="C29" s="231">
        <f>+'1.mell. Mérleg'!E34</f>
        <v>21620</v>
      </c>
      <c r="D29" s="367">
        <f>1898-1158</f>
        <v>740</v>
      </c>
      <c r="E29" s="367">
        <f>1898</f>
        <v>1898</v>
      </c>
      <c r="F29" s="367">
        <v>1898</v>
      </c>
      <c r="G29" s="367">
        <v>1898</v>
      </c>
      <c r="H29" s="367">
        <v>1898</v>
      </c>
      <c r="I29" s="367">
        <v>1898</v>
      </c>
      <c r="J29" s="367">
        <v>1898</v>
      </c>
      <c r="K29" s="367">
        <v>1898</v>
      </c>
      <c r="L29" s="367">
        <v>1898</v>
      </c>
      <c r="M29" s="367">
        <v>1899</v>
      </c>
      <c r="N29" s="367">
        <v>1899</v>
      </c>
      <c r="O29" s="367">
        <v>1898</v>
      </c>
      <c r="P29" s="368">
        <f t="shared" si="9"/>
        <v>21620</v>
      </c>
    </row>
    <row r="30" spans="1:17" s="369" customFormat="1" ht="14.1" customHeight="1">
      <c r="A30" s="365"/>
      <c r="B30" s="212" t="s">
        <v>164</v>
      </c>
      <c r="C30" s="231">
        <f>+'1.mell. Mérleg'!E35</f>
        <v>437156</v>
      </c>
      <c r="D30" s="367">
        <f>32749+21183</f>
        <v>53932</v>
      </c>
      <c r="E30" s="367">
        <v>32750</v>
      </c>
      <c r="F30" s="367">
        <v>32749</v>
      </c>
      <c r="G30" s="367">
        <v>32750</v>
      </c>
      <c r="H30" s="367">
        <v>32749</v>
      </c>
      <c r="I30" s="367">
        <v>32750</v>
      </c>
      <c r="J30" s="367">
        <f>32749+7660</f>
        <v>40409</v>
      </c>
      <c r="K30" s="367">
        <f>32750+7660</f>
        <v>40410</v>
      </c>
      <c r="L30" s="367">
        <f>32749+7659</f>
        <v>40408</v>
      </c>
      <c r="M30" s="367">
        <v>32750</v>
      </c>
      <c r="N30" s="367">
        <v>32749</v>
      </c>
      <c r="O30" s="367">
        <v>32750</v>
      </c>
      <c r="P30" s="368">
        <f t="shared" si="9"/>
        <v>437156</v>
      </c>
    </row>
    <row r="31" spans="1:17" s="369" customFormat="1" ht="14.1" customHeight="1">
      <c r="A31" s="365"/>
      <c r="B31" s="212" t="s">
        <v>437</v>
      </c>
      <c r="C31" s="231">
        <f>+'1.mell. Mérleg'!E36</f>
        <v>204729</v>
      </c>
      <c r="D31" s="367">
        <f>32967+8200-4500-1</f>
        <v>36666</v>
      </c>
      <c r="E31" s="367">
        <f>32968-11756-19584</f>
        <v>1628</v>
      </c>
      <c r="F31" s="367">
        <f>32967-12275</f>
        <v>20692</v>
      </c>
      <c r="G31" s="367">
        <f>32969-11756</f>
        <v>21213</v>
      </c>
      <c r="H31" s="367">
        <f>32967-12275-18280</f>
        <v>2412</v>
      </c>
      <c r="I31" s="367">
        <f>32969+36276-48312-6625</f>
        <v>14308</v>
      </c>
      <c r="J31" s="367">
        <f>32967-30000</f>
        <v>2967</v>
      </c>
      <c r="K31" s="367">
        <f>32969-30000</f>
        <v>2969</v>
      </c>
      <c r="L31" s="367">
        <f>32968-30000</f>
        <v>2968</v>
      </c>
      <c r="M31" s="367">
        <v>32968</v>
      </c>
      <c r="N31" s="367">
        <v>32968</v>
      </c>
      <c r="O31" s="367">
        <v>32970</v>
      </c>
      <c r="P31" s="368">
        <f t="shared" si="9"/>
        <v>204729</v>
      </c>
    </row>
    <row r="32" spans="1:17" s="369" customFormat="1" ht="14.1" customHeight="1">
      <c r="A32" s="378"/>
      <c r="B32" s="375" t="s">
        <v>426</v>
      </c>
      <c r="C32" s="386">
        <f>SUM(C26:C31)</f>
        <v>1201904</v>
      </c>
      <c r="D32" s="386">
        <f t="shared" ref="D32:P32" si="10">SUM(D26:D31)</f>
        <v>134834</v>
      </c>
      <c r="E32" s="386">
        <f t="shared" si="10"/>
        <v>79774</v>
      </c>
      <c r="F32" s="386">
        <f t="shared" si="10"/>
        <v>98835</v>
      </c>
      <c r="G32" s="386">
        <f t="shared" si="10"/>
        <v>99359</v>
      </c>
      <c r="H32" s="386">
        <f t="shared" si="10"/>
        <v>80556</v>
      </c>
      <c r="I32" s="386">
        <f t="shared" si="10"/>
        <v>92456</v>
      </c>
      <c r="J32" s="386">
        <f t="shared" si="10"/>
        <v>98959</v>
      </c>
      <c r="K32" s="386">
        <f t="shared" si="10"/>
        <v>98963</v>
      </c>
      <c r="L32" s="386">
        <f t="shared" si="10"/>
        <v>98962</v>
      </c>
      <c r="M32" s="386">
        <f t="shared" si="10"/>
        <v>106403</v>
      </c>
      <c r="N32" s="386">
        <f t="shared" si="10"/>
        <v>106400</v>
      </c>
      <c r="O32" s="386">
        <f t="shared" si="10"/>
        <v>106403</v>
      </c>
      <c r="P32" s="387">
        <f t="shared" si="10"/>
        <v>1201904</v>
      </c>
    </row>
    <row r="33" spans="1:17" s="369" customFormat="1" ht="14.1" customHeight="1">
      <c r="A33" s="365"/>
      <c r="B33" s="212" t="s">
        <v>162</v>
      </c>
      <c r="C33" s="231">
        <f>+'1.mell. Mérleg'!E38</f>
        <v>186728</v>
      </c>
      <c r="D33" s="367">
        <f>2281+9274+1</f>
        <v>11556</v>
      </c>
      <c r="E33" s="367">
        <f>2282+9274</f>
        <v>11556</v>
      </c>
      <c r="F33" s="367">
        <f>2281+9274</f>
        <v>11555</v>
      </c>
      <c r="G33" s="367">
        <f>2282+9274</f>
        <v>11556</v>
      </c>
      <c r="H33" s="367">
        <f>2281+9274</f>
        <v>11555</v>
      </c>
      <c r="I33" s="367">
        <f>2282+9274</f>
        <v>11556</v>
      </c>
      <c r="J33" s="367">
        <f>2281+34568</f>
        <v>36849</v>
      </c>
      <c r="K33" s="367">
        <f>2282+34568</f>
        <v>36850</v>
      </c>
      <c r="L33" s="367">
        <f>2282+34567</f>
        <v>36849</v>
      </c>
      <c r="M33" s="367">
        <v>2282</v>
      </c>
      <c r="N33" s="367">
        <v>2282</v>
      </c>
      <c r="O33" s="367">
        <v>2282</v>
      </c>
      <c r="P33" s="368">
        <f>SUM(D33:O33)</f>
        <v>186728</v>
      </c>
    </row>
    <row r="34" spans="1:17" s="369" customFormat="1" ht="14.1" customHeight="1">
      <c r="A34" s="365"/>
      <c r="B34" s="212" t="s">
        <v>161</v>
      </c>
      <c r="C34" s="231">
        <f>+'1.mell. Mérleg'!E39</f>
        <v>37489</v>
      </c>
      <c r="D34" s="367"/>
      <c r="E34" s="367"/>
      <c r="F34" s="367"/>
      <c r="G34" s="367"/>
      <c r="H34" s="367">
        <v>5663</v>
      </c>
      <c r="I34" s="367"/>
      <c r="J34" s="367"/>
      <c r="K34" s="367"/>
      <c r="L34" s="367">
        <v>31826</v>
      </c>
      <c r="M34" s="367"/>
      <c r="N34" s="367"/>
      <c r="O34" s="367"/>
      <c r="P34" s="368">
        <f>SUM(D34:O34)</f>
        <v>37489</v>
      </c>
    </row>
    <row r="35" spans="1:17" s="369" customFormat="1" ht="14.1" customHeight="1">
      <c r="A35" s="365"/>
      <c r="B35" s="212" t="s">
        <v>159</v>
      </c>
      <c r="C35" s="231">
        <f>+'1.mell. Mérleg'!E40</f>
        <v>12617</v>
      </c>
      <c r="D35" s="367"/>
      <c r="E35" s="367"/>
      <c r="F35" s="367"/>
      <c r="G35" s="367"/>
      <c r="H35" s="367">
        <v>12617</v>
      </c>
      <c r="I35" s="367"/>
      <c r="J35" s="367"/>
      <c r="K35" s="367"/>
      <c r="L35" s="367"/>
      <c r="M35" s="367"/>
      <c r="N35" s="367"/>
      <c r="O35" s="367"/>
      <c r="P35" s="368">
        <f>SUM(D35:O35)</f>
        <v>12617</v>
      </c>
    </row>
    <row r="36" spans="1:17" s="369" customFormat="1" ht="14.1" customHeight="1">
      <c r="A36" s="378"/>
      <c r="B36" s="375" t="s">
        <v>428</v>
      </c>
      <c r="C36" s="388">
        <f>SUM(C33:C35)</f>
        <v>236834</v>
      </c>
      <c r="D36" s="388">
        <f t="shared" ref="D36:P36" si="11">SUM(D33:D35)</f>
        <v>11556</v>
      </c>
      <c r="E36" s="388">
        <f t="shared" si="11"/>
        <v>11556</v>
      </c>
      <c r="F36" s="388">
        <f t="shared" si="11"/>
        <v>11555</v>
      </c>
      <c r="G36" s="388">
        <f t="shared" si="11"/>
        <v>11556</v>
      </c>
      <c r="H36" s="388">
        <f t="shared" si="11"/>
        <v>29835</v>
      </c>
      <c r="I36" s="388">
        <f t="shared" si="11"/>
        <v>11556</v>
      </c>
      <c r="J36" s="388">
        <f t="shared" si="11"/>
        <v>36849</v>
      </c>
      <c r="K36" s="388">
        <f t="shared" si="11"/>
        <v>36850</v>
      </c>
      <c r="L36" s="388">
        <f t="shared" si="11"/>
        <v>68675</v>
      </c>
      <c r="M36" s="388">
        <f t="shared" si="11"/>
        <v>2282</v>
      </c>
      <c r="N36" s="388">
        <f t="shared" si="11"/>
        <v>2282</v>
      </c>
      <c r="O36" s="388">
        <f t="shared" si="11"/>
        <v>2282</v>
      </c>
      <c r="P36" s="389">
        <f t="shared" si="11"/>
        <v>236834</v>
      </c>
    </row>
    <row r="37" spans="1:17" s="369" customFormat="1" ht="14.1" customHeight="1">
      <c r="A37" s="378"/>
      <c r="B37" s="390" t="s">
        <v>275</v>
      </c>
      <c r="C37" s="388">
        <f>+'1.mell. Mérleg'!E42</f>
        <v>26257</v>
      </c>
      <c r="D37" s="391">
        <v>513</v>
      </c>
      <c r="E37" s="391">
        <f>514+19584</f>
        <v>20098</v>
      </c>
      <c r="F37" s="391">
        <v>513</v>
      </c>
      <c r="G37" s="391">
        <v>514</v>
      </c>
      <c r="H37" s="391">
        <v>513</v>
      </c>
      <c r="I37" s="391">
        <v>514</v>
      </c>
      <c r="J37" s="391">
        <v>513</v>
      </c>
      <c r="K37" s="391">
        <v>513</v>
      </c>
      <c r="L37" s="391">
        <v>513</v>
      </c>
      <c r="M37" s="391">
        <v>513</v>
      </c>
      <c r="N37" s="391">
        <v>513</v>
      </c>
      <c r="O37" s="391">
        <f>514+513</f>
        <v>1027</v>
      </c>
      <c r="P37" s="392">
        <f>SUM(D37:O37)</f>
        <v>26257</v>
      </c>
    </row>
    <row r="38" spans="1:17" s="366" customFormat="1" ht="15.9" customHeight="1" thickBot="1">
      <c r="A38" s="381"/>
      <c r="B38" s="383" t="s">
        <v>425</v>
      </c>
      <c r="C38" s="383">
        <f>+C37+C36+C32</f>
        <v>1464995</v>
      </c>
      <c r="D38" s="383">
        <f>+D37+D36+D32</f>
        <v>146903</v>
      </c>
      <c r="E38" s="383">
        <f t="shared" ref="E38:P38" si="12">+E37+E36+E32</f>
        <v>111428</v>
      </c>
      <c r="F38" s="383">
        <f t="shared" si="12"/>
        <v>110903</v>
      </c>
      <c r="G38" s="383">
        <f t="shared" si="12"/>
        <v>111429</v>
      </c>
      <c r="H38" s="383">
        <f t="shared" si="12"/>
        <v>110904</v>
      </c>
      <c r="I38" s="383">
        <f t="shared" si="12"/>
        <v>104526</v>
      </c>
      <c r="J38" s="383">
        <f t="shared" si="12"/>
        <v>136321</v>
      </c>
      <c r="K38" s="383">
        <f t="shared" si="12"/>
        <v>136326</v>
      </c>
      <c r="L38" s="383">
        <f t="shared" si="12"/>
        <v>168150</v>
      </c>
      <c r="M38" s="383">
        <f t="shared" si="12"/>
        <v>109198</v>
      </c>
      <c r="N38" s="383">
        <f t="shared" si="12"/>
        <v>109195</v>
      </c>
      <c r="O38" s="383">
        <f t="shared" si="12"/>
        <v>109712</v>
      </c>
      <c r="P38" s="384">
        <f t="shared" si="12"/>
        <v>1464995</v>
      </c>
      <c r="Q38" s="369"/>
    </row>
    <row r="39" spans="1:17" s="396" customFormat="1" ht="15.9" customHeight="1" thickBot="1">
      <c r="A39" s="393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5"/>
    </row>
    <row r="40" spans="1:17" ht="13.8" thickBot="1">
      <c r="A40" s="397"/>
      <c r="B40" s="398" t="s">
        <v>489</v>
      </c>
      <c r="C40" s="399">
        <f>+C23-C38</f>
        <v>0</v>
      </c>
      <c r="D40" s="399">
        <f t="shared" ref="D40:P40" si="13">+D23-D38</f>
        <v>300</v>
      </c>
      <c r="E40" s="399">
        <f t="shared" si="13"/>
        <v>0</v>
      </c>
      <c r="F40" s="399">
        <f t="shared" si="13"/>
        <v>0</v>
      </c>
      <c r="G40" s="399">
        <f t="shared" si="13"/>
        <v>0</v>
      </c>
      <c r="H40" s="399">
        <f t="shared" si="13"/>
        <v>0</v>
      </c>
      <c r="I40" s="399">
        <f t="shared" si="13"/>
        <v>54937</v>
      </c>
      <c r="J40" s="399">
        <f t="shared" si="13"/>
        <v>13921</v>
      </c>
      <c r="K40" s="399">
        <f t="shared" si="13"/>
        <v>-18668</v>
      </c>
      <c r="L40" s="399">
        <f t="shared" si="13"/>
        <v>-50490</v>
      </c>
      <c r="M40" s="399">
        <f t="shared" si="13"/>
        <v>0</v>
      </c>
      <c r="N40" s="399">
        <f t="shared" si="13"/>
        <v>0</v>
      </c>
      <c r="O40" s="399">
        <f t="shared" si="13"/>
        <v>0</v>
      </c>
      <c r="P40" s="400">
        <f t="shared" si="13"/>
        <v>0</v>
      </c>
      <c r="Q40" s="369"/>
    </row>
    <row r="46" spans="1:17">
      <c r="L46" s="359" t="s">
        <v>910</v>
      </c>
    </row>
  </sheetData>
  <mergeCells count="2">
    <mergeCell ref="B3:P3"/>
    <mergeCell ref="B24:P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&amp;C&amp;"Times New Roman,Félkövér"&amp;12Előirányzat-felhasználási ütemterv 2016. évre 
(&amp;"Times New Roman,Normál"módosított adatok alapján)  &amp;"Times New Roman,Félkövér"             &amp;R&amp;"Times New Roman,Félkövér"&amp;12&amp;K000000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AG113"/>
  <sheetViews>
    <sheetView zoomScaleSheetLayoutView="70" workbookViewId="0">
      <pane xSplit="3" ySplit="4" topLeftCell="D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F61" sqref="F61"/>
    </sheetView>
  </sheetViews>
  <sheetFormatPr defaultColWidth="9.109375" defaultRowHeight="13.2"/>
  <cols>
    <col min="1" max="1" width="5.6640625" style="756" customWidth="1"/>
    <col min="2" max="2" width="47" style="756" customWidth="1"/>
    <col min="3" max="3" width="8.6640625" style="756" customWidth="1"/>
    <col min="4" max="4" width="7.6640625" style="756" customWidth="1"/>
    <col min="5" max="5" width="7.5546875" style="756" customWidth="1"/>
    <col min="6" max="6" width="8.33203125" style="756" customWidth="1"/>
    <col min="7" max="7" width="7.44140625" style="756" customWidth="1"/>
    <col min="8" max="8" width="6.44140625" style="756" customWidth="1"/>
    <col min="9" max="9" width="6.5546875" style="756" customWidth="1"/>
    <col min="10" max="10" width="7.88671875" style="756" customWidth="1"/>
    <col min="11" max="11" width="6.88671875" style="756" customWidth="1"/>
    <col min="12" max="12" width="9.109375" style="756" customWidth="1"/>
    <col min="13" max="13" width="7.33203125" style="756" customWidth="1"/>
    <col min="14" max="14" width="8.109375" style="756" customWidth="1"/>
    <col min="15" max="15" width="7.33203125" style="756" customWidth="1"/>
    <col min="16" max="16" width="9.33203125" style="756" customWidth="1"/>
    <col min="17" max="17" width="8.44140625" style="756" customWidth="1"/>
    <col min="18" max="19" width="9.88671875" style="756" customWidth="1"/>
    <col min="20" max="20" width="8" style="756" customWidth="1"/>
    <col min="21" max="21" width="10.109375" style="756" customWidth="1"/>
    <col min="22" max="22" width="9" style="757" customWidth="1"/>
    <col min="23" max="23" width="7.88671875" style="756" customWidth="1"/>
    <col min="24" max="24" width="10.5546875" style="756" customWidth="1"/>
    <col min="25" max="25" width="8.6640625" style="756" customWidth="1"/>
    <col min="26" max="26" width="9.109375" style="756"/>
    <col min="27" max="27" width="9.6640625" style="756" customWidth="1"/>
    <col min="28" max="28" width="8" style="756" customWidth="1"/>
    <col min="29" max="29" width="9.5546875" style="756" customWidth="1"/>
    <col min="30" max="30" width="9.33203125" style="756" customWidth="1"/>
    <col min="31" max="31" width="7.6640625" style="756" customWidth="1"/>
    <col min="32" max="32" width="9" style="756" customWidth="1"/>
    <col min="33" max="33" width="9.33203125" style="756" customWidth="1"/>
    <col min="34" max="16384" width="9.109375" style="756"/>
  </cols>
  <sheetData>
    <row r="1" spans="1:33" ht="13.8" thickBot="1">
      <c r="AE1" s="1168" t="s">
        <v>406</v>
      </c>
      <c r="AF1" s="1168"/>
      <c r="AG1" s="1168"/>
    </row>
    <row r="2" spans="1:33" s="932" customFormat="1" ht="16.5" customHeight="1">
      <c r="A2" s="1169" t="s">
        <v>348</v>
      </c>
      <c r="B2" s="1171" t="s">
        <v>761</v>
      </c>
      <c r="C2" s="1171" t="s">
        <v>762</v>
      </c>
      <c r="D2" s="1173" t="s">
        <v>308</v>
      </c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4"/>
      <c r="U2" s="1175" t="s">
        <v>286</v>
      </c>
      <c r="V2" s="1173" t="s">
        <v>299</v>
      </c>
      <c r="W2" s="1173"/>
      <c r="X2" s="1173"/>
      <c r="Y2" s="1173"/>
      <c r="Z2" s="1173"/>
      <c r="AA2" s="1173"/>
      <c r="AB2" s="1173"/>
      <c r="AC2" s="1173"/>
      <c r="AD2" s="1173"/>
      <c r="AE2" s="1173"/>
      <c r="AF2" s="1173"/>
      <c r="AG2" s="1177" t="s">
        <v>763</v>
      </c>
    </row>
    <row r="3" spans="1:33" s="932" customFormat="1" ht="25.5" customHeight="1">
      <c r="A3" s="1170"/>
      <c r="B3" s="1167"/>
      <c r="C3" s="1172"/>
      <c r="D3" s="1167" t="s">
        <v>764</v>
      </c>
      <c r="E3" s="1167" t="s">
        <v>765</v>
      </c>
      <c r="F3" s="1167" t="s">
        <v>152</v>
      </c>
      <c r="G3" s="1167" t="s">
        <v>766</v>
      </c>
      <c r="H3" s="1167" t="s">
        <v>164</v>
      </c>
      <c r="I3" s="1179"/>
      <c r="J3" s="1167" t="s">
        <v>767</v>
      </c>
      <c r="K3" s="1180" t="s">
        <v>768</v>
      </c>
      <c r="L3" s="1167" t="s">
        <v>769</v>
      </c>
      <c r="M3" s="1167" t="s">
        <v>770</v>
      </c>
      <c r="N3" s="1167" t="s">
        <v>771</v>
      </c>
      <c r="O3" s="1167" t="s">
        <v>909</v>
      </c>
      <c r="P3" s="1167" t="s">
        <v>709</v>
      </c>
      <c r="Q3" s="1167" t="s">
        <v>773</v>
      </c>
      <c r="R3" s="1167" t="s">
        <v>774</v>
      </c>
      <c r="S3" s="1167" t="s">
        <v>775</v>
      </c>
      <c r="T3" s="1167" t="s">
        <v>776</v>
      </c>
      <c r="U3" s="1176"/>
      <c r="V3" s="1167" t="s">
        <v>777</v>
      </c>
      <c r="W3" s="1167" t="s">
        <v>778</v>
      </c>
      <c r="X3" s="1167" t="s">
        <v>779</v>
      </c>
      <c r="Y3" s="1167" t="s">
        <v>780</v>
      </c>
      <c r="Z3" s="1167" t="s">
        <v>781</v>
      </c>
      <c r="AA3" s="1167" t="s">
        <v>782</v>
      </c>
      <c r="AB3" s="1167" t="s">
        <v>783</v>
      </c>
      <c r="AC3" s="1167" t="s">
        <v>784</v>
      </c>
      <c r="AD3" s="1167" t="s">
        <v>785</v>
      </c>
      <c r="AE3" s="1167" t="s">
        <v>786</v>
      </c>
      <c r="AF3" s="1167" t="s">
        <v>787</v>
      </c>
      <c r="AG3" s="1178"/>
    </row>
    <row r="4" spans="1:33" s="932" customFormat="1" ht="35.25" customHeight="1">
      <c r="A4" s="1170"/>
      <c r="B4" s="1167"/>
      <c r="C4" s="1172"/>
      <c r="D4" s="1167"/>
      <c r="E4" s="1167"/>
      <c r="F4" s="1167"/>
      <c r="G4" s="1167"/>
      <c r="H4" s="933" t="s">
        <v>788</v>
      </c>
      <c r="I4" s="933" t="s">
        <v>789</v>
      </c>
      <c r="J4" s="1167"/>
      <c r="K4" s="1180"/>
      <c r="L4" s="1167"/>
      <c r="M4" s="1181"/>
      <c r="N4" s="1167"/>
      <c r="O4" s="1167"/>
      <c r="P4" s="1167"/>
      <c r="Q4" s="1167"/>
      <c r="R4" s="1167"/>
      <c r="S4" s="1182"/>
      <c r="T4" s="1181"/>
      <c r="U4" s="1176"/>
      <c r="V4" s="1167"/>
      <c r="W4" s="1167"/>
      <c r="X4" s="1179"/>
      <c r="Y4" s="1179"/>
      <c r="Z4" s="1167"/>
      <c r="AA4" s="1179"/>
      <c r="AB4" s="1179"/>
      <c r="AC4" s="1179"/>
      <c r="AD4" s="1167"/>
      <c r="AE4" s="1167"/>
      <c r="AF4" s="1167"/>
      <c r="AG4" s="1178"/>
    </row>
    <row r="5" spans="1:33" s="757" customFormat="1" ht="12.75" customHeight="1">
      <c r="A5" s="759" t="s">
        <v>307</v>
      </c>
      <c r="B5" s="934" t="s">
        <v>1052</v>
      </c>
      <c r="C5" s="768" t="s">
        <v>1053</v>
      </c>
      <c r="D5" s="852"/>
      <c r="E5" s="852"/>
      <c r="F5" s="852"/>
      <c r="G5" s="760"/>
      <c r="H5" s="760"/>
      <c r="I5" s="760"/>
      <c r="J5" s="760"/>
      <c r="K5" s="761"/>
      <c r="L5" s="761"/>
      <c r="M5" s="761"/>
      <c r="N5" s="760"/>
      <c r="O5" s="761"/>
      <c r="P5" s="760"/>
      <c r="Q5" s="761"/>
      <c r="R5" s="760"/>
      <c r="S5" s="760"/>
      <c r="T5" s="761"/>
      <c r="U5" s="762">
        <f t="shared" ref="U5:U81" si="0">SUM(D5:T5)</f>
        <v>0</v>
      </c>
      <c r="V5" s="763"/>
      <c r="W5" s="765">
        <v>1248</v>
      </c>
      <c r="X5" s="764"/>
      <c r="Y5" s="764"/>
      <c r="Z5" s="764"/>
      <c r="AA5" s="764"/>
      <c r="AB5" s="764"/>
      <c r="AC5" s="764"/>
      <c r="AD5" s="764"/>
      <c r="AE5" s="764"/>
      <c r="AF5" s="765"/>
      <c r="AG5" s="766">
        <f t="shared" ref="AG5:AG82" si="1">SUM(V5:AF5)</f>
        <v>1248</v>
      </c>
    </row>
    <row r="6" spans="1:33" s="757" customFormat="1" ht="12.75" customHeight="1">
      <c r="A6" s="759" t="s">
        <v>416</v>
      </c>
      <c r="B6" s="935" t="s">
        <v>1054</v>
      </c>
      <c r="C6" s="768" t="s">
        <v>1053</v>
      </c>
      <c r="D6" s="760"/>
      <c r="E6" s="760"/>
      <c r="F6" s="760">
        <v>1248</v>
      </c>
      <c r="G6" s="760"/>
      <c r="H6" s="760"/>
      <c r="I6" s="760"/>
      <c r="J6" s="760"/>
      <c r="K6" s="761"/>
      <c r="L6" s="761"/>
      <c r="M6" s="761"/>
      <c r="N6" s="760"/>
      <c r="O6" s="761"/>
      <c r="P6" s="760"/>
      <c r="Q6" s="761"/>
      <c r="R6" s="760"/>
      <c r="S6" s="760"/>
      <c r="T6" s="761"/>
      <c r="U6" s="762">
        <f t="shared" si="0"/>
        <v>1248</v>
      </c>
      <c r="V6" s="763"/>
      <c r="W6" s="764"/>
      <c r="X6" s="764"/>
      <c r="Y6" s="764"/>
      <c r="Z6" s="764"/>
      <c r="AA6" s="764"/>
      <c r="AB6" s="764"/>
      <c r="AC6" s="764"/>
      <c r="AD6" s="764"/>
      <c r="AE6" s="764"/>
      <c r="AF6" s="764"/>
      <c r="AG6" s="766">
        <f t="shared" si="1"/>
        <v>0</v>
      </c>
    </row>
    <row r="7" spans="1:33" s="757" customFormat="1" ht="12.75" customHeight="1">
      <c r="A7" s="759" t="s">
        <v>476</v>
      </c>
      <c r="B7" s="935" t="s">
        <v>894</v>
      </c>
      <c r="C7" s="768" t="s">
        <v>790</v>
      </c>
      <c r="D7" s="760"/>
      <c r="E7" s="760"/>
      <c r="F7" s="760">
        <v>323</v>
      </c>
      <c r="G7" s="760"/>
      <c r="H7" s="760"/>
      <c r="I7" s="760"/>
      <c r="J7" s="760"/>
      <c r="K7" s="761"/>
      <c r="L7" s="761"/>
      <c r="M7" s="761"/>
      <c r="N7" s="760"/>
      <c r="O7" s="761"/>
      <c r="P7" s="760"/>
      <c r="Q7" s="761"/>
      <c r="R7" s="760"/>
      <c r="S7" s="760"/>
      <c r="T7" s="761"/>
      <c r="U7" s="762">
        <f t="shared" si="0"/>
        <v>323</v>
      </c>
      <c r="V7" s="763"/>
      <c r="W7" s="764"/>
      <c r="X7" s="764"/>
      <c r="Y7" s="764"/>
      <c r="Z7" s="764"/>
      <c r="AA7" s="764"/>
      <c r="AB7" s="764"/>
      <c r="AC7" s="764"/>
      <c r="AD7" s="764"/>
      <c r="AE7" s="764"/>
      <c r="AF7" s="764"/>
      <c r="AG7" s="766">
        <f t="shared" si="1"/>
        <v>0</v>
      </c>
    </row>
    <row r="8" spans="1:33" s="757" customFormat="1" ht="12.75" customHeight="1">
      <c r="A8" s="759" t="s">
        <v>477</v>
      </c>
      <c r="B8" s="935" t="s">
        <v>1055</v>
      </c>
      <c r="C8" s="768" t="s">
        <v>507</v>
      </c>
      <c r="D8" s="760"/>
      <c r="E8" s="760"/>
      <c r="F8" s="760">
        <v>87</v>
      </c>
      <c r="G8" s="760"/>
      <c r="H8" s="760"/>
      <c r="I8" s="760"/>
      <c r="J8" s="760"/>
      <c r="K8" s="761"/>
      <c r="L8" s="761"/>
      <c r="M8" s="761"/>
      <c r="N8" s="760"/>
      <c r="O8" s="761"/>
      <c r="P8" s="760"/>
      <c r="Q8" s="761"/>
      <c r="R8" s="760"/>
      <c r="S8" s="760"/>
      <c r="T8" s="761"/>
      <c r="U8" s="762">
        <f t="shared" si="0"/>
        <v>87</v>
      </c>
      <c r="V8" s="763"/>
      <c r="W8" s="764"/>
      <c r="X8" s="764"/>
      <c r="Y8" s="764"/>
      <c r="Z8" s="764"/>
      <c r="AA8" s="764"/>
      <c r="AB8" s="764"/>
      <c r="AC8" s="764"/>
      <c r="AD8" s="764"/>
      <c r="AE8" s="764"/>
      <c r="AF8" s="764"/>
      <c r="AG8" s="766">
        <f t="shared" si="1"/>
        <v>0</v>
      </c>
    </row>
    <row r="9" spans="1:33" s="757" customFormat="1" ht="12.75" customHeight="1">
      <c r="A9" s="759" t="s">
        <v>478</v>
      </c>
      <c r="B9" s="935" t="s">
        <v>1056</v>
      </c>
      <c r="C9" s="768" t="s">
        <v>790</v>
      </c>
      <c r="D9" s="760"/>
      <c r="E9" s="760"/>
      <c r="F9" s="760">
        <v>5</v>
      </c>
      <c r="G9" s="760"/>
      <c r="H9" s="760"/>
      <c r="I9" s="760"/>
      <c r="J9" s="760"/>
      <c r="K9" s="761"/>
      <c r="L9" s="761"/>
      <c r="M9" s="761"/>
      <c r="N9" s="760"/>
      <c r="O9" s="761"/>
      <c r="P9" s="760"/>
      <c r="Q9" s="761"/>
      <c r="R9" s="760"/>
      <c r="S9" s="760"/>
      <c r="T9" s="761"/>
      <c r="U9" s="762">
        <f t="shared" si="0"/>
        <v>5</v>
      </c>
      <c r="V9" s="763"/>
      <c r="W9" s="764"/>
      <c r="X9" s="764"/>
      <c r="Y9" s="764"/>
      <c r="Z9" s="764"/>
      <c r="AA9" s="764"/>
      <c r="AB9" s="764"/>
      <c r="AC9" s="764"/>
      <c r="AD9" s="764"/>
      <c r="AE9" s="764"/>
      <c r="AF9" s="764"/>
      <c r="AG9" s="766">
        <f t="shared" si="1"/>
        <v>0</v>
      </c>
    </row>
    <row r="10" spans="1:33" s="757" customFormat="1" ht="12.75" customHeight="1">
      <c r="A10" s="759" t="s">
        <v>479</v>
      </c>
      <c r="B10" s="935" t="s">
        <v>1057</v>
      </c>
      <c r="C10" s="768"/>
      <c r="D10" s="760"/>
      <c r="E10" s="760"/>
      <c r="F10" s="760"/>
      <c r="G10" s="760"/>
      <c r="H10" s="760"/>
      <c r="I10" s="760"/>
      <c r="J10" s="760"/>
      <c r="K10" s="761"/>
      <c r="L10" s="761"/>
      <c r="M10" s="761"/>
      <c r="N10" s="760"/>
      <c r="O10" s="761"/>
      <c r="P10" s="760"/>
      <c r="Q10" s="761"/>
      <c r="R10" s="760">
        <v>-415</v>
      </c>
      <c r="S10" s="760"/>
      <c r="T10" s="761"/>
      <c r="U10" s="762">
        <f t="shared" si="0"/>
        <v>-415</v>
      </c>
      <c r="V10" s="763"/>
      <c r="W10" s="764"/>
      <c r="X10" s="764"/>
      <c r="Y10" s="764"/>
      <c r="Z10" s="764"/>
      <c r="AA10" s="764"/>
      <c r="AB10" s="764"/>
      <c r="AC10" s="764"/>
      <c r="AD10" s="764"/>
      <c r="AE10" s="764"/>
      <c r="AF10" s="764"/>
      <c r="AG10" s="766">
        <f t="shared" si="1"/>
        <v>0</v>
      </c>
    </row>
    <row r="11" spans="1:33" s="757" customFormat="1" ht="12.75" customHeight="1">
      <c r="A11" s="759" t="s">
        <v>480</v>
      </c>
      <c r="B11" s="935" t="s">
        <v>1058</v>
      </c>
      <c r="C11" s="768" t="s">
        <v>507</v>
      </c>
      <c r="D11" s="760"/>
      <c r="E11" s="760"/>
      <c r="F11" s="760">
        <v>146</v>
      </c>
      <c r="G11" s="760"/>
      <c r="H11" s="760"/>
      <c r="I11" s="760"/>
      <c r="J11" s="760"/>
      <c r="K11" s="761"/>
      <c r="L11" s="761"/>
      <c r="M11" s="761"/>
      <c r="N11" s="760"/>
      <c r="O11" s="761"/>
      <c r="P11" s="760"/>
      <c r="Q11" s="761"/>
      <c r="R11" s="760"/>
      <c r="S11" s="760"/>
      <c r="T11" s="761"/>
      <c r="U11" s="762">
        <f t="shared" si="0"/>
        <v>146</v>
      </c>
      <c r="V11" s="763"/>
      <c r="W11" s="764"/>
      <c r="X11" s="764"/>
      <c r="Y11" s="764"/>
      <c r="Z11" s="764"/>
      <c r="AA11" s="764"/>
      <c r="AB11" s="764"/>
      <c r="AC11" s="764"/>
      <c r="AD11" s="764"/>
      <c r="AE11" s="764"/>
      <c r="AF11" s="764"/>
      <c r="AG11" s="766">
        <f t="shared" si="1"/>
        <v>0</v>
      </c>
    </row>
    <row r="12" spans="1:33" s="757" customFormat="1" ht="12.75" customHeight="1">
      <c r="A12" s="759" t="s">
        <v>481</v>
      </c>
      <c r="B12" s="935" t="s">
        <v>1059</v>
      </c>
      <c r="C12" s="768"/>
      <c r="D12" s="760"/>
      <c r="E12" s="760"/>
      <c r="F12" s="760"/>
      <c r="G12" s="760"/>
      <c r="H12" s="760"/>
      <c r="I12" s="760"/>
      <c r="J12" s="760"/>
      <c r="K12" s="761"/>
      <c r="L12" s="761"/>
      <c r="M12" s="761"/>
      <c r="N12" s="760"/>
      <c r="O12" s="761"/>
      <c r="P12" s="760">
        <v>-146</v>
      </c>
      <c r="Q12" s="761"/>
      <c r="R12" s="760"/>
      <c r="S12" s="760"/>
      <c r="T12" s="761"/>
      <c r="U12" s="762">
        <f t="shared" si="0"/>
        <v>-146</v>
      </c>
      <c r="V12" s="763"/>
      <c r="W12" s="764"/>
      <c r="X12" s="764"/>
      <c r="Y12" s="764"/>
      <c r="Z12" s="764"/>
      <c r="AA12" s="764"/>
      <c r="AB12" s="764"/>
      <c r="AC12" s="764"/>
      <c r="AD12" s="764"/>
      <c r="AE12" s="764"/>
      <c r="AF12" s="764"/>
      <c r="AG12" s="766">
        <f t="shared" si="1"/>
        <v>0</v>
      </c>
    </row>
    <row r="13" spans="1:33" s="757" customFormat="1" ht="12.75" customHeight="1">
      <c r="A13" s="759" t="s">
        <v>482</v>
      </c>
      <c r="B13" s="935" t="s">
        <v>1060</v>
      </c>
      <c r="C13" s="768" t="s">
        <v>1061</v>
      </c>
      <c r="D13" s="760"/>
      <c r="E13" s="760"/>
      <c r="F13" s="760"/>
      <c r="G13" s="760"/>
      <c r="H13" s="760"/>
      <c r="I13" s="760"/>
      <c r="J13" s="760"/>
      <c r="K13" s="761"/>
      <c r="L13" s="761"/>
      <c r="M13" s="761"/>
      <c r="N13" s="760">
        <v>276</v>
      </c>
      <c r="O13" s="761"/>
      <c r="P13" s="760"/>
      <c r="Q13" s="761"/>
      <c r="R13" s="760"/>
      <c r="S13" s="760"/>
      <c r="T13" s="761"/>
      <c r="U13" s="762">
        <f t="shared" si="0"/>
        <v>276</v>
      </c>
      <c r="V13" s="763"/>
      <c r="W13" s="764"/>
      <c r="X13" s="764"/>
      <c r="Y13" s="765"/>
      <c r="Z13" s="764"/>
      <c r="AA13" s="764"/>
      <c r="AB13" s="764"/>
      <c r="AC13" s="764"/>
      <c r="AD13" s="764"/>
      <c r="AE13" s="764"/>
      <c r="AF13" s="764"/>
      <c r="AG13" s="766">
        <f t="shared" si="1"/>
        <v>0</v>
      </c>
    </row>
    <row r="14" spans="1:33" s="757" customFormat="1" ht="12.75" customHeight="1">
      <c r="A14" s="759" t="s">
        <v>483</v>
      </c>
      <c r="B14" s="935" t="s">
        <v>1057</v>
      </c>
      <c r="C14" s="768"/>
      <c r="D14" s="760"/>
      <c r="E14" s="760"/>
      <c r="F14" s="760"/>
      <c r="G14" s="760"/>
      <c r="H14" s="760"/>
      <c r="I14" s="760"/>
      <c r="J14" s="760"/>
      <c r="K14" s="761"/>
      <c r="L14" s="761"/>
      <c r="M14" s="761"/>
      <c r="N14" s="760"/>
      <c r="O14" s="761"/>
      <c r="P14" s="760"/>
      <c r="Q14" s="761"/>
      <c r="R14" s="760">
        <v>-276</v>
      </c>
      <c r="S14" s="760"/>
      <c r="T14" s="761"/>
      <c r="U14" s="762">
        <f t="shared" si="0"/>
        <v>-276</v>
      </c>
      <c r="V14" s="763"/>
      <c r="W14" s="764"/>
      <c r="X14" s="764"/>
      <c r="Y14" s="765"/>
      <c r="Z14" s="764"/>
      <c r="AA14" s="764"/>
      <c r="AB14" s="764"/>
      <c r="AC14" s="764"/>
      <c r="AD14" s="764"/>
      <c r="AE14" s="764"/>
      <c r="AF14" s="764"/>
      <c r="AG14" s="766">
        <f t="shared" si="1"/>
        <v>0</v>
      </c>
    </row>
    <row r="15" spans="1:33" s="757" customFormat="1" ht="12.75" customHeight="1">
      <c r="A15" s="759" t="s">
        <v>484</v>
      </c>
      <c r="B15" s="935" t="s">
        <v>1062</v>
      </c>
      <c r="C15" s="768" t="s">
        <v>1063</v>
      </c>
      <c r="D15" s="760"/>
      <c r="E15" s="760"/>
      <c r="F15" s="760"/>
      <c r="G15" s="760"/>
      <c r="H15" s="760"/>
      <c r="I15" s="760"/>
      <c r="J15" s="760">
        <v>9986</v>
      </c>
      <c r="K15" s="761"/>
      <c r="L15" s="761"/>
      <c r="M15" s="761"/>
      <c r="N15" s="760"/>
      <c r="O15" s="761"/>
      <c r="P15" s="760"/>
      <c r="Q15" s="761"/>
      <c r="R15" s="760"/>
      <c r="S15" s="760"/>
      <c r="T15" s="761"/>
      <c r="U15" s="762">
        <f t="shared" si="0"/>
        <v>9986</v>
      </c>
      <c r="V15" s="763"/>
      <c r="W15" s="764"/>
      <c r="X15" s="764"/>
      <c r="Y15" s="765"/>
      <c r="Z15" s="764"/>
      <c r="AA15" s="764"/>
      <c r="AB15" s="764"/>
      <c r="AC15" s="764"/>
      <c r="AD15" s="764"/>
      <c r="AE15" s="764"/>
      <c r="AF15" s="764"/>
      <c r="AG15" s="766">
        <f t="shared" si="1"/>
        <v>0</v>
      </c>
    </row>
    <row r="16" spans="1:33" s="757" customFormat="1" ht="12.75" customHeight="1">
      <c r="A16" s="759" t="s">
        <v>485</v>
      </c>
      <c r="B16" s="935" t="s">
        <v>1064</v>
      </c>
      <c r="C16" s="768" t="s">
        <v>1063</v>
      </c>
      <c r="D16" s="760"/>
      <c r="E16" s="760"/>
      <c r="F16" s="760">
        <v>2696</v>
      </c>
      <c r="G16" s="760"/>
      <c r="H16" s="760"/>
      <c r="I16" s="760"/>
      <c r="J16" s="760"/>
      <c r="K16" s="761"/>
      <c r="L16" s="761"/>
      <c r="M16" s="761"/>
      <c r="N16" s="760"/>
      <c r="O16" s="761"/>
      <c r="P16" s="760"/>
      <c r="Q16" s="761"/>
      <c r="R16" s="760"/>
      <c r="S16" s="760"/>
      <c r="T16" s="761"/>
      <c r="U16" s="762">
        <f t="shared" si="0"/>
        <v>2696</v>
      </c>
      <c r="V16" s="763"/>
      <c r="W16" s="764"/>
      <c r="X16" s="764"/>
      <c r="Y16" s="764"/>
      <c r="Z16" s="764"/>
      <c r="AA16" s="764"/>
      <c r="AB16" s="764"/>
      <c r="AC16" s="764"/>
      <c r="AD16" s="764"/>
      <c r="AE16" s="764"/>
      <c r="AF16" s="764"/>
      <c r="AG16" s="766">
        <f t="shared" si="1"/>
        <v>0</v>
      </c>
    </row>
    <row r="17" spans="1:33" s="757" customFormat="1" ht="12.75" customHeight="1">
      <c r="A17" s="759" t="s">
        <v>833</v>
      </c>
      <c r="B17" s="935" t="s">
        <v>1057</v>
      </c>
      <c r="C17" s="768"/>
      <c r="D17" s="760"/>
      <c r="E17" s="765"/>
      <c r="F17" s="765"/>
      <c r="G17" s="765"/>
      <c r="H17" s="765"/>
      <c r="I17" s="765"/>
      <c r="J17" s="765"/>
      <c r="K17" s="764"/>
      <c r="L17" s="764"/>
      <c r="M17" s="764"/>
      <c r="N17" s="765"/>
      <c r="O17" s="764"/>
      <c r="P17" s="765"/>
      <c r="Q17" s="764"/>
      <c r="R17" s="765">
        <v>-12682</v>
      </c>
      <c r="S17" s="765"/>
      <c r="T17" s="764"/>
      <c r="U17" s="762">
        <f t="shared" si="0"/>
        <v>-12682</v>
      </c>
      <c r="V17" s="763"/>
      <c r="W17" s="764"/>
      <c r="X17" s="764"/>
      <c r="Y17" s="764"/>
      <c r="Z17" s="764"/>
      <c r="AA17" s="764"/>
      <c r="AB17" s="764"/>
      <c r="AC17" s="764"/>
      <c r="AD17" s="764"/>
      <c r="AE17" s="764"/>
      <c r="AF17" s="764"/>
      <c r="AG17" s="766">
        <f t="shared" si="1"/>
        <v>0</v>
      </c>
    </row>
    <row r="18" spans="1:33" s="757" customFormat="1" ht="12.75" customHeight="1">
      <c r="A18" s="759" t="s">
        <v>834</v>
      </c>
      <c r="B18" s="935" t="s">
        <v>1065</v>
      </c>
      <c r="C18" s="768" t="s">
        <v>507</v>
      </c>
      <c r="D18" s="760">
        <v>113</v>
      </c>
      <c r="E18" s="765">
        <v>27</v>
      </c>
      <c r="F18" s="765"/>
      <c r="G18" s="765"/>
      <c r="H18" s="765"/>
      <c r="I18" s="765"/>
      <c r="J18" s="765"/>
      <c r="K18" s="764"/>
      <c r="L18" s="764"/>
      <c r="M18" s="764"/>
      <c r="N18" s="765"/>
      <c r="O18" s="764"/>
      <c r="P18" s="765"/>
      <c r="Q18" s="764"/>
      <c r="R18" s="765"/>
      <c r="S18" s="765"/>
      <c r="T18" s="764"/>
      <c r="U18" s="762">
        <f t="shared" si="0"/>
        <v>140</v>
      </c>
      <c r="V18" s="763"/>
      <c r="W18" s="764"/>
      <c r="X18" s="764"/>
      <c r="Y18" s="764"/>
      <c r="Z18" s="764"/>
      <c r="AA18" s="764"/>
      <c r="AB18" s="764"/>
      <c r="AC18" s="764"/>
      <c r="AD18" s="764"/>
      <c r="AE18" s="764"/>
      <c r="AF18" s="764"/>
      <c r="AG18" s="766">
        <f t="shared" si="1"/>
        <v>0</v>
      </c>
    </row>
    <row r="19" spans="1:33" s="757" customFormat="1" ht="12.75" customHeight="1">
      <c r="A19" s="759" t="s">
        <v>835</v>
      </c>
      <c r="B19" s="935" t="s">
        <v>1057</v>
      </c>
      <c r="C19" s="768"/>
      <c r="D19" s="760"/>
      <c r="E19" s="765"/>
      <c r="F19" s="765"/>
      <c r="G19" s="765"/>
      <c r="H19" s="765"/>
      <c r="I19" s="765"/>
      <c r="J19" s="765"/>
      <c r="K19" s="765"/>
      <c r="L19" s="764"/>
      <c r="M19" s="764"/>
      <c r="N19" s="764"/>
      <c r="O19" s="764"/>
      <c r="P19" s="765"/>
      <c r="Q19" s="765"/>
      <c r="R19" s="765">
        <v>-140</v>
      </c>
      <c r="S19" s="765"/>
      <c r="T19" s="764"/>
      <c r="U19" s="762">
        <f t="shared" si="0"/>
        <v>-140</v>
      </c>
      <c r="V19" s="763"/>
      <c r="W19" s="764"/>
      <c r="X19" s="764"/>
      <c r="Y19" s="764"/>
      <c r="Z19" s="764"/>
      <c r="AA19" s="764"/>
      <c r="AB19" s="764"/>
      <c r="AC19" s="764"/>
      <c r="AD19" s="765"/>
      <c r="AE19" s="764"/>
      <c r="AF19" s="764"/>
      <c r="AG19" s="766">
        <f t="shared" si="1"/>
        <v>0</v>
      </c>
    </row>
    <row r="20" spans="1:33" s="757" customFormat="1" ht="12.75" customHeight="1">
      <c r="A20" s="759" t="s">
        <v>837</v>
      </c>
      <c r="B20" s="935" t="s">
        <v>1066</v>
      </c>
      <c r="C20" s="769" t="s">
        <v>1067</v>
      </c>
      <c r="D20" s="760"/>
      <c r="E20" s="765"/>
      <c r="F20" s="765"/>
      <c r="G20" s="765"/>
      <c r="H20" s="765"/>
      <c r="I20" s="765"/>
      <c r="J20" s="765"/>
      <c r="K20" s="764"/>
      <c r="L20" s="764"/>
      <c r="M20" s="764"/>
      <c r="N20" s="764"/>
      <c r="O20" s="764"/>
      <c r="P20" s="765"/>
      <c r="Q20" s="765"/>
      <c r="R20" s="765"/>
      <c r="S20" s="765"/>
      <c r="T20" s="764"/>
      <c r="U20" s="762">
        <f t="shared" si="0"/>
        <v>0</v>
      </c>
      <c r="V20" s="763"/>
      <c r="W20" s="764"/>
      <c r="X20" s="764"/>
      <c r="Y20" s="765">
        <v>5823</v>
      </c>
      <c r="Z20" s="764"/>
      <c r="AA20" s="764"/>
      <c r="AB20" s="764"/>
      <c r="AC20" s="764"/>
      <c r="AD20" s="764"/>
      <c r="AE20" s="764"/>
      <c r="AF20" s="764"/>
      <c r="AG20" s="766">
        <f t="shared" si="1"/>
        <v>5823</v>
      </c>
    </row>
    <row r="21" spans="1:33" s="757" customFormat="1" ht="12.75" customHeight="1">
      <c r="A21" s="759" t="s">
        <v>839</v>
      </c>
      <c r="B21" s="935" t="s">
        <v>1068</v>
      </c>
      <c r="C21" s="768" t="s">
        <v>1067</v>
      </c>
      <c r="D21" s="760"/>
      <c r="E21" s="765"/>
      <c r="F21" s="765">
        <v>31</v>
      </c>
      <c r="G21" s="765"/>
      <c r="H21" s="765"/>
      <c r="I21" s="765"/>
      <c r="J21" s="765"/>
      <c r="K21" s="764"/>
      <c r="L21" s="764"/>
      <c r="M21" s="764"/>
      <c r="N21" s="765"/>
      <c r="O21" s="764"/>
      <c r="P21" s="765"/>
      <c r="Q21" s="765"/>
      <c r="R21" s="765"/>
      <c r="S21" s="765"/>
      <c r="T21" s="765"/>
      <c r="U21" s="762">
        <f t="shared" si="0"/>
        <v>31</v>
      </c>
      <c r="V21" s="763"/>
      <c r="W21" s="764"/>
      <c r="X21" s="764"/>
      <c r="Y21" s="764"/>
      <c r="Z21" s="764"/>
      <c r="AA21" s="764"/>
      <c r="AB21" s="764"/>
      <c r="AC21" s="764"/>
      <c r="AD21" s="764"/>
      <c r="AE21" s="764"/>
      <c r="AF21" s="764"/>
      <c r="AG21" s="766">
        <f t="shared" si="1"/>
        <v>0</v>
      </c>
    </row>
    <row r="22" spans="1:33" ht="14.25" customHeight="1">
      <c r="A22" s="759" t="s">
        <v>842</v>
      </c>
      <c r="B22" s="935" t="s">
        <v>1069</v>
      </c>
      <c r="C22" s="768" t="s">
        <v>1067</v>
      </c>
      <c r="D22" s="770"/>
      <c r="E22" s="771"/>
      <c r="F22" s="771">
        <v>919</v>
      </c>
      <c r="G22" s="771"/>
      <c r="H22" s="771"/>
      <c r="I22" s="771"/>
      <c r="J22" s="771"/>
      <c r="K22" s="771"/>
      <c r="L22" s="771"/>
      <c r="M22" s="771"/>
      <c r="N22" s="771"/>
      <c r="O22" s="771"/>
      <c r="P22" s="771"/>
      <c r="Q22" s="771"/>
      <c r="R22" s="771"/>
      <c r="S22" s="771"/>
      <c r="T22" s="771"/>
      <c r="U22" s="762">
        <f t="shared" si="0"/>
        <v>919</v>
      </c>
      <c r="V22" s="763"/>
      <c r="W22" s="771"/>
      <c r="X22" s="771"/>
      <c r="Y22" s="771"/>
      <c r="Z22" s="771"/>
      <c r="AA22" s="771"/>
      <c r="AB22" s="771"/>
      <c r="AC22" s="771"/>
      <c r="AD22" s="771"/>
      <c r="AE22" s="772"/>
      <c r="AF22" s="772"/>
      <c r="AG22" s="766">
        <f t="shared" si="1"/>
        <v>0</v>
      </c>
    </row>
    <row r="23" spans="1:33" ht="14.25" customHeight="1">
      <c r="A23" s="759" t="s">
        <v>843</v>
      </c>
      <c r="B23" s="935" t="s">
        <v>1070</v>
      </c>
      <c r="C23" s="769" t="s">
        <v>1067</v>
      </c>
      <c r="D23" s="770"/>
      <c r="E23" s="771"/>
      <c r="F23" s="771">
        <v>3175</v>
      </c>
      <c r="G23" s="771"/>
      <c r="H23" s="771"/>
      <c r="I23" s="771"/>
      <c r="J23" s="771"/>
      <c r="K23" s="771"/>
      <c r="L23" s="771"/>
      <c r="M23" s="771"/>
      <c r="N23" s="771"/>
      <c r="O23" s="771"/>
      <c r="P23" s="771"/>
      <c r="Q23" s="771"/>
      <c r="R23" s="771"/>
      <c r="S23" s="771"/>
      <c r="T23" s="771"/>
      <c r="U23" s="762">
        <f t="shared" si="0"/>
        <v>3175</v>
      </c>
      <c r="V23" s="763"/>
      <c r="W23" s="771"/>
      <c r="X23" s="771"/>
      <c r="Y23" s="771"/>
      <c r="Z23" s="771"/>
      <c r="AA23" s="771"/>
      <c r="AB23" s="771"/>
      <c r="AC23" s="771"/>
      <c r="AD23" s="771"/>
      <c r="AE23" s="772"/>
      <c r="AF23" s="772"/>
      <c r="AG23" s="766">
        <f t="shared" si="1"/>
        <v>0</v>
      </c>
    </row>
    <row r="24" spans="1:33" s="757" customFormat="1" ht="12.75" customHeight="1">
      <c r="A24" s="759" t="s">
        <v>844</v>
      </c>
      <c r="B24" s="935" t="s">
        <v>1071</v>
      </c>
      <c r="C24" s="769" t="s">
        <v>1067</v>
      </c>
      <c r="D24" s="760"/>
      <c r="E24" s="765"/>
      <c r="F24" s="765">
        <v>313</v>
      </c>
      <c r="G24" s="765"/>
      <c r="H24" s="765"/>
      <c r="I24" s="765"/>
      <c r="J24" s="765"/>
      <c r="K24" s="764"/>
      <c r="L24" s="764"/>
      <c r="M24" s="764"/>
      <c r="N24" s="764"/>
      <c r="O24" s="764"/>
      <c r="P24" s="765"/>
      <c r="Q24" s="765"/>
      <c r="R24" s="765"/>
      <c r="S24" s="765"/>
      <c r="T24" s="764"/>
      <c r="U24" s="762">
        <f t="shared" ref="U24:U25" si="2">SUM(D24:T24)</f>
        <v>313</v>
      </c>
      <c r="V24" s="763"/>
      <c r="W24" s="764"/>
      <c r="X24" s="764"/>
      <c r="Y24" s="764"/>
      <c r="Z24" s="764"/>
      <c r="AA24" s="764"/>
      <c r="AB24" s="764"/>
      <c r="AC24" s="764"/>
      <c r="AD24" s="764"/>
      <c r="AE24" s="764"/>
      <c r="AF24" s="764"/>
      <c r="AG24" s="766">
        <f t="shared" ref="AG24:AG25" si="3">SUM(V24:AF24)</f>
        <v>0</v>
      </c>
    </row>
    <row r="25" spans="1:33" s="757" customFormat="1" ht="12.75" customHeight="1">
      <c r="A25" s="759" t="s">
        <v>845</v>
      </c>
      <c r="B25" s="935" t="s">
        <v>1072</v>
      </c>
      <c r="C25" s="768" t="s">
        <v>507</v>
      </c>
      <c r="D25" s="760">
        <v>1115</v>
      </c>
      <c r="E25" s="765">
        <v>271</v>
      </c>
      <c r="F25" s="765"/>
      <c r="G25" s="765"/>
      <c r="H25" s="765"/>
      <c r="I25" s="765"/>
      <c r="J25" s="765"/>
      <c r="K25" s="764"/>
      <c r="L25" s="764"/>
      <c r="M25" s="764"/>
      <c r="N25" s="765"/>
      <c r="O25" s="764"/>
      <c r="P25" s="765"/>
      <c r="Q25" s="765"/>
      <c r="R25" s="765"/>
      <c r="S25" s="765"/>
      <c r="T25" s="765"/>
      <c r="U25" s="762">
        <f t="shared" si="2"/>
        <v>1386</v>
      </c>
      <c r="V25" s="763"/>
      <c r="W25" s="764"/>
      <c r="X25" s="764"/>
      <c r="Y25" s="764"/>
      <c r="Z25" s="764"/>
      <c r="AA25" s="764"/>
      <c r="AB25" s="764"/>
      <c r="AC25" s="764"/>
      <c r="AD25" s="764"/>
      <c r="AE25" s="764"/>
      <c r="AF25" s="764"/>
      <c r="AG25" s="766">
        <f t="shared" si="3"/>
        <v>0</v>
      </c>
    </row>
    <row r="26" spans="1:33" ht="12.75" customHeight="1">
      <c r="A26" s="759" t="s">
        <v>846</v>
      </c>
      <c r="B26" s="935" t="s">
        <v>1073</v>
      </c>
      <c r="C26" s="769"/>
      <c r="D26" s="770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O26" s="771"/>
      <c r="P26" s="771">
        <v>-1</v>
      </c>
      <c r="Q26" s="771"/>
      <c r="R26" s="771"/>
      <c r="S26" s="771"/>
      <c r="T26" s="771"/>
      <c r="U26" s="762">
        <f t="shared" si="0"/>
        <v>-1</v>
      </c>
      <c r="V26" s="763"/>
      <c r="W26" s="771"/>
      <c r="X26" s="771"/>
      <c r="Y26" s="771"/>
      <c r="Z26" s="771"/>
      <c r="AA26" s="771"/>
      <c r="AB26" s="771"/>
      <c r="AC26" s="771"/>
      <c r="AD26" s="771"/>
      <c r="AE26" s="771"/>
      <c r="AF26" s="771"/>
      <c r="AG26" s="766">
        <f t="shared" si="1"/>
        <v>0</v>
      </c>
    </row>
    <row r="27" spans="1:33" ht="12.75" customHeight="1">
      <c r="A27" s="759" t="s">
        <v>848</v>
      </c>
      <c r="B27" s="935" t="s">
        <v>1074</v>
      </c>
      <c r="C27" s="768" t="s">
        <v>1075</v>
      </c>
      <c r="D27" s="770"/>
      <c r="E27" s="771"/>
      <c r="F27" s="771"/>
      <c r="G27" s="771"/>
      <c r="H27" s="771"/>
      <c r="I27" s="771"/>
      <c r="J27" s="771"/>
      <c r="K27" s="771"/>
      <c r="L27" s="771"/>
      <c r="M27" s="771"/>
      <c r="N27" s="771"/>
      <c r="O27" s="772"/>
      <c r="P27" s="771"/>
      <c r="Q27" s="772"/>
      <c r="R27" s="771"/>
      <c r="S27" s="771"/>
      <c r="T27" s="771"/>
      <c r="U27" s="762">
        <f t="shared" si="0"/>
        <v>0</v>
      </c>
      <c r="V27" s="763"/>
      <c r="W27" s="771"/>
      <c r="X27" s="771"/>
      <c r="Y27" s="771">
        <v>864</v>
      </c>
      <c r="Z27" s="771"/>
      <c r="AA27" s="771"/>
      <c r="AB27" s="771"/>
      <c r="AC27" s="771"/>
      <c r="AD27" s="771"/>
      <c r="AE27" s="772"/>
      <c r="AF27" s="772"/>
      <c r="AG27" s="766">
        <f t="shared" si="1"/>
        <v>864</v>
      </c>
    </row>
    <row r="28" spans="1:33">
      <c r="A28" s="759" t="s">
        <v>943</v>
      </c>
      <c r="B28" s="935" t="s">
        <v>1076</v>
      </c>
      <c r="C28" s="768" t="s">
        <v>1075</v>
      </c>
      <c r="D28" s="775">
        <v>435</v>
      </c>
      <c r="E28" s="775">
        <v>117</v>
      </c>
      <c r="F28" s="775"/>
      <c r="G28" s="775"/>
      <c r="H28" s="775"/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62">
        <f t="shared" si="0"/>
        <v>552</v>
      </c>
      <c r="V28" s="763"/>
      <c r="W28" s="775"/>
      <c r="X28" s="775"/>
      <c r="Y28" s="775"/>
      <c r="Z28" s="775"/>
      <c r="AA28" s="775"/>
      <c r="AB28" s="775"/>
      <c r="AC28" s="775"/>
      <c r="AD28" s="775"/>
      <c r="AE28" s="775"/>
      <c r="AF28" s="775"/>
      <c r="AG28" s="766">
        <f t="shared" si="1"/>
        <v>0</v>
      </c>
    </row>
    <row r="29" spans="1:33">
      <c r="A29" s="759" t="s">
        <v>945</v>
      </c>
      <c r="B29" s="935" t="s">
        <v>1078</v>
      </c>
      <c r="C29" s="768" t="s">
        <v>1077</v>
      </c>
      <c r="D29" s="775">
        <v>246</v>
      </c>
      <c r="E29" s="775">
        <v>66</v>
      </c>
      <c r="F29" s="775"/>
      <c r="G29" s="775"/>
      <c r="H29" s="775"/>
      <c r="I29" s="775"/>
      <c r="J29" s="775"/>
      <c r="K29" s="775"/>
      <c r="L29" s="775"/>
      <c r="M29" s="775"/>
      <c r="N29" s="775"/>
      <c r="O29" s="775"/>
      <c r="P29" s="775"/>
      <c r="Q29" s="775"/>
      <c r="R29" s="775"/>
      <c r="S29" s="775"/>
      <c r="T29" s="775"/>
      <c r="U29" s="762">
        <f t="shared" si="0"/>
        <v>312</v>
      </c>
      <c r="V29" s="763"/>
      <c r="W29" s="775"/>
      <c r="X29" s="775"/>
      <c r="Y29" s="775"/>
      <c r="Z29" s="775"/>
      <c r="AA29" s="775"/>
      <c r="AB29" s="775"/>
      <c r="AC29" s="775"/>
      <c r="AD29" s="775"/>
      <c r="AE29" s="775"/>
      <c r="AF29" s="775"/>
      <c r="AG29" s="766">
        <f t="shared" si="1"/>
        <v>0</v>
      </c>
    </row>
    <row r="30" spans="1:33">
      <c r="A30" s="759" t="s">
        <v>947</v>
      </c>
      <c r="B30" s="935" t="s">
        <v>1079</v>
      </c>
      <c r="C30" s="768" t="s">
        <v>507</v>
      </c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  <c r="P30" s="775"/>
      <c r="Q30" s="775"/>
      <c r="R30" s="775"/>
      <c r="S30" s="775"/>
      <c r="T30" s="775"/>
      <c r="U30" s="762">
        <f t="shared" si="0"/>
        <v>0</v>
      </c>
      <c r="V30" s="763"/>
      <c r="W30" s="775"/>
      <c r="X30" s="775"/>
      <c r="Y30" s="775"/>
      <c r="Z30" s="775">
        <v>1483</v>
      </c>
      <c r="AA30" s="775"/>
      <c r="AB30" s="775"/>
      <c r="AC30" s="775"/>
      <c r="AD30" s="775"/>
      <c r="AE30" s="775"/>
      <c r="AF30" s="775"/>
      <c r="AG30" s="766">
        <f t="shared" si="1"/>
        <v>1483</v>
      </c>
    </row>
    <row r="31" spans="1:33">
      <c r="A31" s="759" t="s">
        <v>948</v>
      </c>
      <c r="B31" s="935" t="s">
        <v>1080</v>
      </c>
      <c r="C31" s="768" t="s">
        <v>507</v>
      </c>
      <c r="D31" s="775"/>
      <c r="E31" s="775"/>
      <c r="F31" s="775">
        <v>1507</v>
      </c>
      <c r="G31" s="775"/>
      <c r="H31" s="775"/>
      <c r="I31" s="775"/>
      <c r="J31" s="775"/>
      <c r="K31" s="775"/>
      <c r="L31" s="775"/>
      <c r="M31" s="775"/>
      <c r="N31" s="775"/>
      <c r="O31" s="775"/>
      <c r="P31" s="775"/>
      <c r="Q31" s="775"/>
      <c r="R31" s="775"/>
      <c r="S31" s="775"/>
      <c r="T31" s="775"/>
      <c r="U31" s="762">
        <f t="shared" si="0"/>
        <v>1507</v>
      </c>
      <c r="V31" s="763"/>
      <c r="W31" s="775"/>
      <c r="X31" s="775"/>
      <c r="Y31" s="775"/>
      <c r="Z31" s="775"/>
      <c r="AA31" s="775"/>
      <c r="AB31" s="775"/>
      <c r="AC31" s="775"/>
      <c r="AD31" s="775"/>
      <c r="AE31" s="775"/>
      <c r="AF31" s="775"/>
      <c r="AG31" s="766">
        <f t="shared" si="1"/>
        <v>0</v>
      </c>
    </row>
    <row r="32" spans="1:33">
      <c r="A32" s="759" t="s">
        <v>949</v>
      </c>
      <c r="B32" s="935" t="s">
        <v>1081</v>
      </c>
      <c r="C32" s="768" t="s">
        <v>507</v>
      </c>
      <c r="D32" s="775"/>
      <c r="E32" s="775"/>
      <c r="F32" s="775">
        <v>-24</v>
      </c>
      <c r="G32" s="775"/>
      <c r="H32" s="775"/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5"/>
      <c r="T32" s="775"/>
      <c r="U32" s="762">
        <f t="shared" si="0"/>
        <v>-24</v>
      </c>
      <c r="V32" s="763"/>
      <c r="W32" s="775"/>
      <c r="X32" s="775"/>
      <c r="Y32" s="775"/>
      <c r="Z32" s="775"/>
      <c r="AA32" s="775"/>
      <c r="AB32" s="775"/>
      <c r="AC32" s="775"/>
      <c r="AD32" s="775"/>
      <c r="AE32" s="775"/>
      <c r="AF32" s="775"/>
      <c r="AG32" s="766">
        <f t="shared" si="1"/>
        <v>0</v>
      </c>
    </row>
    <row r="33" spans="1:33">
      <c r="A33" s="759" t="s">
        <v>950</v>
      </c>
      <c r="B33" s="935" t="s">
        <v>1082</v>
      </c>
      <c r="C33" s="768" t="s">
        <v>1061</v>
      </c>
      <c r="D33" s="775"/>
      <c r="E33" s="775"/>
      <c r="F33" s="775"/>
      <c r="G33" s="775"/>
      <c r="H33" s="775"/>
      <c r="I33" s="775"/>
      <c r="J33" s="775"/>
      <c r="K33" s="775"/>
      <c r="L33" s="775"/>
      <c r="M33" s="775"/>
      <c r="N33" s="775">
        <v>-46</v>
      </c>
      <c r="O33" s="775"/>
      <c r="P33" s="775"/>
      <c r="Q33" s="775"/>
      <c r="R33" s="775"/>
      <c r="S33" s="775"/>
      <c r="T33" s="775"/>
      <c r="U33" s="762">
        <f t="shared" si="0"/>
        <v>-46</v>
      </c>
      <c r="V33" s="763"/>
      <c r="W33" s="775"/>
      <c r="X33" s="775"/>
      <c r="Y33" s="775"/>
      <c r="Z33" s="775"/>
      <c r="AA33" s="775"/>
      <c r="AB33" s="775"/>
      <c r="AC33" s="775"/>
      <c r="AD33" s="775"/>
      <c r="AE33" s="775"/>
      <c r="AF33" s="775"/>
      <c r="AG33" s="766">
        <f t="shared" si="1"/>
        <v>0</v>
      </c>
    </row>
    <row r="34" spans="1:33" ht="13.5" customHeight="1">
      <c r="A34" s="759" t="s">
        <v>952</v>
      </c>
      <c r="B34" s="935" t="s">
        <v>1083</v>
      </c>
      <c r="C34" s="768" t="s">
        <v>790</v>
      </c>
      <c r="D34" s="775"/>
      <c r="E34" s="775"/>
      <c r="F34" s="775">
        <v>46</v>
      </c>
      <c r="G34" s="775"/>
      <c r="H34" s="775"/>
      <c r="I34" s="775"/>
      <c r="J34" s="775"/>
      <c r="K34" s="775"/>
      <c r="L34" s="775"/>
      <c r="M34" s="775"/>
      <c r="N34" s="775"/>
      <c r="O34" s="775"/>
      <c r="P34" s="775"/>
      <c r="Q34" s="775"/>
      <c r="R34" s="775"/>
      <c r="S34" s="775"/>
      <c r="T34" s="775"/>
      <c r="U34" s="762">
        <f t="shared" si="0"/>
        <v>46</v>
      </c>
      <c r="V34" s="763"/>
      <c r="W34" s="775"/>
      <c r="X34" s="775"/>
      <c r="Y34" s="775"/>
      <c r="Z34" s="775"/>
      <c r="AA34" s="775"/>
      <c r="AB34" s="775"/>
      <c r="AC34" s="775"/>
      <c r="AD34" s="775"/>
      <c r="AE34" s="775"/>
      <c r="AF34" s="775"/>
      <c r="AG34" s="766">
        <f t="shared" si="1"/>
        <v>0</v>
      </c>
    </row>
    <row r="35" spans="1:33">
      <c r="A35" s="759" t="s">
        <v>974</v>
      </c>
      <c r="B35" s="935" t="s">
        <v>1084</v>
      </c>
      <c r="C35" s="774" t="s">
        <v>790</v>
      </c>
      <c r="D35" s="775"/>
      <c r="E35" s="775"/>
      <c r="F35" s="775">
        <v>60</v>
      </c>
      <c r="G35" s="775"/>
      <c r="H35" s="775"/>
      <c r="I35" s="775"/>
      <c r="J35" s="775"/>
      <c r="K35" s="775"/>
      <c r="L35" s="775"/>
      <c r="M35" s="775"/>
      <c r="N35" s="775"/>
      <c r="O35" s="775"/>
      <c r="P35" s="775"/>
      <c r="Q35" s="775"/>
      <c r="R35" s="775"/>
      <c r="S35" s="775"/>
      <c r="T35" s="775"/>
      <c r="U35" s="762">
        <f t="shared" si="0"/>
        <v>60</v>
      </c>
      <c r="V35" s="763"/>
      <c r="W35" s="775"/>
      <c r="X35" s="775"/>
      <c r="Y35" s="775"/>
      <c r="Z35" s="775"/>
      <c r="AA35" s="775"/>
      <c r="AB35" s="775"/>
      <c r="AC35" s="775"/>
      <c r="AD35" s="775"/>
      <c r="AE35" s="775"/>
      <c r="AF35" s="775"/>
      <c r="AG35" s="766">
        <f t="shared" si="1"/>
        <v>0</v>
      </c>
    </row>
    <row r="36" spans="1:33">
      <c r="A36" s="759" t="s">
        <v>975</v>
      </c>
      <c r="B36" s="935" t="s">
        <v>1059</v>
      </c>
      <c r="C36" s="774"/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775"/>
      <c r="O36" s="775"/>
      <c r="P36" s="775">
        <v>-60</v>
      </c>
      <c r="Q36" s="775"/>
      <c r="R36" s="775"/>
      <c r="S36" s="775"/>
      <c r="T36" s="775"/>
      <c r="U36" s="762">
        <f t="shared" si="0"/>
        <v>-60</v>
      </c>
      <c r="V36" s="763"/>
      <c r="W36" s="775"/>
      <c r="X36" s="775"/>
      <c r="Y36" s="775"/>
      <c r="Z36" s="775"/>
      <c r="AA36" s="775"/>
      <c r="AB36" s="775"/>
      <c r="AC36" s="775"/>
      <c r="AD36" s="775"/>
      <c r="AE36" s="775"/>
      <c r="AF36" s="775"/>
      <c r="AG36" s="766">
        <f t="shared" si="1"/>
        <v>0</v>
      </c>
    </row>
    <row r="37" spans="1:33">
      <c r="A37" s="759" t="s">
        <v>976</v>
      </c>
      <c r="B37" s="935" t="s">
        <v>1085</v>
      </c>
      <c r="C37" s="776" t="s">
        <v>507</v>
      </c>
      <c r="D37" s="775"/>
      <c r="E37" s="775"/>
      <c r="F37" s="775">
        <v>100</v>
      </c>
      <c r="G37" s="775"/>
      <c r="H37" s="775"/>
      <c r="I37" s="775"/>
      <c r="J37" s="775"/>
      <c r="K37" s="775"/>
      <c r="L37" s="775"/>
      <c r="M37" s="775"/>
      <c r="N37" s="775"/>
      <c r="O37" s="775"/>
      <c r="P37" s="775"/>
      <c r="Q37" s="775"/>
      <c r="R37" s="775"/>
      <c r="S37" s="775"/>
      <c r="T37" s="775"/>
      <c r="U37" s="762">
        <f t="shared" si="0"/>
        <v>100</v>
      </c>
      <c r="V37" s="763"/>
      <c r="W37" s="775"/>
      <c r="X37" s="775"/>
      <c r="Y37" s="775"/>
      <c r="Z37" s="775"/>
      <c r="AA37" s="775"/>
      <c r="AB37" s="775"/>
      <c r="AC37" s="775"/>
      <c r="AD37" s="775"/>
      <c r="AE37" s="775"/>
      <c r="AF37" s="775"/>
      <c r="AG37" s="766">
        <f t="shared" si="1"/>
        <v>0</v>
      </c>
    </row>
    <row r="38" spans="1:33">
      <c r="A38" s="759" t="s">
        <v>977</v>
      </c>
      <c r="B38" s="935" t="s">
        <v>1059</v>
      </c>
      <c r="C38" s="776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P38" s="775">
        <v>-100</v>
      </c>
      <c r="Q38" s="775"/>
      <c r="R38" s="775"/>
      <c r="S38" s="775"/>
      <c r="T38" s="775"/>
      <c r="U38" s="762">
        <f t="shared" si="0"/>
        <v>-100</v>
      </c>
      <c r="V38" s="763"/>
      <c r="W38" s="775"/>
      <c r="X38" s="775"/>
      <c r="Y38" s="775"/>
      <c r="Z38" s="775"/>
      <c r="AA38" s="775"/>
      <c r="AB38" s="775"/>
      <c r="AC38" s="775"/>
      <c r="AD38" s="775"/>
      <c r="AE38" s="775"/>
      <c r="AF38" s="775"/>
      <c r="AG38" s="766">
        <f t="shared" si="1"/>
        <v>0</v>
      </c>
    </row>
    <row r="39" spans="1:33">
      <c r="A39" s="759" t="s">
        <v>978</v>
      </c>
      <c r="B39" s="935" t="s">
        <v>1086</v>
      </c>
      <c r="C39" s="776" t="s">
        <v>1061</v>
      </c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>
        <v>6521</v>
      </c>
      <c r="O39" s="775"/>
      <c r="P39" s="775"/>
      <c r="Q39" s="775"/>
      <c r="R39" s="775"/>
      <c r="S39" s="775"/>
      <c r="T39" s="775"/>
      <c r="U39" s="762">
        <f t="shared" si="0"/>
        <v>6521</v>
      </c>
      <c r="V39" s="763"/>
      <c r="W39" s="775"/>
      <c r="X39" s="775"/>
      <c r="Y39" s="775"/>
      <c r="Z39" s="775"/>
      <c r="AA39" s="775"/>
      <c r="AB39" s="775"/>
      <c r="AC39" s="775"/>
      <c r="AD39" s="775"/>
      <c r="AE39" s="775"/>
      <c r="AF39" s="775"/>
      <c r="AG39" s="766">
        <f t="shared" si="1"/>
        <v>0</v>
      </c>
    </row>
    <row r="40" spans="1:33">
      <c r="A40" s="759" t="s">
        <v>979</v>
      </c>
      <c r="B40" s="935" t="s">
        <v>1087</v>
      </c>
      <c r="C40" s="776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>
        <v>1</v>
      </c>
      <c r="Q40" s="775"/>
      <c r="R40" s="775"/>
      <c r="S40" s="775"/>
      <c r="T40" s="775"/>
      <c r="U40" s="762">
        <f t="shared" si="0"/>
        <v>1</v>
      </c>
      <c r="V40" s="763"/>
      <c r="W40" s="775"/>
      <c r="X40" s="775"/>
      <c r="Y40" s="775"/>
      <c r="Z40" s="775"/>
      <c r="AA40" s="775"/>
      <c r="AB40" s="775"/>
      <c r="AC40" s="775"/>
      <c r="AD40" s="775"/>
      <c r="AE40" s="775"/>
      <c r="AF40" s="775"/>
      <c r="AG40" s="766">
        <f t="shared" si="1"/>
        <v>0</v>
      </c>
    </row>
    <row r="41" spans="1:33">
      <c r="A41" s="759" t="s">
        <v>980</v>
      </c>
      <c r="B41" s="935" t="s">
        <v>1088</v>
      </c>
      <c r="C41" s="776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>
        <v>-6522</v>
      </c>
      <c r="R41" s="775"/>
      <c r="S41" s="775"/>
      <c r="T41" s="775"/>
      <c r="U41" s="762">
        <f t="shared" si="0"/>
        <v>-6522</v>
      </c>
      <c r="V41" s="763"/>
      <c r="W41" s="775"/>
      <c r="X41" s="775"/>
      <c r="Y41" s="775"/>
      <c r="Z41" s="775"/>
      <c r="AA41" s="775"/>
      <c r="AB41" s="775"/>
      <c r="AC41" s="775"/>
      <c r="AD41" s="775"/>
      <c r="AE41" s="775"/>
      <c r="AF41" s="775"/>
      <c r="AG41" s="766">
        <f t="shared" si="1"/>
        <v>0</v>
      </c>
    </row>
    <row r="42" spans="1:33">
      <c r="A42" s="759" t="s">
        <v>981</v>
      </c>
      <c r="B42" s="935" t="s">
        <v>1089</v>
      </c>
      <c r="C42" s="776" t="s">
        <v>1061</v>
      </c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>
        <v>7904</v>
      </c>
      <c r="O42" s="775"/>
      <c r="P42" s="775"/>
      <c r="Q42" s="775"/>
      <c r="R42" s="775"/>
      <c r="S42" s="775"/>
      <c r="T42" s="775"/>
      <c r="U42" s="762">
        <f t="shared" si="0"/>
        <v>7904</v>
      </c>
      <c r="V42" s="763"/>
      <c r="W42" s="775"/>
      <c r="X42" s="775"/>
      <c r="Y42" s="775"/>
      <c r="Z42" s="775"/>
      <c r="AA42" s="775"/>
      <c r="AB42" s="775"/>
      <c r="AC42" s="775"/>
      <c r="AD42" s="775"/>
      <c r="AE42" s="775"/>
      <c r="AF42" s="775"/>
      <c r="AG42" s="766">
        <f t="shared" si="1"/>
        <v>0</v>
      </c>
    </row>
    <row r="43" spans="1:33">
      <c r="A43" s="759" t="s">
        <v>982</v>
      </c>
      <c r="B43" s="935" t="s">
        <v>1059</v>
      </c>
      <c r="C43" s="776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775"/>
      <c r="O43" s="775"/>
      <c r="P43" s="775">
        <v>-7904</v>
      </c>
      <c r="Q43" s="775"/>
      <c r="R43" s="775"/>
      <c r="S43" s="775"/>
      <c r="T43" s="775"/>
      <c r="U43" s="762">
        <f t="shared" si="0"/>
        <v>-7904</v>
      </c>
      <c r="V43" s="763"/>
      <c r="W43" s="775"/>
      <c r="X43" s="775"/>
      <c r="Y43" s="775"/>
      <c r="Z43" s="775"/>
      <c r="AA43" s="775"/>
      <c r="AB43" s="775"/>
      <c r="AC43" s="775"/>
      <c r="AD43" s="775"/>
      <c r="AE43" s="775"/>
      <c r="AF43" s="775"/>
      <c r="AG43" s="766">
        <f t="shared" si="1"/>
        <v>0</v>
      </c>
    </row>
    <row r="44" spans="1:33">
      <c r="A44" s="759" t="s">
        <v>983</v>
      </c>
      <c r="B44" s="935" t="s">
        <v>1090</v>
      </c>
      <c r="C44" s="768" t="s">
        <v>507</v>
      </c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  <c r="S44" s="775"/>
      <c r="T44" s="775"/>
      <c r="U44" s="762">
        <f t="shared" si="0"/>
        <v>0</v>
      </c>
      <c r="V44" s="763"/>
      <c r="W44" s="775"/>
      <c r="X44" s="775"/>
      <c r="Y44" s="775"/>
      <c r="Z44" s="775"/>
      <c r="AA44" s="775"/>
      <c r="AB44" s="775"/>
      <c r="AC44" s="775">
        <v>300</v>
      </c>
      <c r="AD44" s="775"/>
      <c r="AE44" s="775"/>
      <c r="AF44" s="775"/>
      <c r="AG44" s="766">
        <f t="shared" si="1"/>
        <v>300</v>
      </c>
    </row>
    <row r="45" spans="1:33">
      <c r="A45" s="759" t="s">
        <v>984</v>
      </c>
      <c r="B45" s="935" t="s">
        <v>1091</v>
      </c>
      <c r="C45" s="768" t="s">
        <v>507</v>
      </c>
      <c r="D45" s="775"/>
      <c r="E45" s="775"/>
      <c r="F45" s="775"/>
      <c r="G45" s="775"/>
      <c r="H45" s="775"/>
      <c r="I45" s="763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62">
        <f t="shared" si="0"/>
        <v>0</v>
      </c>
      <c r="V45" s="763"/>
      <c r="W45" s="775"/>
      <c r="X45" s="775"/>
      <c r="Y45" s="775">
        <v>9525</v>
      </c>
      <c r="Z45" s="775"/>
      <c r="AA45" s="775"/>
      <c r="AB45" s="775"/>
      <c r="AC45" s="775"/>
      <c r="AD45" s="775"/>
      <c r="AE45" s="775"/>
      <c r="AF45" s="775"/>
      <c r="AG45" s="766">
        <f t="shared" si="1"/>
        <v>9525</v>
      </c>
    </row>
    <row r="46" spans="1:33">
      <c r="A46" s="759" t="s">
        <v>985</v>
      </c>
      <c r="B46" s="935" t="s">
        <v>1092</v>
      </c>
      <c r="C46" s="774" t="s">
        <v>790</v>
      </c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P46" s="775"/>
      <c r="Q46" s="775"/>
      <c r="R46" s="775"/>
      <c r="S46" s="775"/>
      <c r="T46" s="775"/>
      <c r="U46" s="762">
        <f t="shared" si="0"/>
        <v>0</v>
      </c>
      <c r="V46" s="763"/>
      <c r="W46" s="775">
        <v>807</v>
      </c>
      <c r="X46" s="775"/>
      <c r="Y46" s="775"/>
      <c r="Z46" s="775"/>
      <c r="AA46" s="775"/>
      <c r="AB46" s="775"/>
      <c r="AC46" s="775"/>
      <c r="AD46" s="775"/>
      <c r="AE46" s="775"/>
      <c r="AF46" s="775"/>
      <c r="AG46" s="766">
        <f t="shared" si="1"/>
        <v>807</v>
      </c>
    </row>
    <row r="47" spans="1:33">
      <c r="A47" s="759" t="s">
        <v>986</v>
      </c>
      <c r="B47" s="935" t="s">
        <v>607</v>
      </c>
      <c r="C47" s="768" t="s">
        <v>791</v>
      </c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5"/>
      <c r="Q47" s="775"/>
      <c r="R47" s="775"/>
      <c r="S47" s="775"/>
      <c r="T47" s="775"/>
      <c r="U47" s="762">
        <f t="shared" si="0"/>
        <v>0</v>
      </c>
      <c r="V47" s="763"/>
      <c r="W47" s="775">
        <v>1597</v>
      </c>
      <c r="X47" s="775"/>
      <c r="Y47" s="775"/>
      <c r="Z47" s="775"/>
      <c r="AA47" s="775"/>
      <c r="AB47" s="775"/>
      <c r="AC47" s="775"/>
      <c r="AD47" s="775"/>
      <c r="AE47" s="775"/>
      <c r="AF47" s="775"/>
      <c r="AG47" s="766">
        <f t="shared" si="1"/>
        <v>1597</v>
      </c>
    </row>
    <row r="48" spans="1:33">
      <c r="A48" s="759" t="s">
        <v>987</v>
      </c>
      <c r="B48" s="935" t="s">
        <v>1093</v>
      </c>
      <c r="C48" s="774" t="s">
        <v>507</v>
      </c>
      <c r="D48" s="775"/>
      <c r="E48" s="775"/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62">
        <f t="shared" si="0"/>
        <v>0</v>
      </c>
      <c r="V48" s="763"/>
      <c r="W48" s="775">
        <v>310</v>
      </c>
      <c r="X48" s="775"/>
      <c r="Y48" s="775"/>
      <c r="Z48" s="775"/>
      <c r="AA48" s="775"/>
      <c r="AB48" s="775"/>
      <c r="AC48" s="775"/>
      <c r="AD48" s="775"/>
      <c r="AE48" s="775"/>
      <c r="AF48" s="775"/>
      <c r="AG48" s="766">
        <f t="shared" si="1"/>
        <v>310</v>
      </c>
    </row>
    <row r="49" spans="1:33">
      <c r="A49" s="759" t="s">
        <v>988</v>
      </c>
      <c r="B49" s="935" t="s">
        <v>1094</v>
      </c>
      <c r="C49" s="774" t="s">
        <v>507</v>
      </c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5"/>
      <c r="Q49" s="775"/>
      <c r="R49" s="775"/>
      <c r="S49" s="775"/>
      <c r="T49" s="775"/>
      <c r="U49" s="762">
        <f t="shared" si="0"/>
        <v>0</v>
      </c>
      <c r="V49" s="763"/>
      <c r="W49" s="775">
        <v>100</v>
      </c>
      <c r="X49" s="775"/>
      <c r="Y49" s="775"/>
      <c r="Z49" s="775"/>
      <c r="AA49" s="775"/>
      <c r="AB49" s="775"/>
      <c r="AC49" s="775"/>
      <c r="AD49" s="775"/>
      <c r="AE49" s="775"/>
      <c r="AF49" s="775"/>
      <c r="AG49" s="766">
        <f t="shared" si="1"/>
        <v>100</v>
      </c>
    </row>
    <row r="50" spans="1:33">
      <c r="A50" s="759" t="s">
        <v>989</v>
      </c>
      <c r="B50" s="935" t="s">
        <v>1110</v>
      </c>
      <c r="C50" s="768"/>
      <c r="D50" s="775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P50" s="775">
        <v>12639</v>
      </c>
      <c r="Q50" s="775"/>
      <c r="R50" s="775"/>
      <c r="S50" s="775"/>
      <c r="T50" s="775"/>
      <c r="U50" s="762">
        <f t="shared" ref="U50" si="4">SUM(D50:T50)</f>
        <v>12639</v>
      </c>
      <c r="V50" s="763"/>
      <c r="W50" s="775"/>
      <c r="X50" s="775"/>
      <c r="Y50" s="775"/>
      <c r="Z50" s="775"/>
      <c r="AA50" s="775"/>
      <c r="AB50" s="775"/>
      <c r="AC50" s="775"/>
      <c r="AD50" s="775"/>
      <c r="AE50" s="775"/>
      <c r="AF50" s="775"/>
      <c r="AG50" s="766">
        <f t="shared" ref="AG50" si="5">SUM(V50:AF50)</f>
        <v>0</v>
      </c>
    </row>
    <row r="51" spans="1:33">
      <c r="A51" s="759" t="s">
        <v>990</v>
      </c>
      <c r="B51" s="935" t="s">
        <v>1095</v>
      </c>
      <c r="C51" s="774" t="s">
        <v>791</v>
      </c>
      <c r="D51" s="775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62">
        <f t="shared" si="0"/>
        <v>0</v>
      </c>
      <c r="V51" s="763"/>
      <c r="W51" s="775"/>
      <c r="X51" s="775"/>
      <c r="Y51" s="775"/>
      <c r="Z51" s="775"/>
      <c r="AA51" s="775">
        <v>28605</v>
      </c>
      <c r="AB51" s="775"/>
      <c r="AC51" s="775"/>
      <c r="AD51" s="775"/>
      <c r="AE51" s="775"/>
      <c r="AF51" s="775"/>
      <c r="AG51" s="766">
        <f t="shared" si="1"/>
        <v>28605</v>
      </c>
    </row>
    <row r="52" spans="1:33">
      <c r="A52" s="759" t="s">
        <v>991</v>
      </c>
      <c r="B52" s="935" t="s">
        <v>1096</v>
      </c>
      <c r="C52" s="774"/>
      <c r="D52" s="775"/>
      <c r="E52" s="775"/>
      <c r="F52" s="775"/>
      <c r="G52" s="775"/>
      <c r="H52" s="775"/>
      <c r="I52" s="775"/>
      <c r="J52" s="775"/>
      <c r="K52" s="775"/>
      <c r="L52" s="775"/>
      <c r="M52" s="775"/>
      <c r="N52" s="775"/>
      <c r="O52" s="775"/>
      <c r="P52" s="775"/>
      <c r="Q52" s="775"/>
      <c r="R52" s="775">
        <v>28605</v>
      </c>
      <c r="S52" s="775"/>
      <c r="T52" s="775"/>
      <c r="U52" s="762">
        <f t="shared" si="0"/>
        <v>28605</v>
      </c>
      <c r="V52" s="763"/>
      <c r="W52" s="775"/>
      <c r="X52" s="775"/>
      <c r="Y52" s="775"/>
      <c r="Z52" s="775"/>
      <c r="AA52" s="775"/>
      <c r="AB52" s="775"/>
      <c r="AC52" s="775"/>
      <c r="AD52" s="775"/>
      <c r="AE52" s="775"/>
      <c r="AF52" s="775"/>
      <c r="AG52" s="766">
        <f t="shared" si="1"/>
        <v>0</v>
      </c>
    </row>
    <row r="53" spans="1:33">
      <c r="A53" s="759" t="s">
        <v>992</v>
      </c>
      <c r="B53" s="935" t="s">
        <v>1097</v>
      </c>
      <c r="C53" s="774" t="s">
        <v>1098</v>
      </c>
      <c r="D53" s="775">
        <v>-46</v>
      </c>
      <c r="E53" s="775"/>
      <c r="F53" s="763"/>
      <c r="G53" s="775"/>
      <c r="H53" s="775"/>
      <c r="I53" s="775"/>
      <c r="J53" s="775"/>
      <c r="K53" s="775"/>
      <c r="L53" s="775"/>
      <c r="M53" s="775"/>
      <c r="N53" s="775"/>
      <c r="O53" s="775"/>
      <c r="P53" s="775"/>
      <c r="Q53" s="775"/>
      <c r="R53" s="775"/>
      <c r="S53" s="775"/>
      <c r="T53" s="775"/>
      <c r="U53" s="762">
        <f t="shared" si="0"/>
        <v>-46</v>
      </c>
      <c r="V53" s="763"/>
      <c r="W53" s="775"/>
      <c r="X53" s="775"/>
      <c r="Y53" s="775"/>
      <c r="Z53" s="775"/>
      <c r="AA53" s="775"/>
      <c r="AB53" s="775"/>
      <c r="AC53" s="775"/>
      <c r="AD53" s="775"/>
      <c r="AE53" s="775"/>
      <c r="AF53" s="775"/>
      <c r="AG53" s="766">
        <f t="shared" si="1"/>
        <v>0</v>
      </c>
    </row>
    <row r="54" spans="1:33">
      <c r="A54" s="759" t="s">
        <v>993</v>
      </c>
      <c r="B54" s="935" t="s">
        <v>1097</v>
      </c>
      <c r="C54" s="774" t="s">
        <v>1098</v>
      </c>
      <c r="D54" s="775">
        <v>46</v>
      </c>
      <c r="E54" s="775"/>
      <c r="F54" s="775"/>
      <c r="G54" s="775"/>
      <c r="H54" s="775"/>
      <c r="I54" s="775"/>
      <c r="J54" s="775"/>
      <c r="K54" s="775"/>
      <c r="L54" s="775"/>
      <c r="M54" s="775"/>
      <c r="N54" s="775"/>
      <c r="O54" s="775"/>
      <c r="P54" s="775"/>
      <c r="Q54" s="775"/>
      <c r="R54" s="775"/>
      <c r="S54" s="775"/>
      <c r="T54" s="775"/>
      <c r="U54" s="762">
        <f t="shared" si="0"/>
        <v>46</v>
      </c>
      <c r="V54" s="763"/>
      <c r="W54" s="775"/>
      <c r="X54" s="775"/>
      <c r="Y54" s="775"/>
      <c r="Z54" s="775"/>
      <c r="AA54" s="775"/>
      <c r="AB54" s="775"/>
      <c r="AC54" s="775"/>
      <c r="AD54" s="775"/>
      <c r="AE54" s="775"/>
      <c r="AF54" s="775"/>
      <c r="AG54" s="766">
        <f t="shared" si="1"/>
        <v>0</v>
      </c>
    </row>
    <row r="55" spans="1:33" ht="13.5" customHeight="1">
      <c r="A55" s="759" t="s">
        <v>994</v>
      </c>
      <c r="B55" s="935" t="s">
        <v>1099</v>
      </c>
      <c r="C55" s="768" t="s">
        <v>507</v>
      </c>
      <c r="D55" s="775">
        <v>500</v>
      </c>
      <c r="E55" s="775"/>
      <c r="F55" s="775"/>
      <c r="G55" s="775"/>
      <c r="H55" s="775"/>
      <c r="I55" s="775"/>
      <c r="J55" s="775"/>
      <c r="K55" s="775"/>
      <c r="L55" s="775"/>
      <c r="M55" s="775"/>
      <c r="N55" s="775"/>
      <c r="O55" s="775"/>
      <c r="P55" s="775"/>
      <c r="Q55" s="775"/>
      <c r="R55" s="775"/>
      <c r="S55" s="775"/>
      <c r="T55" s="775"/>
      <c r="U55" s="762">
        <f t="shared" si="0"/>
        <v>500</v>
      </c>
      <c r="V55" s="763"/>
      <c r="W55" s="775"/>
      <c r="X55" s="775"/>
      <c r="Y55" s="775"/>
      <c r="Z55" s="775"/>
      <c r="AA55" s="775"/>
      <c r="AB55" s="775"/>
      <c r="AC55" s="775"/>
      <c r="AD55" s="775"/>
      <c r="AE55" s="775"/>
      <c r="AF55" s="775"/>
      <c r="AG55" s="766">
        <f t="shared" si="1"/>
        <v>0</v>
      </c>
    </row>
    <row r="56" spans="1:33" ht="12" customHeight="1">
      <c r="A56" s="759" t="s">
        <v>995</v>
      </c>
      <c r="B56" s="935" t="s">
        <v>1100</v>
      </c>
      <c r="C56" s="768" t="s">
        <v>507</v>
      </c>
      <c r="D56" s="775"/>
      <c r="E56" s="775"/>
      <c r="F56" s="775">
        <v>-500</v>
      </c>
      <c r="G56" s="775"/>
      <c r="H56" s="775"/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62">
        <f t="shared" si="0"/>
        <v>-500</v>
      </c>
      <c r="V56" s="763"/>
      <c r="W56" s="775"/>
      <c r="X56" s="775"/>
      <c r="Y56" s="775"/>
      <c r="Z56" s="775"/>
      <c r="AA56" s="775"/>
      <c r="AB56" s="775"/>
      <c r="AC56" s="775"/>
      <c r="AD56" s="775"/>
      <c r="AE56" s="775"/>
      <c r="AF56" s="775"/>
      <c r="AG56" s="766">
        <f t="shared" si="1"/>
        <v>0</v>
      </c>
    </row>
    <row r="57" spans="1:33">
      <c r="A57" s="759" t="s">
        <v>996</v>
      </c>
      <c r="B57" s="935" t="s">
        <v>1101</v>
      </c>
      <c r="C57" s="774" t="s">
        <v>507</v>
      </c>
      <c r="D57" s="775"/>
      <c r="E57" s="775"/>
      <c r="F57" s="775">
        <v>175</v>
      </c>
      <c r="G57" s="775"/>
      <c r="H57" s="775"/>
      <c r="I57" s="775"/>
      <c r="J57" s="763"/>
      <c r="K57" s="775"/>
      <c r="L57" s="775"/>
      <c r="M57" s="775"/>
      <c r="N57" s="775"/>
      <c r="O57" s="775"/>
      <c r="P57" s="775"/>
      <c r="Q57" s="775"/>
      <c r="R57" s="775"/>
      <c r="S57" s="775"/>
      <c r="T57" s="775"/>
      <c r="U57" s="762">
        <f t="shared" si="0"/>
        <v>175</v>
      </c>
      <c r="V57" s="763"/>
      <c r="W57" s="775"/>
      <c r="X57" s="775"/>
      <c r="Y57" s="775"/>
      <c r="Z57" s="775"/>
      <c r="AA57" s="775"/>
      <c r="AB57" s="775"/>
      <c r="AC57" s="775"/>
      <c r="AD57" s="775"/>
      <c r="AE57" s="775"/>
      <c r="AF57" s="775"/>
      <c r="AG57" s="766">
        <f t="shared" si="1"/>
        <v>0</v>
      </c>
    </row>
    <row r="58" spans="1:33">
      <c r="A58" s="759" t="s">
        <v>997</v>
      </c>
      <c r="B58" s="935" t="s">
        <v>1102</v>
      </c>
      <c r="C58" s="768"/>
      <c r="D58" s="775"/>
      <c r="E58" s="775"/>
      <c r="F58" s="775"/>
      <c r="G58" s="775"/>
      <c r="H58" s="775"/>
      <c r="I58" s="775"/>
      <c r="J58" s="775"/>
      <c r="K58" s="775"/>
      <c r="L58" s="775"/>
      <c r="M58" s="775"/>
      <c r="N58" s="775"/>
      <c r="O58" s="775"/>
      <c r="P58" s="763"/>
      <c r="Q58" s="775"/>
      <c r="R58" s="775"/>
      <c r="S58" s="775"/>
      <c r="T58" s="775">
        <v>-175</v>
      </c>
      <c r="U58" s="762">
        <f t="shared" si="0"/>
        <v>-175</v>
      </c>
      <c r="V58" s="763"/>
      <c r="W58" s="775"/>
      <c r="X58" s="775"/>
      <c r="Y58" s="775"/>
      <c r="Z58" s="775"/>
      <c r="AA58" s="775"/>
      <c r="AB58" s="775"/>
      <c r="AC58" s="775"/>
      <c r="AD58" s="775"/>
      <c r="AE58" s="775"/>
      <c r="AF58" s="775"/>
      <c r="AG58" s="766">
        <f t="shared" si="1"/>
        <v>0</v>
      </c>
    </row>
    <row r="59" spans="1:33">
      <c r="A59" s="759" t="s">
        <v>998</v>
      </c>
      <c r="B59" s="935" t="s">
        <v>1103</v>
      </c>
      <c r="C59" s="774" t="s">
        <v>507</v>
      </c>
      <c r="D59" s="775"/>
      <c r="E59" s="775"/>
      <c r="F59" s="775">
        <v>735</v>
      </c>
      <c r="G59" s="775"/>
      <c r="H59" s="775"/>
      <c r="I59" s="775"/>
      <c r="J59" s="775"/>
      <c r="K59" s="775"/>
      <c r="L59" s="775"/>
      <c r="M59" s="775"/>
      <c r="N59" s="775"/>
      <c r="O59" s="775"/>
      <c r="P59" s="775"/>
      <c r="Q59" s="775"/>
      <c r="R59" s="775"/>
      <c r="S59" s="775"/>
      <c r="T59" s="775"/>
      <c r="U59" s="762">
        <f t="shared" si="0"/>
        <v>735</v>
      </c>
      <c r="V59" s="763"/>
      <c r="W59" s="775"/>
      <c r="X59" s="775"/>
      <c r="Y59" s="775"/>
      <c r="Z59" s="775"/>
      <c r="AA59" s="775"/>
      <c r="AB59" s="775"/>
      <c r="AC59" s="775"/>
      <c r="AD59" s="775"/>
      <c r="AE59" s="775"/>
      <c r="AF59" s="775"/>
      <c r="AG59" s="766">
        <f t="shared" si="1"/>
        <v>0</v>
      </c>
    </row>
    <row r="60" spans="1:33">
      <c r="A60" s="759" t="s">
        <v>999</v>
      </c>
      <c r="B60" s="935" t="s">
        <v>1104</v>
      </c>
      <c r="C60" s="768" t="s">
        <v>1105</v>
      </c>
      <c r="D60" s="775"/>
      <c r="E60" s="775"/>
      <c r="F60" s="775">
        <v>248</v>
      </c>
      <c r="G60" s="775"/>
      <c r="H60" s="775"/>
      <c r="I60" s="775"/>
      <c r="J60" s="775"/>
      <c r="K60" s="775"/>
      <c r="L60" s="775"/>
      <c r="M60" s="775"/>
      <c r="N60" s="775"/>
      <c r="O60" s="775"/>
      <c r="P60" s="775"/>
      <c r="Q60" s="775"/>
      <c r="R60" s="775"/>
      <c r="S60" s="775"/>
      <c r="T60" s="775"/>
      <c r="U60" s="762">
        <f t="shared" si="0"/>
        <v>248</v>
      </c>
      <c r="V60" s="763"/>
      <c r="W60" s="775"/>
      <c r="X60" s="775"/>
      <c r="Y60" s="775"/>
      <c r="Z60" s="775"/>
      <c r="AA60" s="775"/>
      <c r="AB60" s="775"/>
      <c r="AC60" s="775"/>
      <c r="AD60" s="775"/>
      <c r="AE60" s="775"/>
      <c r="AF60" s="775"/>
      <c r="AG60" s="766">
        <f t="shared" si="1"/>
        <v>0</v>
      </c>
    </row>
    <row r="61" spans="1:33">
      <c r="A61" s="759" t="s">
        <v>1000</v>
      </c>
      <c r="B61" s="935" t="s">
        <v>1106</v>
      </c>
      <c r="C61" s="769" t="s">
        <v>1107</v>
      </c>
      <c r="D61" s="775"/>
      <c r="E61" s="775"/>
      <c r="F61" s="775"/>
      <c r="G61" s="775"/>
      <c r="H61" s="775">
        <v>521</v>
      </c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62">
        <f t="shared" si="0"/>
        <v>521</v>
      </c>
      <c r="V61" s="763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66">
        <f t="shared" si="1"/>
        <v>0</v>
      </c>
    </row>
    <row r="62" spans="1:33">
      <c r="A62" s="759" t="s">
        <v>1001</v>
      </c>
      <c r="B62" s="935" t="s">
        <v>1059</v>
      </c>
      <c r="C62" s="769"/>
      <c r="D62" s="775"/>
      <c r="E62" s="775"/>
      <c r="F62" s="775"/>
      <c r="G62" s="775"/>
      <c r="H62" s="775"/>
      <c r="I62" s="775"/>
      <c r="J62" s="775"/>
      <c r="K62" s="775"/>
      <c r="L62" s="775"/>
      <c r="M62" s="775"/>
      <c r="N62" s="775"/>
      <c r="O62" s="775"/>
      <c r="P62" s="775">
        <v>-1504</v>
      </c>
      <c r="Q62" s="775"/>
      <c r="R62" s="775"/>
      <c r="S62" s="775"/>
      <c r="T62" s="775"/>
      <c r="U62" s="762">
        <f t="shared" si="0"/>
        <v>-1504</v>
      </c>
      <c r="V62" s="763"/>
      <c r="W62" s="775"/>
      <c r="X62" s="775"/>
      <c r="Y62" s="775"/>
      <c r="Z62" s="775"/>
      <c r="AA62" s="775"/>
      <c r="AB62" s="775"/>
      <c r="AC62" s="775"/>
      <c r="AD62" s="775"/>
      <c r="AE62" s="775"/>
      <c r="AF62" s="775"/>
      <c r="AG62" s="766">
        <f t="shared" si="1"/>
        <v>0</v>
      </c>
    </row>
    <row r="63" spans="1:33">
      <c r="A63" s="759" t="s">
        <v>1002</v>
      </c>
      <c r="B63" s="935" t="s">
        <v>1108</v>
      </c>
      <c r="C63" s="769" t="s">
        <v>1098</v>
      </c>
      <c r="D63" s="775"/>
      <c r="E63" s="775"/>
      <c r="F63" s="775">
        <v>24</v>
      </c>
      <c r="G63" s="775"/>
      <c r="H63" s="775"/>
      <c r="I63" s="775"/>
      <c r="J63" s="775"/>
      <c r="K63" s="775"/>
      <c r="L63" s="775"/>
      <c r="M63" s="775"/>
      <c r="N63" s="775"/>
      <c r="O63" s="775"/>
      <c r="P63" s="775"/>
      <c r="Q63" s="775"/>
      <c r="R63" s="775"/>
      <c r="S63" s="775"/>
      <c r="T63" s="775"/>
      <c r="U63" s="762">
        <f t="shared" si="0"/>
        <v>24</v>
      </c>
      <c r="V63" s="763"/>
      <c r="W63" s="775"/>
      <c r="X63" s="775"/>
      <c r="Y63" s="775"/>
      <c r="Z63" s="775"/>
      <c r="AA63" s="775"/>
      <c r="AB63" s="775"/>
      <c r="AC63" s="775"/>
      <c r="AD63" s="775"/>
      <c r="AE63" s="775"/>
      <c r="AF63" s="775"/>
      <c r="AG63" s="766">
        <f t="shared" si="1"/>
        <v>0</v>
      </c>
    </row>
    <row r="64" spans="1:33">
      <c r="A64" s="759" t="s">
        <v>1003</v>
      </c>
      <c r="B64" s="935" t="s">
        <v>1109</v>
      </c>
      <c r="C64" s="769" t="s">
        <v>1098</v>
      </c>
      <c r="D64" s="775"/>
      <c r="E64" s="775">
        <v>-24</v>
      </c>
      <c r="F64" s="775"/>
      <c r="G64" s="775"/>
      <c r="H64" s="775"/>
      <c r="I64" s="775"/>
      <c r="J64" s="775"/>
      <c r="K64" s="775"/>
      <c r="L64" s="775"/>
      <c r="M64" s="775"/>
      <c r="N64" s="775"/>
      <c r="O64" s="775"/>
      <c r="P64" s="775"/>
      <c r="Q64" s="775"/>
      <c r="R64" s="775"/>
      <c r="S64" s="775"/>
      <c r="T64" s="775"/>
      <c r="U64" s="762">
        <f t="shared" si="0"/>
        <v>-24</v>
      </c>
      <c r="V64" s="763"/>
      <c r="W64" s="775"/>
      <c r="X64" s="775"/>
      <c r="Y64" s="775"/>
      <c r="Z64" s="775"/>
      <c r="AA64" s="775"/>
      <c r="AB64" s="775"/>
      <c r="AC64" s="775"/>
      <c r="AD64" s="775"/>
      <c r="AE64" s="775"/>
      <c r="AF64" s="775"/>
      <c r="AG64" s="766">
        <f t="shared" si="1"/>
        <v>0</v>
      </c>
    </row>
    <row r="65" spans="1:33">
      <c r="A65" s="759" t="s">
        <v>1004</v>
      </c>
      <c r="B65" s="935" t="s">
        <v>1111</v>
      </c>
      <c r="C65" s="768" t="s">
        <v>791</v>
      </c>
      <c r="D65" s="775"/>
      <c r="E65" s="775"/>
      <c r="F65" s="775"/>
      <c r="G65" s="775"/>
      <c r="H65" s="775"/>
      <c r="I65" s="775"/>
      <c r="J65" s="775">
        <v>728</v>
      </c>
      <c r="K65" s="775"/>
      <c r="L65" s="775"/>
      <c r="M65" s="775"/>
      <c r="N65" s="775"/>
      <c r="O65" s="775"/>
      <c r="P65" s="775"/>
      <c r="Q65" s="775"/>
      <c r="R65" s="775"/>
      <c r="S65" s="775"/>
      <c r="T65" s="775"/>
      <c r="U65" s="762">
        <f t="shared" si="0"/>
        <v>728</v>
      </c>
      <c r="V65" s="763"/>
      <c r="W65" s="775"/>
      <c r="X65" s="775"/>
      <c r="Y65" s="775"/>
      <c r="Z65" s="775"/>
      <c r="AA65" s="775"/>
      <c r="AB65" s="775"/>
      <c r="AC65" s="775"/>
      <c r="AD65" s="775"/>
      <c r="AE65" s="775"/>
      <c r="AF65" s="775"/>
      <c r="AG65" s="766">
        <f t="shared" si="1"/>
        <v>0</v>
      </c>
    </row>
    <row r="66" spans="1:33">
      <c r="A66" s="759" t="s">
        <v>1005</v>
      </c>
      <c r="B66" s="935" t="s">
        <v>1112</v>
      </c>
      <c r="C66" s="768" t="s">
        <v>791</v>
      </c>
      <c r="D66" s="775"/>
      <c r="E66" s="775"/>
      <c r="F66" s="775"/>
      <c r="G66" s="775"/>
      <c r="H66" s="775"/>
      <c r="I66" s="775"/>
      <c r="J66" s="775">
        <v>704</v>
      </c>
      <c r="K66" s="775"/>
      <c r="L66" s="775"/>
      <c r="M66" s="775"/>
      <c r="N66" s="775"/>
      <c r="O66" s="775"/>
      <c r="P66" s="775"/>
      <c r="Q66" s="775"/>
      <c r="R66" s="775"/>
      <c r="S66" s="775"/>
      <c r="T66" s="775"/>
      <c r="U66" s="762">
        <f t="shared" si="0"/>
        <v>704</v>
      </c>
      <c r="V66" s="763"/>
      <c r="W66" s="775"/>
      <c r="X66" s="775"/>
      <c r="Y66" s="775"/>
      <c r="Z66" s="775"/>
      <c r="AA66" s="775"/>
      <c r="AB66" s="775"/>
      <c r="AC66" s="775"/>
      <c r="AD66" s="775"/>
      <c r="AE66" s="775"/>
      <c r="AF66" s="775"/>
      <c r="AG66" s="766">
        <f t="shared" si="1"/>
        <v>0</v>
      </c>
    </row>
    <row r="67" spans="1:33">
      <c r="A67" s="759" t="s">
        <v>1006</v>
      </c>
      <c r="B67" s="935" t="s">
        <v>1113</v>
      </c>
      <c r="C67" s="768" t="s">
        <v>1114</v>
      </c>
      <c r="D67" s="775"/>
      <c r="E67" s="775"/>
      <c r="F67" s="775"/>
      <c r="G67" s="775"/>
      <c r="H67" s="775"/>
      <c r="I67" s="775"/>
      <c r="J67" s="775"/>
      <c r="K67" s="775">
        <v>486</v>
      </c>
      <c r="L67" s="775"/>
      <c r="M67" s="775"/>
      <c r="N67" s="775"/>
      <c r="O67" s="775"/>
      <c r="P67" s="775"/>
      <c r="Q67" s="775"/>
      <c r="R67" s="775"/>
      <c r="S67" s="775"/>
      <c r="T67" s="775"/>
      <c r="U67" s="762">
        <f t="shared" si="0"/>
        <v>486</v>
      </c>
      <c r="V67" s="763"/>
      <c r="W67" s="775"/>
      <c r="X67" s="775"/>
      <c r="Y67" s="775"/>
      <c r="Z67" s="775"/>
      <c r="AA67" s="775"/>
      <c r="AB67" s="775"/>
      <c r="AC67" s="775"/>
      <c r="AD67" s="775"/>
      <c r="AE67" s="775"/>
      <c r="AF67" s="775"/>
      <c r="AG67" s="766">
        <f t="shared" si="1"/>
        <v>0</v>
      </c>
    </row>
    <row r="68" spans="1:33">
      <c r="A68" s="759" t="s">
        <v>1007</v>
      </c>
      <c r="B68" s="935" t="s">
        <v>1115</v>
      </c>
      <c r="C68" s="768" t="s">
        <v>790</v>
      </c>
      <c r="D68" s="775"/>
      <c r="E68" s="775"/>
      <c r="F68" s="775">
        <v>280</v>
      </c>
      <c r="G68" s="775"/>
      <c r="H68" s="775"/>
      <c r="I68" s="775"/>
      <c r="J68" s="775"/>
      <c r="K68" s="775"/>
      <c r="L68" s="775"/>
      <c r="M68" s="775"/>
      <c r="N68" s="775"/>
      <c r="O68" s="775"/>
      <c r="P68" s="775"/>
      <c r="Q68" s="775"/>
      <c r="R68" s="775"/>
      <c r="S68" s="775"/>
      <c r="T68" s="775"/>
      <c r="U68" s="762">
        <f t="shared" si="0"/>
        <v>280</v>
      </c>
      <c r="V68" s="763"/>
      <c r="W68" s="775"/>
      <c r="X68" s="775"/>
      <c r="Y68" s="775"/>
      <c r="Z68" s="775"/>
      <c r="AA68" s="775"/>
      <c r="AB68" s="775"/>
      <c r="AC68" s="775"/>
      <c r="AD68" s="775"/>
      <c r="AE68" s="775"/>
      <c r="AF68" s="775"/>
      <c r="AG68" s="766">
        <f t="shared" si="1"/>
        <v>0</v>
      </c>
    </row>
    <row r="69" spans="1:33">
      <c r="A69" s="759" t="s">
        <v>1008</v>
      </c>
      <c r="B69" s="935" t="s">
        <v>1116</v>
      </c>
      <c r="C69" s="768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N69" s="775"/>
      <c r="O69" s="775"/>
      <c r="P69" s="775"/>
      <c r="Q69" s="775"/>
      <c r="R69" s="775">
        <v>-2198</v>
      </c>
      <c r="S69" s="775"/>
      <c r="T69" s="775"/>
      <c r="U69" s="762">
        <f t="shared" si="0"/>
        <v>-2198</v>
      </c>
      <c r="V69" s="763"/>
      <c r="W69" s="775"/>
      <c r="X69" s="775"/>
      <c r="Y69" s="775"/>
      <c r="Z69" s="775"/>
      <c r="AA69" s="775"/>
      <c r="AB69" s="775"/>
      <c r="AC69" s="775"/>
      <c r="AD69" s="775"/>
      <c r="AE69" s="775"/>
      <c r="AF69" s="775"/>
      <c r="AG69" s="766">
        <f t="shared" si="1"/>
        <v>0</v>
      </c>
    </row>
    <row r="70" spans="1:33">
      <c r="A70" s="759" t="s">
        <v>1009</v>
      </c>
      <c r="B70" s="935" t="s">
        <v>1117</v>
      </c>
      <c r="C70" s="769" t="s">
        <v>1053</v>
      </c>
      <c r="D70" s="777"/>
      <c r="E70" s="777"/>
      <c r="F70" s="777"/>
      <c r="G70" s="777"/>
      <c r="H70" s="777"/>
      <c r="I70" s="777"/>
      <c r="J70" s="775">
        <v>3150</v>
      </c>
      <c r="K70" s="775"/>
      <c r="L70" s="777"/>
      <c r="M70" s="777"/>
      <c r="N70" s="777"/>
      <c r="O70" s="777"/>
      <c r="P70" s="777"/>
      <c r="Q70" s="775"/>
      <c r="R70" s="775"/>
      <c r="S70" s="775"/>
      <c r="T70" s="777"/>
      <c r="U70" s="762">
        <f t="shared" si="0"/>
        <v>3150</v>
      </c>
      <c r="V70" s="763"/>
      <c r="W70" s="775"/>
      <c r="X70" s="775"/>
      <c r="Y70" s="775"/>
      <c r="Z70" s="775"/>
      <c r="AA70" s="775"/>
      <c r="AB70" s="775"/>
      <c r="AC70" s="775"/>
      <c r="AD70" s="775"/>
      <c r="AE70" s="775"/>
      <c r="AF70" s="775"/>
      <c r="AG70" s="766">
        <f t="shared" si="1"/>
        <v>0</v>
      </c>
    </row>
    <row r="71" spans="1:33">
      <c r="A71" s="759" t="s">
        <v>1010</v>
      </c>
      <c r="B71" s="935" t="s">
        <v>1118</v>
      </c>
      <c r="C71" s="774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775"/>
      <c r="P71" s="775"/>
      <c r="Q71" s="775"/>
      <c r="R71" s="775"/>
      <c r="S71" s="775">
        <v>-3150</v>
      </c>
      <c r="T71" s="775"/>
      <c r="U71" s="762">
        <f t="shared" si="0"/>
        <v>-3150</v>
      </c>
      <c r="V71" s="763"/>
      <c r="W71" s="775"/>
      <c r="X71" s="775"/>
      <c r="Y71" s="775"/>
      <c r="Z71" s="775"/>
      <c r="AA71" s="775"/>
      <c r="AB71" s="775"/>
      <c r="AC71" s="775"/>
      <c r="AD71" s="775"/>
      <c r="AE71" s="775"/>
      <c r="AF71" s="775"/>
      <c r="AG71" s="766">
        <f t="shared" si="1"/>
        <v>0</v>
      </c>
    </row>
    <row r="72" spans="1:33" ht="15" customHeight="1">
      <c r="A72" s="759" t="s">
        <v>1011</v>
      </c>
      <c r="B72" s="935" t="s">
        <v>1119</v>
      </c>
      <c r="C72" s="768" t="s">
        <v>790</v>
      </c>
      <c r="D72" s="775"/>
      <c r="E72" s="775"/>
      <c r="F72" s="775"/>
      <c r="G72" s="775"/>
      <c r="H72" s="775"/>
      <c r="I72" s="775"/>
      <c r="J72" s="775">
        <v>33366</v>
      </c>
      <c r="K72" s="775"/>
      <c r="L72" s="775"/>
      <c r="M72" s="775"/>
      <c r="N72" s="775"/>
      <c r="O72" s="775"/>
      <c r="P72" s="775"/>
      <c r="Q72" s="775"/>
      <c r="R72" s="775"/>
      <c r="S72" s="775"/>
      <c r="T72" s="775"/>
      <c r="U72" s="762">
        <f t="shared" si="0"/>
        <v>33366</v>
      </c>
      <c r="V72" s="763"/>
      <c r="W72" s="775"/>
      <c r="X72" s="775"/>
      <c r="Y72" s="775"/>
      <c r="Z72" s="775"/>
      <c r="AA72" s="775"/>
      <c r="AB72" s="775"/>
      <c r="AC72" s="775"/>
      <c r="AD72" s="775"/>
      <c r="AE72" s="775"/>
      <c r="AF72" s="775"/>
      <c r="AG72" s="766">
        <f t="shared" si="1"/>
        <v>0</v>
      </c>
    </row>
    <row r="73" spans="1:33">
      <c r="A73" s="759" t="s">
        <v>1012</v>
      </c>
      <c r="B73" s="935" t="s">
        <v>1120</v>
      </c>
      <c r="C73" s="768" t="s">
        <v>790</v>
      </c>
      <c r="D73" s="775"/>
      <c r="E73" s="775"/>
      <c r="F73" s="775">
        <v>9009</v>
      </c>
      <c r="G73" s="775"/>
      <c r="H73" s="775"/>
      <c r="I73" s="775"/>
      <c r="J73" s="775"/>
      <c r="K73" s="775"/>
      <c r="L73" s="775"/>
      <c r="M73" s="775"/>
      <c r="N73" s="775"/>
      <c r="O73" s="775"/>
      <c r="P73" s="775"/>
      <c r="Q73" s="775"/>
      <c r="R73" s="775"/>
      <c r="S73" s="775"/>
      <c r="T73" s="775"/>
      <c r="U73" s="762">
        <f t="shared" si="0"/>
        <v>9009</v>
      </c>
      <c r="V73" s="763"/>
      <c r="W73" s="775"/>
      <c r="X73" s="775"/>
      <c r="Y73" s="775"/>
      <c r="Z73" s="775"/>
      <c r="AA73" s="775"/>
      <c r="AB73" s="775"/>
      <c r="AC73" s="775"/>
      <c r="AD73" s="775"/>
      <c r="AE73" s="775"/>
      <c r="AF73" s="775"/>
      <c r="AG73" s="766">
        <f t="shared" si="1"/>
        <v>0</v>
      </c>
    </row>
    <row r="74" spans="1:33" ht="15" customHeight="1">
      <c r="A74" s="759" t="s">
        <v>1013</v>
      </c>
      <c r="B74" s="935" t="s">
        <v>1121</v>
      </c>
      <c r="C74" s="776" t="s">
        <v>790</v>
      </c>
      <c r="D74" s="775"/>
      <c r="E74" s="775"/>
      <c r="F74" s="775">
        <v>238</v>
      </c>
      <c r="G74" s="775"/>
      <c r="H74" s="775"/>
      <c r="I74" s="775"/>
      <c r="J74" s="775"/>
      <c r="K74" s="775"/>
      <c r="L74" s="775"/>
      <c r="M74" s="775"/>
      <c r="N74" s="775"/>
      <c r="O74" s="775"/>
      <c r="P74" s="775"/>
      <c r="Q74" s="775"/>
      <c r="R74" s="775"/>
      <c r="S74" s="775"/>
      <c r="T74" s="775"/>
      <c r="U74" s="762">
        <f t="shared" si="0"/>
        <v>238</v>
      </c>
      <c r="V74" s="763"/>
      <c r="W74" s="775"/>
      <c r="X74" s="775"/>
      <c r="Y74" s="775"/>
      <c r="Z74" s="775"/>
      <c r="AA74" s="775"/>
      <c r="AB74" s="775"/>
      <c r="AC74" s="775"/>
      <c r="AD74" s="775"/>
      <c r="AE74" s="775"/>
      <c r="AF74" s="775"/>
      <c r="AG74" s="766">
        <f t="shared" si="1"/>
        <v>0</v>
      </c>
    </row>
    <row r="75" spans="1:33">
      <c r="A75" s="759" t="s">
        <v>1014</v>
      </c>
      <c r="B75" s="935" t="s">
        <v>1122</v>
      </c>
      <c r="C75" s="776" t="s">
        <v>790</v>
      </c>
      <c r="D75" s="775"/>
      <c r="E75" s="775"/>
      <c r="F75" s="775">
        <v>22</v>
      </c>
      <c r="G75" s="775"/>
      <c r="H75" s="775"/>
      <c r="I75" s="775"/>
      <c r="J75" s="775"/>
      <c r="K75" s="775"/>
      <c r="L75" s="775"/>
      <c r="M75" s="775"/>
      <c r="N75" s="775"/>
      <c r="O75" s="775"/>
      <c r="P75" s="775"/>
      <c r="Q75" s="775"/>
      <c r="R75" s="775"/>
      <c r="S75" s="775"/>
      <c r="T75" s="775"/>
      <c r="U75" s="762">
        <f t="shared" si="0"/>
        <v>22</v>
      </c>
      <c r="V75" s="763"/>
      <c r="W75" s="775"/>
      <c r="X75" s="775"/>
      <c r="Y75" s="775"/>
      <c r="Z75" s="775"/>
      <c r="AA75" s="775"/>
      <c r="AB75" s="775"/>
      <c r="AC75" s="775"/>
      <c r="AD75" s="775"/>
      <c r="AE75" s="775"/>
      <c r="AF75" s="775"/>
      <c r="AG75" s="766">
        <f t="shared" si="1"/>
        <v>0</v>
      </c>
    </row>
    <row r="76" spans="1:33">
      <c r="A76" s="759" t="s">
        <v>1015</v>
      </c>
      <c r="B76" s="935" t="s">
        <v>1123</v>
      </c>
      <c r="C76" s="776" t="s">
        <v>790</v>
      </c>
      <c r="D76" s="775"/>
      <c r="E76" s="775"/>
      <c r="F76" s="775">
        <v>38</v>
      </c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62">
        <f t="shared" si="0"/>
        <v>38</v>
      </c>
      <c r="V76" s="763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66">
        <f t="shared" si="1"/>
        <v>0</v>
      </c>
    </row>
    <row r="77" spans="1:33">
      <c r="A77" s="759" t="s">
        <v>1016</v>
      </c>
      <c r="B77" s="935" t="s">
        <v>1124</v>
      </c>
      <c r="C77" s="774" t="s">
        <v>1125</v>
      </c>
      <c r="D77" s="775"/>
      <c r="E77" s="775"/>
      <c r="F77" s="775">
        <v>102</v>
      </c>
      <c r="G77" s="775"/>
      <c r="H77" s="775"/>
      <c r="I77" s="775"/>
      <c r="J77" s="775"/>
      <c r="K77" s="775"/>
      <c r="L77" s="775"/>
      <c r="M77" s="775"/>
      <c r="N77" s="775"/>
      <c r="O77" s="775"/>
      <c r="P77" s="775"/>
      <c r="Q77" s="775"/>
      <c r="R77" s="775"/>
      <c r="S77" s="775"/>
      <c r="T77" s="775"/>
      <c r="U77" s="762">
        <f t="shared" si="0"/>
        <v>102</v>
      </c>
      <c r="V77" s="763"/>
      <c r="W77" s="775"/>
      <c r="X77" s="775"/>
      <c r="Y77" s="775"/>
      <c r="Z77" s="775"/>
      <c r="AA77" s="775"/>
      <c r="AB77" s="775"/>
      <c r="AC77" s="775"/>
      <c r="AD77" s="775"/>
      <c r="AE77" s="775"/>
      <c r="AF77" s="775"/>
      <c r="AG77" s="766">
        <f t="shared" si="1"/>
        <v>0</v>
      </c>
    </row>
    <row r="78" spans="1:33" ht="12.75" customHeight="1">
      <c r="A78" s="759" t="s">
        <v>1017</v>
      </c>
      <c r="B78" s="935" t="s">
        <v>1126</v>
      </c>
      <c r="C78" s="774" t="s">
        <v>1125</v>
      </c>
      <c r="D78" s="775"/>
      <c r="E78" s="771"/>
      <c r="F78" s="771">
        <v>371</v>
      </c>
      <c r="G78" s="771"/>
      <c r="H78" s="771"/>
      <c r="I78" s="771"/>
      <c r="J78" s="771"/>
      <c r="K78" s="771"/>
      <c r="L78" s="771"/>
      <c r="M78" s="772"/>
      <c r="N78" s="772"/>
      <c r="O78" s="772"/>
      <c r="P78" s="771"/>
      <c r="Q78" s="772"/>
      <c r="R78" s="771"/>
      <c r="S78" s="771"/>
      <c r="T78" s="771"/>
      <c r="U78" s="762">
        <f t="shared" si="0"/>
        <v>371</v>
      </c>
      <c r="V78" s="763"/>
      <c r="W78" s="771"/>
      <c r="X78" s="771"/>
      <c r="Y78" s="771"/>
      <c r="Z78" s="771"/>
      <c r="AA78" s="771"/>
      <c r="AB78" s="771"/>
      <c r="AC78" s="771"/>
      <c r="AD78" s="771"/>
      <c r="AE78" s="772"/>
      <c r="AF78" s="772"/>
      <c r="AG78" s="766">
        <f t="shared" si="1"/>
        <v>0</v>
      </c>
    </row>
    <row r="79" spans="1:33" ht="12.75" customHeight="1">
      <c r="A79" s="759" t="s">
        <v>1018</v>
      </c>
      <c r="B79" s="935" t="s">
        <v>1116</v>
      </c>
      <c r="C79" s="774"/>
      <c r="D79" s="770"/>
      <c r="E79" s="771"/>
      <c r="F79" s="771"/>
      <c r="G79" s="771"/>
      <c r="H79" s="771"/>
      <c r="I79" s="771"/>
      <c r="J79" s="771"/>
      <c r="K79" s="771"/>
      <c r="L79" s="772"/>
      <c r="M79" s="772"/>
      <c r="N79" s="772"/>
      <c r="O79" s="772"/>
      <c r="P79" s="771"/>
      <c r="Q79" s="772"/>
      <c r="R79" s="771">
        <v>-43146</v>
      </c>
      <c r="S79" s="771"/>
      <c r="T79" s="771"/>
      <c r="U79" s="762">
        <f t="shared" si="0"/>
        <v>-43146</v>
      </c>
      <c r="V79" s="763"/>
      <c r="W79" s="771"/>
      <c r="X79" s="771"/>
      <c r="Y79" s="771"/>
      <c r="Z79" s="771"/>
      <c r="AA79" s="771"/>
      <c r="AB79" s="771"/>
      <c r="AC79" s="771"/>
      <c r="AD79" s="771"/>
      <c r="AE79" s="772"/>
      <c r="AF79" s="772"/>
      <c r="AG79" s="766">
        <f t="shared" si="1"/>
        <v>0</v>
      </c>
    </row>
    <row r="80" spans="1:33" ht="12.75" customHeight="1">
      <c r="A80" s="759" t="s">
        <v>1019</v>
      </c>
      <c r="B80" s="935" t="s">
        <v>1127</v>
      </c>
      <c r="C80" s="774" t="s">
        <v>1063</v>
      </c>
      <c r="D80" s="770"/>
      <c r="E80" s="771"/>
      <c r="F80" s="771"/>
      <c r="G80" s="771"/>
      <c r="H80" s="771"/>
      <c r="I80" s="771"/>
      <c r="J80" s="771"/>
      <c r="K80" s="771">
        <v>31340</v>
      </c>
      <c r="L80" s="771"/>
      <c r="M80" s="772"/>
      <c r="N80" s="772"/>
      <c r="O80" s="772"/>
      <c r="P80" s="771"/>
      <c r="Q80" s="772"/>
      <c r="R80" s="771"/>
      <c r="S80" s="771"/>
      <c r="T80" s="771"/>
      <c r="U80" s="762">
        <f t="shared" si="0"/>
        <v>31340</v>
      </c>
      <c r="V80" s="763"/>
      <c r="W80" s="771"/>
      <c r="X80" s="771"/>
      <c r="Y80" s="771"/>
      <c r="Z80" s="771"/>
      <c r="AA80" s="771"/>
      <c r="AB80" s="771"/>
      <c r="AC80" s="771"/>
      <c r="AD80" s="771"/>
      <c r="AE80" s="772"/>
      <c r="AF80" s="772"/>
      <c r="AG80" s="766">
        <f t="shared" si="1"/>
        <v>0</v>
      </c>
    </row>
    <row r="81" spans="1:33" ht="12.75" customHeight="1">
      <c r="A81" s="759" t="s">
        <v>1020</v>
      </c>
      <c r="B81" s="935" t="s">
        <v>1118</v>
      </c>
      <c r="C81" s="774"/>
      <c r="D81" s="770"/>
      <c r="E81" s="771"/>
      <c r="F81" s="771"/>
      <c r="G81" s="771"/>
      <c r="H81" s="771"/>
      <c r="I81" s="771"/>
      <c r="J81" s="771"/>
      <c r="K81" s="771"/>
      <c r="L81" s="772"/>
      <c r="M81" s="772"/>
      <c r="N81" s="772"/>
      <c r="O81" s="772"/>
      <c r="P81" s="771"/>
      <c r="Q81" s="772"/>
      <c r="R81" s="771"/>
      <c r="S81" s="771">
        <v>-31340</v>
      </c>
      <c r="T81" s="771"/>
      <c r="U81" s="762">
        <f t="shared" si="0"/>
        <v>-31340</v>
      </c>
      <c r="V81" s="763"/>
      <c r="W81" s="771"/>
      <c r="X81" s="771"/>
      <c r="Y81" s="771"/>
      <c r="Z81" s="771"/>
      <c r="AA81" s="771"/>
      <c r="AB81" s="771"/>
      <c r="AC81" s="771"/>
      <c r="AD81" s="771"/>
      <c r="AE81" s="772"/>
      <c r="AF81" s="772"/>
      <c r="AG81" s="766">
        <f t="shared" si="1"/>
        <v>0</v>
      </c>
    </row>
    <row r="82" spans="1:33" ht="12.75" customHeight="1">
      <c r="A82" s="759" t="s">
        <v>1021</v>
      </c>
      <c r="B82" s="935" t="s">
        <v>1128</v>
      </c>
      <c r="C82" s="774" t="s">
        <v>1129</v>
      </c>
      <c r="D82" s="770"/>
      <c r="E82" s="771"/>
      <c r="F82" s="771"/>
      <c r="G82" s="771"/>
      <c r="H82" s="771"/>
      <c r="I82" s="771"/>
      <c r="J82" s="771">
        <v>862</v>
      </c>
      <c r="K82" s="771"/>
      <c r="L82" s="771"/>
      <c r="M82" s="772"/>
      <c r="N82" s="772"/>
      <c r="O82" s="772"/>
      <c r="P82" s="771"/>
      <c r="Q82" s="772"/>
      <c r="R82" s="771"/>
      <c r="S82" s="771"/>
      <c r="T82" s="771"/>
      <c r="U82" s="762">
        <f t="shared" ref="U82:U111" si="6">SUM(D82:T82)</f>
        <v>862</v>
      </c>
      <c r="V82" s="763"/>
      <c r="W82" s="771"/>
      <c r="X82" s="771"/>
      <c r="Y82" s="771"/>
      <c r="Z82" s="771"/>
      <c r="AA82" s="771"/>
      <c r="AB82" s="771"/>
      <c r="AC82" s="771"/>
      <c r="AD82" s="771"/>
      <c r="AE82" s="772"/>
      <c r="AF82" s="772"/>
      <c r="AG82" s="766">
        <f t="shared" si="1"/>
        <v>0</v>
      </c>
    </row>
    <row r="83" spans="1:33" ht="12.75" customHeight="1">
      <c r="A83" s="759" t="s">
        <v>1022</v>
      </c>
      <c r="B83" s="935" t="s">
        <v>1130</v>
      </c>
      <c r="C83" s="774" t="s">
        <v>1129</v>
      </c>
      <c r="D83" s="770"/>
      <c r="E83" s="771"/>
      <c r="F83" s="771"/>
      <c r="G83" s="771"/>
      <c r="H83" s="771"/>
      <c r="I83" s="771"/>
      <c r="J83" s="771">
        <v>176</v>
      </c>
      <c r="K83" s="771"/>
      <c r="L83" s="772"/>
      <c r="M83" s="772"/>
      <c r="N83" s="772"/>
      <c r="O83" s="772"/>
      <c r="P83" s="771"/>
      <c r="Q83" s="772"/>
      <c r="R83" s="771"/>
      <c r="S83" s="771"/>
      <c r="T83" s="771"/>
      <c r="U83" s="762">
        <f t="shared" si="6"/>
        <v>176</v>
      </c>
      <c r="V83" s="763"/>
      <c r="W83" s="771"/>
      <c r="X83" s="771"/>
      <c r="Y83" s="771"/>
      <c r="Z83" s="771"/>
      <c r="AA83" s="771"/>
      <c r="AB83" s="771"/>
      <c r="AC83" s="771"/>
      <c r="AD83" s="771"/>
      <c r="AE83" s="772"/>
      <c r="AF83" s="772"/>
      <c r="AG83" s="766">
        <f t="shared" ref="AG83:AG111" si="7">SUM(V83:AF83)</f>
        <v>0</v>
      </c>
    </row>
    <row r="84" spans="1:33" ht="12.75" customHeight="1">
      <c r="A84" s="759" t="s">
        <v>1023</v>
      </c>
      <c r="B84" s="935" t="s">
        <v>1131</v>
      </c>
      <c r="C84" s="774" t="s">
        <v>1063</v>
      </c>
      <c r="D84" s="770"/>
      <c r="E84" s="771"/>
      <c r="F84" s="771"/>
      <c r="G84" s="771"/>
      <c r="H84" s="771"/>
      <c r="I84" s="771"/>
      <c r="J84" s="771">
        <v>1524</v>
      </c>
      <c r="K84" s="771"/>
      <c r="L84" s="771"/>
      <c r="M84" s="772"/>
      <c r="N84" s="772"/>
      <c r="O84" s="772"/>
      <c r="P84" s="771"/>
      <c r="Q84" s="772"/>
      <c r="R84" s="771"/>
      <c r="S84" s="771"/>
      <c r="T84" s="771"/>
      <c r="U84" s="762">
        <f t="shared" si="6"/>
        <v>1524</v>
      </c>
      <c r="V84" s="763"/>
      <c r="W84" s="771"/>
      <c r="X84" s="771"/>
      <c r="Y84" s="771"/>
      <c r="Z84" s="771"/>
      <c r="AA84" s="771"/>
      <c r="AB84" s="771"/>
      <c r="AC84" s="771"/>
      <c r="AD84" s="771"/>
      <c r="AE84" s="772"/>
      <c r="AF84" s="772"/>
      <c r="AG84" s="766">
        <f t="shared" si="7"/>
        <v>0</v>
      </c>
    </row>
    <row r="85" spans="1:33" ht="12.75" customHeight="1">
      <c r="A85" s="759" t="s">
        <v>1024</v>
      </c>
      <c r="B85" s="935" t="s">
        <v>1132</v>
      </c>
      <c r="C85" s="774" t="s">
        <v>790</v>
      </c>
      <c r="D85" s="770"/>
      <c r="E85" s="771"/>
      <c r="F85" s="771">
        <v>25</v>
      </c>
      <c r="G85" s="771"/>
      <c r="H85" s="771"/>
      <c r="I85" s="771"/>
      <c r="J85" s="771"/>
      <c r="K85" s="771"/>
      <c r="L85" s="772"/>
      <c r="M85" s="772"/>
      <c r="N85" s="771"/>
      <c r="O85" s="772"/>
      <c r="P85" s="771"/>
      <c r="Q85" s="772"/>
      <c r="R85" s="771"/>
      <c r="S85" s="771"/>
      <c r="T85" s="771"/>
      <c r="U85" s="762">
        <f t="shared" si="6"/>
        <v>25</v>
      </c>
      <c r="V85" s="763"/>
      <c r="W85" s="771"/>
      <c r="X85" s="771"/>
      <c r="Y85" s="771"/>
      <c r="Z85" s="771"/>
      <c r="AA85" s="771"/>
      <c r="AB85" s="771"/>
      <c r="AC85" s="771"/>
      <c r="AD85" s="771"/>
      <c r="AE85" s="772"/>
      <c r="AF85" s="772"/>
      <c r="AG85" s="766">
        <f t="shared" si="7"/>
        <v>0</v>
      </c>
    </row>
    <row r="86" spans="1:33" ht="12.75" customHeight="1">
      <c r="A86" s="759" t="s">
        <v>1025</v>
      </c>
      <c r="B86" s="935" t="s">
        <v>1133</v>
      </c>
      <c r="C86" s="774" t="s">
        <v>1129</v>
      </c>
      <c r="D86" s="770"/>
      <c r="E86" s="771"/>
      <c r="F86" s="771">
        <v>40</v>
      </c>
      <c r="G86" s="771"/>
      <c r="H86" s="771"/>
      <c r="I86" s="771"/>
      <c r="J86" s="771"/>
      <c r="K86" s="771"/>
      <c r="L86" s="772"/>
      <c r="M86" s="772"/>
      <c r="N86" s="771"/>
      <c r="O86" s="772"/>
      <c r="P86" s="771"/>
      <c r="Q86" s="772"/>
      <c r="R86" s="771"/>
      <c r="S86" s="771"/>
      <c r="T86" s="771"/>
      <c r="U86" s="762">
        <f t="shared" si="6"/>
        <v>40</v>
      </c>
      <c r="V86" s="763"/>
      <c r="W86" s="771"/>
      <c r="X86" s="771"/>
      <c r="Y86" s="771"/>
      <c r="Z86" s="771"/>
      <c r="AA86" s="771"/>
      <c r="AB86" s="771"/>
      <c r="AC86" s="771"/>
      <c r="AD86" s="771"/>
      <c r="AE86" s="772"/>
      <c r="AF86" s="772"/>
      <c r="AG86" s="766">
        <f t="shared" si="7"/>
        <v>0</v>
      </c>
    </row>
    <row r="87" spans="1:33" ht="12.75" customHeight="1">
      <c r="A87" s="759" t="s">
        <v>1026</v>
      </c>
      <c r="B87" s="935" t="s">
        <v>1116</v>
      </c>
      <c r="C87" s="774"/>
      <c r="D87" s="770"/>
      <c r="E87" s="771"/>
      <c r="F87" s="771"/>
      <c r="G87" s="771"/>
      <c r="H87" s="771"/>
      <c r="I87" s="771"/>
      <c r="J87" s="771"/>
      <c r="K87" s="771"/>
      <c r="L87" s="772"/>
      <c r="M87" s="772"/>
      <c r="N87" s="772"/>
      <c r="O87" s="772"/>
      <c r="P87" s="771"/>
      <c r="Q87" s="772"/>
      <c r="R87" s="771">
        <v>-2627</v>
      </c>
      <c r="S87" s="771"/>
      <c r="T87" s="771"/>
      <c r="U87" s="762">
        <f t="shared" si="6"/>
        <v>-2627</v>
      </c>
      <c r="V87" s="763"/>
      <c r="W87" s="771"/>
      <c r="X87" s="771"/>
      <c r="Y87" s="771"/>
      <c r="Z87" s="771"/>
      <c r="AA87" s="771"/>
      <c r="AB87" s="771"/>
      <c r="AC87" s="771"/>
      <c r="AD87" s="771"/>
      <c r="AE87" s="772"/>
      <c r="AF87" s="772"/>
      <c r="AG87" s="766">
        <f t="shared" si="7"/>
        <v>0</v>
      </c>
    </row>
    <row r="88" spans="1:33" ht="12.75" customHeight="1">
      <c r="A88" s="759" t="s">
        <v>1027</v>
      </c>
      <c r="B88" s="935" t="s">
        <v>1134</v>
      </c>
      <c r="C88" s="774" t="s">
        <v>507</v>
      </c>
      <c r="D88" s="770"/>
      <c r="E88" s="771"/>
      <c r="F88" s="771">
        <v>163</v>
      </c>
      <c r="G88" s="771"/>
      <c r="H88" s="771"/>
      <c r="I88" s="771"/>
      <c r="J88" s="771"/>
      <c r="K88" s="771"/>
      <c r="L88" s="772"/>
      <c r="M88" s="772"/>
      <c r="N88" s="772"/>
      <c r="O88" s="772"/>
      <c r="P88" s="771"/>
      <c r="Q88" s="772"/>
      <c r="R88" s="771"/>
      <c r="S88" s="771"/>
      <c r="T88" s="771"/>
      <c r="U88" s="762">
        <f t="shared" si="6"/>
        <v>163</v>
      </c>
      <c r="V88" s="763"/>
      <c r="W88" s="771"/>
      <c r="X88" s="771"/>
      <c r="Y88" s="771"/>
      <c r="Z88" s="771"/>
      <c r="AA88" s="771"/>
      <c r="AB88" s="771"/>
      <c r="AC88" s="771"/>
      <c r="AD88" s="771"/>
      <c r="AE88" s="772"/>
      <c r="AF88" s="772"/>
      <c r="AG88" s="766">
        <f t="shared" si="7"/>
        <v>0</v>
      </c>
    </row>
    <row r="89" spans="1:33" ht="12.75" customHeight="1">
      <c r="A89" s="759" t="s">
        <v>1028</v>
      </c>
      <c r="B89" s="935" t="s">
        <v>1135</v>
      </c>
      <c r="C89" s="774" t="s">
        <v>507</v>
      </c>
      <c r="D89" s="770"/>
      <c r="E89" s="771"/>
      <c r="F89" s="771"/>
      <c r="G89" s="771"/>
      <c r="H89" s="771"/>
      <c r="I89" s="771"/>
      <c r="J89" s="771">
        <v>661</v>
      </c>
      <c r="K89" s="771"/>
      <c r="L89" s="772"/>
      <c r="M89" s="772"/>
      <c r="N89" s="772"/>
      <c r="O89" s="772"/>
      <c r="P89" s="771"/>
      <c r="Q89" s="772"/>
      <c r="R89" s="771"/>
      <c r="S89" s="771"/>
      <c r="T89" s="771"/>
      <c r="U89" s="762">
        <f t="shared" si="6"/>
        <v>661</v>
      </c>
      <c r="V89" s="763"/>
      <c r="W89" s="771"/>
      <c r="X89" s="771"/>
      <c r="Y89" s="771"/>
      <c r="Z89" s="771"/>
      <c r="AA89" s="771"/>
      <c r="AB89" s="771"/>
      <c r="AC89" s="771"/>
      <c r="AD89" s="771"/>
      <c r="AE89" s="772"/>
      <c r="AF89" s="772"/>
      <c r="AG89" s="766">
        <f t="shared" si="7"/>
        <v>0</v>
      </c>
    </row>
    <row r="90" spans="1:33" ht="12.75" customHeight="1">
      <c r="A90" s="759" t="s">
        <v>1029</v>
      </c>
      <c r="B90" s="935" t="s">
        <v>1136</v>
      </c>
      <c r="C90" s="774" t="s">
        <v>790</v>
      </c>
      <c r="D90" s="770"/>
      <c r="E90" s="771"/>
      <c r="F90" s="771">
        <v>120</v>
      </c>
      <c r="G90" s="771"/>
      <c r="H90" s="771"/>
      <c r="I90" s="771"/>
      <c r="J90" s="771"/>
      <c r="K90" s="771"/>
      <c r="L90" s="772"/>
      <c r="M90" s="772"/>
      <c r="N90" s="772"/>
      <c r="O90" s="772"/>
      <c r="P90" s="771"/>
      <c r="Q90" s="772"/>
      <c r="R90" s="771"/>
      <c r="S90" s="771"/>
      <c r="T90" s="771"/>
      <c r="U90" s="762">
        <f t="shared" si="6"/>
        <v>120</v>
      </c>
      <c r="V90" s="763"/>
      <c r="W90" s="771"/>
      <c r="X90" s="771"/>
      <c r="Y90" s="771"/>
      <c r="Z90" s="771"/>
      <c r="AA90" s="771"/>
      <c r="AB90" s="771"/>
      <c r="AC90" s="771"/>
      <c r="AD90" s="771"/>
      <c r="AE90" s="772"/>
      <c r="AF90" s="772"/>
      <c r="AG90" s="766">
        <f t="shared" si="7"/>
        <v>0</v>
      </c>
    </row>
    <row r="91" spans="1:33" ht="12.75" customHeight="1">
      <c r="A91" s="759" t="s">
        <v>1030</v>
      </c>
      <c r="B91" s="935" t="s">
        <v>1116</v>
      </c>
      <c r="C91" s="774"/>
      <c r="D91" s="770"/>
      <c r="E91" s="771"/>
      <c r="F91" s="771"/>
      <c r="G91" s="771"/>
      <c r="H91" s="771"/>
      <c r="I91" s="771"/>
      <c r="J91" s="771"/>
      <c r="K91" s="771"/>
      <c r="L91" s="772"/>
      <c r="M91" s="772"/>
      <c r="N91" s="772"/>
      <c r="O91" s="772"/>
      <c r="P91" s="771"/>
      <c r="Q91" s="772"/>
      <c r="R91" s="771">
        <v>-944</v>
      </c>
      <c r="S91" s="771"/>
      <c r="T91" s="771"/>
      <c r="U91" s="762">
        <f t="shared" si="6"/>
        <v>-944</v>
      </c>
      <c r="V91" s="763"/>
      <c r="W91" s="771"/>
      <c r="X91" s="771"/>
      <c r="Y91" s="771"/>
      <c r="Z91" s="771"/>
      <c r="AA91" s="771"/>
      <c r="AB91" s="771"/>
      <c r="AC91" s="771"/>
      <c r="AD91" s="771"/>
      <c r="AE91" s="772"/>
      <c r="AF91" s="772"/>
      <c r="AG91" s="766">
        <f t="shared" si="7"/>
        <v>0</v>
      </c>
    </row>
    <row r="92" spans="1:33" ht="12.75" customHeight="1">
      <c r="A92" s="759" t="s">
        <v>1031</v>
      </c>
      <c r="B92" s="935" t="s">
        <v>1137</v>
      </c>
      <c r="C92" s="774" t="s">
        <v>507</v>
      </c>
      <c r="D92" s="770"/>
      <c r="E92" s="771"/>
      <c r="F92" s="771"/>
      <c r="G92" s="771"/>
      <c r="H92" s="771"/>
      <c r="I92" s="771"/>
      <c r="J92" s="771">
        <v>30000</v>
      </c>
      <c r="K92" s="771"/>
      <c r="L92" s="772"/>
      <c r="M92" s="772"/>
      <c r="N92" s="772"/>
      <c r="O92" s="772"/>
      <c r="P92" s="771"/>
      <c r="Q92" s="772"/>
      <c r="R92" s="771"/>
      <c r="S92" s="771"/>
      <c r="T92" s="771"/>
      <c r="U92" s="762">
        <f t="shared" si="6"/>
        <v>30000</v>
      </c>
      <c r="V92" s="763"/>
      <c r="W92" s="771"/>
      <c r="X92" s="771"/>
      <c r="Y92" s="771"/>
      <c r="Z92" s="771"/>
      <c r="AA92" s="771"/>
      <c r="AB92" s="771"/>
      <c r="AC92" s="771"/>
      <c r="AD92" s="771"/>
      <c r="AE92" s="772"/>
      <c r="AF92" s="772"/>
      <c r="AG92" s="766">
        <f t="shared" si="7"/>
        <v>0</v>
      </c>
    </row>
    <row r="93" spans="1:33" ht="12.75" customHeight="1">
      <c r="A93" s="759" t="s">
        <v>1032</v>
      </c>
      <c r="B93" s="935" t="s">
        <v>1138</v>
      </c>
      <c r="C93" s="774" t="s">
        <v>791</v>
      </c>
      <c r="D93" s="770"/>
      <c r="E93" s="771"/>
      <c r="F93" s="771"/>
      <c r="G93" s="771"/>
      <c r="H93" s="771"/>
      <c r="I93" s="771"/>
      <c r="J93" s="771">
        <v>7000</v>
      </c>
      <c r="K93" s="771"/>
      <c r="L93" s="772"/>
      <c r="M93" s="772"/>
      <c r="N93" s="772"/>
      <c r="O93" s="772"/>
      <c r="P93" s="771"/>
      <c r="Q93" s="772"/>
      <c r="R93" s="771"/>
      <c r="S93" s="771"/>
      <c r="T93" s="771"/>
      <c r="U93" s="762">
        <f t="shared" si="6"/>
        <v>7000</v>
      </c>
      <c r="V93" s="763"/>
      <c r="W93" s="771"/>
      <c r="X93" s="771"/>
      <c r="Y93" s="771"/>
      <c r="Z93" s="771"/>
      <c r="AA93" s="771"/>
      <c r="AB93" s="771"/>
      <c r="AC93" s="771"/>
      <c r="AD93" s="771"/>
      <c r="AE93" s="772"/>
      <c r="AF93" s="772"/>
      <c r="AG93" s="766">
        <f t="shared" si="7"/>
        <v>0</v>
      </c>
    </row>
    <row r="94" spans="1:33" ht="12.75" customHeight="1">
      <c r="A94" s="759" t="s">
        <v>1033</v>
      </c>
      <c r="B94" s="935" t="s">
        <v>1139</v>
      </c>
      <c r="C94" s="774" t="s">
        <v>1063</v>
      </c>
      <c r="D94" s="770"/>
      <c r="E94" s="771"/>
      <c r="F94" s="771"/>
      <c r="G94" s="771"/>
      <c r="H94" s="771"/>
      <c r="I94" s="771"/>
      <c r="J94" s="771">
        <v>9804</v>
      </c>
      <c r="K94" s="771"/>
      <c r="L94" s="772"/>
      <c r="M94" s="772"/>
      <c r="N94" s="772"/>
      <c r="O94" s="772"/>
      <c r="P94" s="771"/>
      <c r="Q94" s="772"/>
      <c r="R94" s="771"/>
      <c r="S94" s="771"/>
      <c r="T94" s="771"/>
      <c r="U94" s="762">
        <f t="shared" si="6"/>
        <v>9804</v>
      </c>
      <c r="V94" s="763"/>
      <c r="W94" s="771"/>
      <c r="X94" s="771"/>
      <c r="Y94" s="771"/>
      <c r="Z94" s="771"/>
      <c r="AA94" s="771"/>
      <c r="AB94" s="771"/>
      <c r="AC94" s="771"/>
      <c r="AD94" s="771"/>
      <c r="AE94" s="772"/>
      <c r="AF94" s="772"/>
      <c r="AG94" s="766">
        <f t="shared" si="7"/>
        <v>0</v>
      </c>
    </row>
    <row r="95" spans="1:33">
      <c r="A95" s="759" t="s">
        <v>1034</v>
      </c>
      <c r="B95" s="935" t="s">
        <v>1140</v>
      </c>
      <c r="C95" s="774" t="s">
        <v>790</v>
      </c>
      <c r="D95" s="778"/>
      <c r="E95" s="778"/>
      <c r="F95" s="778"/>
      <c r="G95" s="778"/>
      <c r="H95" s="778"/>
      <c r="I95" s="778"/>
      <c r="J95" s="775">
        <v>1245</v>
      </c>
      <c r="K95" s="778"/>
      <c r="L95" s="778"/>
      <c r="M95" s="778"/>
      <c r="N95" s="778"/>
      <c r="O95" s="778"/>
      <c r="P95" s="778"/>
      <c r="Q95" s="778"/>
      <c r="R95" s="778"/>
      <c r="S95" s="778"/>
      <c r="T95" s="778"/>
      <c r="U95" s="762">
        <f t="shared" si="6"/>
        <v>1245</v>
      </c>
      <c r="V95" s="778"/>
      <c r="W95" s="778"/>
      <c r="X95" s="778"/>
      <c r="Y95" s="775"/>
      <c r="Z95" s="778"/>
      <c r="AA95" s="778"/>
      <c r="AB95" s="778"/>
      <c r="AC95" s="778"/>
      <c r="AD95" s="778"/>
      <c r="AE95" s="778"/>
      <c r="AF95" s="778"/>
      <c r="AG95" s="766">
        <f t="shared" si="7"/>
        <v>0</v>
      </c>
    </row>
    <row r="96" spans="1:33">
      <c r="A96" s="759" t="s">
        <v>1035</v>
      </c>
      <c r="B96" s="935" t="s">
        <v>1141</v>
      </c>
      <c r="C96" s="774" t="s">
        <v>790</v>
      </c>
      <c r="D96" s="775"/>
      <c r="E96" s="775"/>
      <c r="F96" s="779"/>
      <c r="G96" s="779"/>
      <c r="H96" s="779"/>
      <c r="I96" s="779"/>
      <c r="J96" s="779">
        <v>850</v>
      </c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62">
        <f t="shared" si="6"/>
        <v>850</v>
      </c>
      <c r="V96" s="780"/>
      <c r="W96" s="779"/>
      <c r="X96" s="779"/>
      <c r="Y96" s="779"/>
      <c r="Z96" s="779"/>
      <c r="AA96" s="779"/>
      <c r="AB96" s="779"/>
      <c r="AC96" s="779"/>
      <c r="AD96" s="779"/>
      <c r="AE96" s="779"/>
      <c r="AF96" s="779"/>
      <c r="AG96" s="766">
        <f t="shared" si="7"/>
        <v>0</v>
      </c>
    </row>
    <row r="97" spans="1:33">
      <c r="A97" s="759" t="s">
        <v>1036</v>
      </c>
      <c r="B97" s="935" t="s">
        <v>1116</v>
      </c>
      <c r="C97" s="776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>
        <v>-48899</v>
      </c>
      <c r="S97" s="779"/>
      <c r="T97" s="779"/>
      <c r="U97" s="762">
        <f t="shared" si="6"/>
        <v>-48899</v>
      </c>
      <c r="V97" s="780"/>
      <c r="W97" s="779"/>
      <c r="X97" s="779"/>
      <c r="Y97" s="779"/>
      <c r="Z97" s="779"/>
      <c r="AA97" s="779"/>
      <c r="AB97" s="779"/>
      <c r="AC97" s="779"/>
      <c r="AD97" s="779"/>
      <c r="AE97" s="779"/>
      <c r="AF97" s="779"/>
      <c r="AG97" s="766">
        <f t="shared" si="7"/>
        <v>0</v>
      </c>
    </row>
    <row r="98" spans="1:33">
      <c r="A98" s="759" t="s">
        <v>1037</v>
      </c>
      <c r="B98" s="935" t="s">
        <v>1142</v>
      </c>
      <c r="C98" s="774" t="s">
        <v>519</v>
      </c>
      <c r="D98" s="779"/>
      <c r="E98" s="779"/>
      <c r="F98" s="779"/>
      <c r="G98" s="779"/>
      <c r="H98" s="779"/>
      <c r="I98" s="779">
        <v>2500</v>
      </c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62">
        <f t="shared" si="6"/>
        <v>2500</v>
      </c>
      <c r="V98" s="780"/>
      <c r="W98" s="779"/>
      <c r="X98" s="779"/>
      <c r="Y98" s="779"/>
      <c r="Z98" s="779"/>
      <c r="AA98" s="779"/>
      <c r="AB98" s="779"/>
      <c r="AC98" s="779"/>
      <c r="AD98" s="779"/>
      <c r="AE98" s="779"/>
      <c r="AF98" s="779"/>
      <c r="AG98" s="766">
        <f t="shared" si="7"/>
        <v>0</v>
      </c>
    </row>
    <row r="99" spans="1:33">
      <c r="A99" s="759" t="s">
        <v>1038</v>
      </c>
      <c r="B99" s="935" t="s">
        <v>1142</v>
      </c>
      <c r="C99" s="774" t="s">
        <v>519</v>
      </c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62">
        <f t="shared" si="6"/>
        <v>0</v>
      </c>
      <c r="V99" s="780"/>
      <c r="W99" s="779"/>
      <c r="X99" s="779"/>
      <c r="Y99" s="779"/>
      <c r="Z99" s="779">
        <v>2500</v>
      </c>
      <c r="AA99" s="779"/>
      <c r="AB99" s="779"/>
      <c r="AC99" s="779"/>
      <c r="AD99" s="779"/>
      <c r="AE99" s="779"/>
      <c r="AF99" s="779"/>
      <c r="AG99" s="766">
        <f t="shared" si="7"/>
        <v>2500</v>
      </c>
    </row>
    <row r="100" spans="1:33">
      <c r="A100" s="759" t="s">
        <v>1039</v>
      </c>
      <c r="B100" s="935" t="s">
        <v>1143</v>
      </c>
      <c r="C100" s="774" t="s">
        <v>1061</v>
      </c>
      <c r="D100" s="779"/>
      <c r="E100" s="779"/>
      <c r="F100" s="779"/>
      <c r="G100" s="779"/>
      <c r="H100" s="779"/>
      <c r="I100" s="779">
        <v>19108</v>
      </c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62">
        <f t="shared" si="6"/>
        <v>19108</v>
      </c>
      <c r="V100" s="780"/>
      <c r="W100" s="779"/>
      <c r="X100" s="779"/>
      <c r="Y100" s="779"/>
      <c r="Z100" s="779"/>
      <c r="AA100" s="779"/>
      <c r="AB100" s="779"/>
      <c r="AC100" s="779"/>
      <c r="AD100" s="779"/>
      <c r="AE100" s="779"/>
      <c r="AF100" s="779"/>
      <c r="AG100" s="766">
        <f t="shared" si="7"/>
        <v>0</v>
      </c>
    </row>
    <row r="101" spans="1:33">
      <c r="A101" s="759" t="s">
        <v>1040</v>
      </c>
      <c r="B101" s="935" t="s">
        <v>1144</v>
      </c>
      <c r="C101" s="776" t="s">
        <v>790</v>
      </c>
      <c r="D101" s="779"/>
      <c r="E101" s="779"/>
      <c r="F101" s="779">
        <v>284</v>
      </c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62">
        <f t="shared" si="6"/>
        <v>284</v>
      </c>
      <c r="V101" s="780"/>
      <c r="W101" s="779"/>
      <c r="X101" s="779"/>
      <c r="Y101" s="779"/>
      <c r="Z101" s="779"/>
      <c r="AA101" s="779"/>
      <c r="AB101" s="779"/>
      <c r="AC101" s="779"/>
      <c r="AD101" s="779"/>
      <c r="AE101" s="779"/>
      <c r="AF101" s="779"/>
      <c r="AG101" s="766">
        <f t="shared" si="7"/>
        <v>0</v>
      </c>
    </row>
    <row r="102" spans="1:33">
      <c r="A102" s="759" t="s">
        <v>1041</v>
      </c>
      <c r="B102" s="935" t="s">
        <v>1145</v>
      </c>
      <c r="C102" s="776" t="s">
        <v>507</v>
      </c>
      <c r="D102" s="779"/>
      <c r="E102" s="779"/>
      <c r="F102" s="779">
        <v>61</v>
      </c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62">
        <f t="shared" si="6"/>
        <v>61</v>
      </c>
      <c r="V102" s="780"/>
      <c r="W102" s="779"/>
      <c r="X102" s="779"/>
      <c r="Y102" s="779"/>
      <c r="Z102" s="779"/>
      <c r="AA102" s="779"/>
      <c r="AB102" s="779"/>
      <c r="AC102" s="779"/>
      <c r="AD102" s="779"/>
      <c r="AE102" s="779"/>
      <c r="AF102" s="779"/>
      <c r="AG102" s="766">
        <f t="shared" si="7"/>
        <v>0</v>
      </c>
    </row>
    <row r="103" spans="1:33">
      <c r="A103" s="759" t="s">
        <v>1042</v>
      </c>
      <c r="B103" s="935" t="s">
        <v>1146</v>
      </c>
      <c r="C103" s="776" t="s">
        <v>1147</v>
      </c>
      <c r="D103" s="779">
        <v>281</v>
      </c>
      <c r="E103" s="779">
        <v>68</v>
      </c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62">
        <f t="shared" si="6"/>
        <v>349</v>
      </c>
      <c r="V103" s="780"/>
      <c r="W103" s="779"/>
      <c r="X103" s="779"/>
      <c r="Y103" s="779"/>
      <c r="Z103" s="779"/>
      <c r="AA103" s="779"/>
      <c r="AB103" s="779"/>
      <c r="AC103" s="779"/>
      <c r="AD103" s="779"/>
      <c r="AE103" s="779"/>
      <c r="AF103" s="779"/>
      <c r="AG103" s="766">
        <f t="shared" si="7"/>
        <v>0</v>
      </c>
    </row>
    <row r="104" spans="1:33">
      <c r="A104" s="759" t="s">
        <v>1043</v>
      </c>
      <c r="B104" s="935" t="s">
        <v>1148</v>
      </c>
      <c r="C104" s="776" t="s">
        <v>519</v>
      </c>
      <c r="D104" s="779"/>
      <c r="E104" s="779"/>
      <c r="F104" s="779"/>
      <c r="G104" s="779"/>
      <c r="H104" s="779"/>
      <c r="I104" s="779">
        <v>700</v>
      </c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62">
        <f t="shared" si="6"/>
        <v>700</v>
      </c>
      <c r="V104" s="780"/>
      <c r="W104" s="779"/>
      <c r="X104" s="779"/>
      <c r="Y104" s="779"/>
      <c r="Z104" s="779"/>
      <c r="AA104" s="779"/>
      <c r="AB104" s="779"/>
      <c r="AC104" s="779"/>
      <c r="AD104" s="779"/>
      <c r="AE104" s="779"/>
      <c r="AF104" s="779"/>
      <c r="AG104" s="766">
        <f t="shared" si="7"/>
        <v>0</v>
      </c>
    </row>
    <row r="105" spans="1:33">
      <c r="A105" s="759" t="s">
        <v>1044</v>
      </c>
      <c r="B105" s="935" t="s">
        <v>1059</v>
      </c>
      <c r="C105" s="776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>
        <v>-20502</v>
      </c>
      <c r="Q105" s="779"/>
      <c r="R105" s="779"/>
      <c r="S105" s="779"/>
      <c r="T105" s="779"/>
      <c r="U105" s="762">
        <f t="shared" si="6"/>
        <v>-20502</v>
      </c>
      <c r="V105" s="780"/>
      <c r="W105" s="779"/>
      <c r="X105" s="779"/>
      <c r="Y105" s="779"/>
      <c r="Z105" s="779"/>
      <c r="AA105" s="779"/>
      <c r="AB105" s="779"/>
      <c r="AC105" s="779"/>
      <c r="AD105" s="779"/>
      <c r="AE105" s="779"/>
      <c r="AF105" s="779"/>
      <c r="AG105" s="766">
        <f t="shared" si="7"/>
        <v>0</v>
      </c>
    </row>
    <row r="106" spans="1:33">
      <c r="A106" s="759" t="s">
        <v>1045</v>
      </c>
      <c r="B106" s="935" t="s">
        <v>1149</v>
      </c>
      <c r="C106" s="776" t="s">
        <v>507</v>
      </c>
      <c r="D106" s="779"/>
      <c r="E106" s="779"/>
      <c r="F106" s="779"/>
      <c r="G106" s="779"/>
      <c r="H106" s="779">
        <v>150</v>
      </c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62">
        <f t="shared" si="6"/>
        <v>150</v>
      </c>
      <c r="V106" s="780"/>
      <c r="W106" s="779"/>
      <c r="X106" s="779"/>
      <c r="Y106" s="779"/>
      <c r="Z106" s="779"/>
      <c r="AA106" s="779"/>
      <c r="AB106" s="779"/>
      <c r="AC106" s="779"/>
      <c r="AD106" s="779"/>
      <c r="AE106" s="779"/>
      <c r="AF106" s="779"/>
      <c r="AG106" s="766">
        <f t="shared" si="7"/>
        <v>0</v>
      </c>
    </row>
    <row r="107" spans="1:33">
      <c r="A107" s="759" t="s">
        <v>1046</v>
      </c>
      <c r="B107" s="935" t="s">
        <v>1150</v>
      </c>
      <c r="C107" s="776" t="s">
        <v>507</v>
      </c>
      <c r="D107" s="779"/>
      <c r="E107" s="779"/>
      <c r="F107" s="779">
        <v>-150</v>
      </c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62">
        <f t="shared" si="6"/>
        <v>-150</v>
      </c>
      <c r="V107" s="780"/>
      <c r="W107" s="779"/>
      <c r="X107" s="779"/>
      <c r="Y107" s="779"/>
      <c r="Z107" s="779"/>
      <c r="AA107" s="779"/>
      <c r="AB107" s="779"/>
      <c r="AC107" s="779"/>
      <c r="AD107" s="779"/>
      <c r="AE107" s="779"/>
      <c r="AF107" s="779"/>
      <c r="AG107" s="766">
        <f t="shared" si="7"/>
        <v>0</v>
      </c>
    </row>
    <row r="108" spans="1:33">
      <c r="A108" s="759" t="s">
        <v>1047</v>
      </c>
      <c r="B108" s="935" t="s">
        <v>1151</v>
      </c>
      <c r="C108" s="776" t="s">
        <v>1114</v>
      </c>
      <c r="D108" s="779"/>
      <c r="E108" s="779"/>
      <c r="F108" s="779"/>
      <c r="G108" s="779"/>
      <c r="H108" s="779"/>
      <c r="I108" s="779"/>
      <c r="J108" s="779">
        <v>1199</v>
      </c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62">
        <f t="shared" si="6"/>
        <v>1199</v>
      </c>
      <c r="V108" s="780"/>
      <c r="W108" s="779"/>
      <c r="X108" s="779"/>
      <c r="Y108" s="779"/>
      <c r="Z108" s="779"/>
      <c r="AA108" s="779"/>
      <c r="AB108" s="779"/>
      <c r="AC108" s="779"/>
      <c r="AD108" s="779"/>
      <c r="AE108" s="779"/>
      <c r="AF108" s="779"/>
      <c r="AG108" s="766">
        <f t="shared" si="7"/>
        <v>0</v>
      </c>
    </row>
    <row r="109" spans="1:33">
      <c r="A109" s="759" t="s">
        <v>1048</v>
      </c>
      <c r="B109" s="935" t="s">
        <v>1152</v>
      </c>
      <c r="C109" s="776" t="s">
        <v>1125</v>
      </c>
      <c r="D109" s="779"/>
      <c r="E109" s="779"/>
      <c r="F109" s="779"/>
      <c r="G109" s="779"/>
      <c r="H109" s="779"/>
      <c r="I109" s="779"/>
      <c r="J109" s="779">
        <v>2228</v>
      </c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62">
        <f t="shared" si="6"/>
        <v>2228</v>
      </c>
      <c r="V109" s="780"/>
      <c r="W109" s="779"/>
      <c r="X109" s="779"/>
      <c r="Y109" s="779"/>
      <c r="Z109" s="779"/>
      <c r="AA109" s="779"/>
      <c r="AB109" s="779"/>
      <c r="AC109" s="779"/>
      <c r="AD109" s="779"/>
      <c r="AE109" s="779"/>
      <c r="AF109" s="779"/>
      <c r="AG109" s="766">
        <f t="shared" si="7"/>
        <v>0</v>
      </c>
    </row>
    <row r="110" spans="1:33">
      <c r="A110" s="759" t="s">
        <v>1049</v>
      </c>
      <c r="B110" s="935" t="s">
        <v>1153</v>
      </c>
      <c r="C110" s="776" t="s">
        <v>1125</v>
      </c>
      <c r="D110" s="779"/>
      <c r="E110" s="779"/>
      <c r="F110" s="779">
        <v>24</v>
      </c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62">
        <f t="shared" si="6"/>
        <v>24</v>
      </c>
      <c r="V110" s="780"/>
      <c r="W110" s="779"/>
      <c r="X110" s="779"/>
      <c r="Y110" s="779"/>
      <c r="Z110" s="779"/>
      <c r="AA110" s="779"/>
      <c r="AB110" s="779"/>
      <c r="AC110" s="779"/>
      <c r="AD110" s="779"/>
      <c r="AE110" s="779"/>
      <c r="AF110" s="779"/>
      <c r="AG110" s="766">
        <f t="shared" si="7"/>
        <v>0</v>
      </c>
    </row>
    <row r="111" spans="1:33">
      <c r="A111" s="759" t="s">
        <v>1050</v>
      </c>
      <c r="B111" s="935" t="s">
        <v>1116</v>
      </c>
      <c r="C111" s="776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>
        <v>-3451</v>
      </c>
      <c r="S111" s="779"/>
      <c r="T111" s="779"/>
      <c r="U111" s="762">
        <f t="shared" si="6"/>
        <v>-3451</v>
      </c>
      <c r="V111" s="780"/>
      <c r="W111" s="779"/>
      <c r="X111" s="779"/>
      <c r="Y111" s="779"/>
      <c r="Z111" s="779"/>
      <c r="AA111" s="779"/>
      <c r="AB111" s="779"/>
      <c r="AC111" s="779"/>
      <c r="AD111" s="779"/>
      <c r="AE111" s="779"/>
      <c r="AF111" s="779"/>
      <c r="AG111" s="766">
        <f t="shared" si="7"/>
        <v>0</v>
      </c>
    </row>
    <row r="112" spans="1:33">
      <c r="A112" s="759" t="s">
        <v>1051</v>
      </c>
      <c r="B112" s="935"/>
      <c r="C112" s="776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62">
        <f t="shared" ref="U112" si="8">SUM(D112:T112)</f>
        <v>0</v>
      </c>
      <c r="V112" s="780"/>
      <c r="W112" s="779"/>
      <c r="X112" s="779"/>
      <c r="Y112" s="779"/>
      <c r="Z112" s="779"/>
      <c r="AA112" s="779"/>
      <c r="AB112" s="779"/>
      <c r="AC112" s="779"/>
      <c r="AD112" s="779"/>
      <c r="AE112" s="779"/>
      <c r="AF112" s="779"/>
      <c r="AG112" s="766">
        <f t="shared" ref="AG112" si="9">SUM(V112:AF112)</f>
        <v>0</v>
      </c>
    </row>
    <row r="113" spans="1:33" s="787" customFormat="1" ht="13.8" thickBot="1">
      <c r="A113" s="781"/>
      <c r="B113" s="782" t="s">
        <v>178</v>
      </c>
      <c r="C113" s="782"/>
      <c r="D113" s="783">
        <f t="shared" ref="D113:T113" si="10">SUM(D6:D112)</f>
        <v>2690</v>
      </c>
      <c r="E113" s="783">
        <f t="shared" si="10"/>
        <v>525</v>
      </c>
      <c r="F113" s="783">
        <f t="shared" si="10"/>
        <v>21941</v>
      </c>
      <c r="G113" s="783">
        <f t="shared" si="10"/>
        <v>0</v>
      </c>
      <c r="H113" s="783">
        <f t="shared" si="10"/>
        <v>671</v>
      </c>
      <c r="I113" s="783">
        <f t="shared" si="10"/>
        <v>22308</v>
      </c>
      <c r="J113" s="783">
        <f t="shared" si="10"/>
        <v>103483</v>
      </c>
      <c r="K113" s="783">
        <f t="shared" si="10"/>
        <v>31826</v>
      </c>
      <c r="L113" s="783">
        <f t="shared" si="10"/>
        <v>0</v>
      </c>
      <c r="M113" s="783">
        <f t="shared" si="10"/>
        <v>0</v>
      </c>
      <c r="N113" s="783">
        <f t="shared" si="10"/>
        <v>14655</v>
      </c>
      <c r="O113" s="783">
        <f t="shared" si="10"/>
        <v>0</v>
      </c>
      <c r="P113" s="783">
        <f t="shared" si="10"/>
        <v>-17577</v>
      </c>
      <c r="Q113" s="783">
        <f t="shared" si="10"/>
        <v>-6522</v>
      </c>
      <c r="R113" s="783">
        <f t="shared" si="10"/>
        <v>-86173</v>
      </c>
      <c r="S113" s="783">
        <f t="shared" si="10"/>
        <v>-34490</v>
      </c>
      <c r="T113" s="783">
        <f t="shared" si="10"/>
        <v>-175</v>
      </c>
      <c r="U113" s="784">
        <f>SUM(D113:T113)</f>
        <v>53162</v>
      </c>
      <c r="V113" s="785">
        <f t="shared" ref="V113:AF113" si="11">SUM(V5:V112)</f>
        <v>0</v>
      </c>
      <c r="W113" s="785">
        <f t="shared" si="11"/>
        <v>4062</v>
      </c>
      <c r="X113" s="785">
        <f t="shared" si="11"/>
        <v>0</v>
      </c>
      <c r="Y113" s="785">
        <f t="shared" si="11"/>
        <v>16212</v>
      </c>
      <c r="Z113" s="785">
        <f t="shared" si="11"/>
        <v>3983</v>
      </c>
      <c r="AA113" s="785">
        <f t="shared" si="11"/>
        <v>28605</v>
      </c>
      <c r="AB113" s="785">
        <f t="shared" si="11"/>
        <v>0</v>
      </c>
      <c r="AC113" s="785">
        <f t="shared" si="11"/>
        <v>300</v>
      </c>
      <c r="AD113" s="785">
        <f t="shared" si="11"/>
        <v>0</v>
      </c>
      <c r="AE113" s="785">
        <f t="shared" si="11"/>
        <v>0</v>
      </c>
      <c r="AF113" s="785">
        <f t="shared" si="11"/>
        <v>0</v>
      </c>
      <c r="AG113" s="786">
        <f t="shared" ref="AG113" si="12">SUM(V113:AF113)</f>
        <v>53162</v>
      </c>
    </row>
  </sheetData>
  <mergeCells count="35">
    <mergeCell ref="AF3:AF4"/>
    <mergeCell ref="Z3:Z4"/>
    <mergeCell ref="AA3:AA4"/>
    <mergeCell ref="AB3:AB4"/>
    <mergeCell ref="AC3:AC4"/>
    <mergeCell ref="AD3:AD4"/>
    <mergeCell ref="AE3:AE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V3:V4"/>
    <mergeCell ref="W3:W4"/>
    <mergeCell ref="X3:X4"/>
    <mergeCell ref="L3:L4"/>
    <mergeCell ref="AE1:AG1"/>
    <mergeCell ref="A2:A4"/>
    <mergeCell ref="B2:B4"/>
    <mergeCell ref="C2:C4"/>
    <mergeCell ref="D2:T2"/>
    <mergeCell ref="U2:U4"/>
    <mergeCell ref="V2:AF2"/>
    <mergeCell ref="AG2:AG4"/>
    <mergeCell ref="D3:D4"/>
    <mergeCell ref="E3:E4"/>
    <mergeCell ref="F3:F4"/>
    <mergeCell ref="G3:G4"/>
    <mergeCell ref="H3:I3"/>
    <mergeCell ref="J3:J4"/>
    <mergeCell ref="K3:K4"/>
  </mergeCells>
  <printOptions horizontalCentered="1"/>
  <pageMargins left="0.23622047244094491" right="0.19685039370078741" top="0.98425196850393704" bottom="0.78740157480314965" header="0.51181102362204722" footer="0.51181102362204722"/>
  <pageSetup paperSize="9" scale="45" fitToHeight="2" orientation="landscape" r:id="rId1"/>
  <headerFooter alignWithMargins="0">
    <oddHeader>&amp;C&amp;"Times New Roman,Félkövér"&amp;16Előirányzat módosítás nyilvántartás Martonvásár Város Önkormányzata 2016. év&amp;R&amp;"Times New Roman CE,Normál" 12.a.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AC28"/>
  <sheetViews>
    <sheetView workbookViewId="0">
      <selection activeCell="T14" sqref="T14"/>
    </sheetView>
  </sheetViews>
  <sheetFormatPr defaultColWidth="9.109375" defaultRowHeight="13.2"/>
  <cols>
    <col min="1" max="1" width="5.6640625" style="756" customWidth="1"/>
    <col min="2" max="2" width="35.6640625" style="756" customWidth="1"/>
    <col min="3" max="3" width="6.109375" style="756" hidden="1" customWidth="1"/>
    <col min="4" max="4" width="7.44140625" style="756" customWidth="1"/>
    <col min="5" max="5" width="5.6640625" style="756" customWidth="1"/>
    <col min="6" max="7" width="5.5546875" style="756" hidden="1" customWidth="1"/>
    <col min="8" max="8" width="5.44140625" style="756" hidden="1" customWidth="1"/>
    <col min="9" max="9" width="5.33203125" style="756" hidden="1" customWidth="1"/>
    <col min="10" max="10" width="5.109375" style="756" hidden="1" customWidth="1"/>
    <col min="11" max="11" width="0.109375" style="756" hidden="1" customWidth="1"/>
    <col min="12" max="12" width="8.109375" style="756" customWidth="1"/>
    <col min="13" max="13" width="7.88671875" style="756" customWidth="1"/>
    <col min="14" max="14" width="8.5546875" style="756" customWidth="1"/>
    <col min="15" max="15" width="7.33203125" style="756" customWidth="1"/>
    <col min="16" max="16" width="6.5546875" style="756" customWidth="1"/>
    <col min="17" max="17" width="8.109375" style="756" customWidth="1"/>
    <col min="18" max="18" width="9" style="756" customWidth="1"/>
    <col min="19" max="19" width="8.88671875" style="756" customWidth="1"/>
    <col min="20" max="20" width="8.33203125" style="756" customWidth="1"/>
    <col min="21" max="22" width="9.109375" style="756"/>
    <col min="23" max="24" width="9" style="756" customWidth="1"/>
    <col min="25" max="25" width="6.88671875" style="756" customWidth="1"/>
    <col min="26" max="26" width="7.88671875" style="756" customWidth="1"/>
    <col min="27" max="27" width="9.33203125" style="756" customWidth="1"/>
    <col min="28" max="28" width="7" style="756" hidden="1" customWidth="1"/>
    <col min="29" max="16384" width="9.109375" style="756"/>
  </cols>
  <sheetData>
    <row r="1" spans="1:29" ht="15" customHeight="1" thickBot="1">
      <c r="Z1" s="1168" t="s">
        <v>406</v>
      </c>
      <c r="AA1" s="1168"/>
      <c r="AB1" s="1168"/>
      <c r="AC1" s="1168"/>
    </row>
    <row r="2" spans="1:29" ht="31.5" customHeight="1">
      <c r="A2" s="1183" t="s">
        <v>348</v>
      </c>
      <c r="B2" s="1185" t="s">
        <v>761</v>
      </c>
      <c r="C2" s="1185" t="s">
        <v>799</v>
      </c>
      <c r="D2" s="1188" t="s">
        <v>308</v>
      </c>
      <c r="E2" s="1188"/>
      <c r="F2" s="1188"/>
      <c r="G2" s="1188"/>
      <c r="H2" s="1188"/>
      <c r="I2" s="1188"/>
      <c r="J2" s="1188"/>
      <c r="K2" s="1188"/>
      <c r="L2" s="1188"/>
      <c r="M2" s="1188"/>
      <c r="N2" s="1188"/>
      <c r="O2" s="1188"/>
      <c r="P2" s="1188"/>
      <c r="Q2" s="1188"/>
      <c r="R2" s="1189" t="s">
        <v>286</v>
      </c>
      <c r="S2" s="1188" t="s">
        <v>299</v>
      </c>
      <c r="T2" s="1188"/>
      <c r="U2" s="1188"/>
      <c r="V2" s="1188"/>
      <c r="W2" s="1188"/>
      <c r="X2" s="1188"/>
      <c r="Y2" s="1188"/>
      <c r="Z2" s="1188"/>
      <c r="AA2" s="1192"/>
      <c r="AB2" s="1189" t="s">
        <v>763</v>
      </c>
      <c r="AC2" s="1193" t="s">
        <v>800</v>
      </c>
    </row>
    <row r="3" spans="1:29" s="788" customFormat="1" ht="25.5" customHeight="1">
      <c r="A3" s="1184"/>
      <c r="B3" s="1186"/>
      <c r="C3" s="1187"/>
      <c r="D3" s="1186" t="s">
        <v>801</v>
      </c>
      <c r="E3" s="1186" t="s">
        <v>802</v>
      </c>
      <c r="F3" s="1186" t="s">
        <v>803</v>
      </c>
      <c r="G3" s="1186"/>
      <c r="H3" s="1186"/>
      <c r="I3" s="1186"/>
      <c r="J3" s="1186"/>
      <c r="K3" s="1186"/>
      <c r="L3" s="1186" t="s">
        <v>152</v>
      </c>
      <c r="M3" s="1186" t="s">
        <v>164</v>
      </c>
      <c r="N3" s="1191"/>
      <c r="O3" s="1186" t="s">
        <v>767</v>
      </c>
      <c r="P3" s="1186" t="s">
        <v>804</v>
      </c>
      <c r="Q3" s="1186" t="s">
        <v>805</v>
      </c>
      <c r="R3" s="1190"/>
      <c r="S3" s="1186" t="s">
        <v>777</v>
      </c>
      <c r="T3" s="1186" t="s">
        <v>778</v>
      </c>
      <c r="U3" s="1186" t="s">
        <v>771</v>
      </c>
      <c r="V3" s="1186" t="s">
        <v>806</v>
      </c>
      <c r="W3" s="1191"/>
      <c r="X3" s="1195" t="s">
        <v>807</v>
      </c>
      <c r="Y3" s="1186" t="s">
        <v>808</v>
      </c>
      <c r="Z3" s="1191"/>
      <c r="AA3" s="1195" t="s">
        <v>809</v>
      </c>
      <c r="AB3" s="1190"/>
      <c r="AC3" s="1194"/>
    </row>
    <row r="4" spans="1:29" s="788" customFormat="1" ht="23.25" customHeight="1">
      <c r="A4" s="1184"/>
      <c r="B4" s="1186"/>
      <c r="C4" s="1187"/>
      <c r="D4" s="1186"/>
      <c r="E4" s="1186"/>
      <c r="F4" s="789" t="s">
        <v>810</v>
      </c>
      <c r="G4" s="789" t="s">
        <v>811</v>
      </c>
      <c r="H4" s="789" t="s">
        <v>812</v>
      </c>
      <c r="I4" s="789" t="s">
        <v>813</v>
      </c>
      <c r="J4" s="789" t="s">
        <v>814</v>
      </c>
      <c r="K4" s="789" t="s">
        <v>815</v>
      </c>
      <c r="L4" s="1186"/>
      <c r="M4" s="840" t="s">
        <v>788</v>
      </c>
      <c r="N4" s="840" t="s">
        <v>789</v>
      </c>
      <c r="O4" s="1186"/>
      <c r="P4" s="1186"/>
      <c r="Q4" s="1186"/>
      <c r="R4" s="1190"/>
      <c r="S4" s="1186"/>
      <c r="T4" s="1186"/>
      <c r="U4" s="1186"/>
      <c r="V4" s="840" t="s">
        <v>816</v>
      </c>
      <c r="W4" s="840" t="s">
        <v>817</v>
      </c>
      <c r="X4" s="1196"/>
      <c r="Y4" s="840" t="s">
        <v>816</v>
      </c>
      <c r="Z4" s="840" t="s">
        <v>817</v>
      </c>
      <c r="AA4" s="1197"/>
      <c r="AB4" s="1190"/>
      <c r="AC4" s="1194"/>
    </row>
    <row r="5" spans="1:29">
      <c r="A5" s="790" t="s">
        <v>307</v>
      </c>
      <c r="B5" s="767" t="s">
        <v>954</v>
      </c>
      <c r="C5" s="791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>
        <v>276</v>
      </c>
      <c r="P5" s="792"/>
      <c r="Q5" s="792"/>
      <c r="R5" s="793">
        <f t="shared" ref="R5:R27" si="0">SUM(D5:Q5)</f>
        <v>276</v>
      </c>
      <c r="S5" s="792"/>
      <c r="T5" s="792"/>
      <c r="U5" s="792"/>
      <c r="V5" s="792"/>
      <c r="W5" s="792"/>
      <c r="X5" s="792"/>
      <c r="Y5" s="792"/>
      <c r="Z5" s="792"/>
      <c r="AA5" s="794"/>
      <c r="AB5" s="793">
        <f>SUM(S5:Z5)</f>
        <v>0</v>
      </c>
      <c r="AC5" s="795">
        <f>SUM(S5:AA5)</f>
        <v>0</v>
      </c>
    </row>
    <row r="6" spans="1:29">
      <c r="A6" s="790" t="s">
        <v>416</v>
      </c>
      <c r="B6" s="773" t="s">
        <v>955</v>
      </c>
      <c r="C6" s="791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3">
        <f t="shared" si="0"/>
        <v>0</v>
      </c>
      <c r="S6" s="792"/>
      <c r="T6" s="792"/>
      <c r="U6" s="792">
        <v>276</v>
      </c>
      <c r="V6" s="792"/>
      <c r="W6" s="792"/>
      <c r="X6" s="792"/>
      <c r="Y6" s="792"/>
      <c r="Z6" s="792"/>
      <c r="AA6" s="794"/>
      <c r="AB6" s="793">
        <f>SUM(S6:Z6)</f>
        <v>276</v>
      </c>
      <c r="AC6" s="795">
        <f t="shared" ref="AC6:AC27" si="1">SUM(S6:AA6)</f>
        <v>276</v>
      </c>
    </row>
    <row r="7" spans="1:29">
      <c r="A7" s="790" t="s">
        <v>476</v>
      </c>
      <c r="B7" s="767" t="s">
        <v>956</v>
      </c>
      <c r="C7" s="791"/>
      <c r="D7" s="792"/>
      <c r="E7" s="792"/>
      <c r="F7" s="792"/>
      <c r="G7" s="792"/>
      <c r="H7" s="792"/>
      <c r="I7" s="792"/>
      <c r="J7" s="792"/>
      <c r="K7" s="792"/>
      <c r="L7" s="792"/>
      <c r="M7" s="792"/>
      <c r="N7" s="792"/>
      <c r="O7" s="792"/>
      <c r="P7" s="792"/>
      <c r="Q7" s="792"/>
      <c r="R7" s="793">
        <f t="shared" si="0"/>
        <v>0</v>
      </c>
      <c r="S7" s="792"/>
      <c r="T7" s="792">
        <v>448</v>
      </c>
      <c r="U7" s="792"/>
      <c r="V7" s="792"/>
      <c r="W7" s="792"/>
      <c r="X7" s="792"/>
      <c r="Y7" s="792"/>
      <c r="Z7" s="792"/>
      <c r="AA7" s="794"/>
      <c r="AB7" s="793">
        <f>SUM(S7:Z7)</f>
        <v>448</v>
      </c>
      <c r="AC7" s="795">
        <f t="shared" si="1"/>
        <v>448</v>
      </c>
    </row>
    <row r="8" spans="1:29">
      <c r="A8" s="790" t="s">
        <v>477</v>
      </c>
      <c r="B8" s="767" t="s">
        <v>957</v>
      </c>
      <c r="C8" s="791"/>
      <c r="D8" s="792"/>
      <c r="E8" s="792"/>
      <c r="F8" s="792"/>
      <c r="G8" s="792"/>
      <c r="H8" s="792"/>
      <c r="I8" s="792"/>
      <c r="J8" s="792"/>
      <c r="K8" s="792"/>
      <c r="L8" s="792">
        <v>50</v>
      </c>
      <c r="M8" s="792"/>
      <c r="N8" s="792"/>
      <c r="O8" s="792"/>
      <c r="P8" s="792"/>
      <c r="Q8" s="792"/>
      <c r="R8" s="793">
        <f t="shared" si="0"/>
        <v>50</v>
      </c>
      <c r="S8" s="792"/>
      <c r="T8" s="792"/>
      <c r="U8" s="792"/>
      <c r="V8" s="792"/>
      <c r="W8" s="792"/>
      <c r="X8" s="792"/>
      <c r="Y8" s="792"/>
      <c r="Z8" s="792"/>
      <c r="AA8" s="794"/>
      <c r="AB8" s="793">
        <f>SUM(S8:Z8)</f>
        <v>0</v>
      </c>
      <c r="AC8" s="795">
        <f t="shared" si="1"/>
        <v>0</v>
      </c>
    </row>
    <row r="9" spans="1:29">
      <c r="A9" s="790" t="s">
        <v>478</v>
      </c>
      <c r="B9" s="767" t="s">
        <v>969</v>
      </c>
      <c r="C9" s="791"/>
      <c r="D9" s="792"/>
      <c r="E9" s="792"/>
      <c r="F9" s="792"/>
      <c r="G9" s="792"/>
      <c r="H9" s="792"/>
      <c r="I9" s="792"/>
      <c r="J9" s="792"/>
      <c r="K9" s="792"/>
      <c r="L9" s="792">
        <v>30</v>
      </c>
      <c r="M9" s="792"/>
      <c r="N9" s="792"/>
      <c r="O9" s="792"/>
      <c r="P9" s="792"/>
      <c r="Q9" s="792"/>
      <c r="R9" s="793">
        <f t="shared" si="0"/>
        <v>30</v>
      </c>
      <c r="S9" s="792"/>
      <c r="T9" s="792"/>
      <c r="U9" s="792"/>
      <c r="V9" s="792"/>
      <c r="W9" s="792"/>
      <c r="X9" s="792"/>
      <c r="Y9" s="792"/>
      <c r="Z9" s="792"/>
      <c r="AA9" s="794"/>
      <c r="AB9" s="793">
        <f>SUM(S9:Z9)</f>
        <v>0</v>
      </c>
      <c r="AC9" s="795">
        <f t="shared" si="1"/>
        <v>0</v>
      </c>
    </row>
    <row r="10" spans="1:29">
      <c r="A10" s="790" t="s">
        <v>479</v>
      </c>
      <c r="B10" s="767" t="s">
        <v>958</v>
      </c>
      <c r="C10" s="791"/>
      <c r="D10" s="775"/>
      <c r="E10" s="775"/>
      <c r="F10" s="775"/>
      <c r="G10" s="775"/>
      <c r="H10" s="775"/>
      <c r="I10" s="775"/>
      <c r="J10" s="775"/>
      <c r="K10" s="775"/>
      <c r="L10" s="775">
        <v>268</v>
      </c>
      <c r="M10" s="775"/>
      <c r="N10" s="775"/>
      <c r="O10" s="775"/>
      <c r="P10" s="775"/>
      <c r="Q10" s="775"/>
      <c r="R10" s="793">
        <f t="shared" si="0"/>
        <v>268</v>
      </c>
      <c r="S10" s="775"/>
      <c r="T10" s="775"/>
      <c r="U10" s="775"/>
      <c r="V10" s="775"/>
      <c r="W10" s="775"/>
      <c r="X10" s="775"/>
      <c r="Y10" s="775"/>
      <c r="Z10" s="775"/>
      <c r="AA10" s="763"/>
      <c r="AB10" s="791"/>
      <c r="AC10" s="795">
        <f t="shared" si="1"/>
        <v>0</v>
      </c>
    </row>
    <row r="11" spans="1:29">
      <c r="A11" s="790" t="s">
        <v>480</v>
      </c>
      <c r="B11" s="767" t="s">
        <v>959</v>
      </c>
      <c r="C11" s="791"/>
      <c r="D11" s="775"/>
      <c r="E11" s="775"/>
      <c r="F11" s="775"/>
      <c r="G11" s="775"/>
      <c r="H11" s="775"/>
      <c r="I11" s="775"/>
      <c r="J11" s="775"/>
      <c r="K11" s="775"/>
      <c r="L11" s="775">
        <v>100</v>
      </c>
      <c r="M11" s="775"/>
      <c r="N11" s="775"/>
      <c r="O11" s="775"/>
      <c r="P11" s="775"/>
      <c r="Q11" s="775"/>
      <c r="R11" s="793">
        <f t="shared" si="0"/>
        <v>100</v>
      </c>
      <c r="S11" s="775"/>
      <c r="T11" s="775"/>
      <c r="U11" s="775"/>
      <c r="V11" s="775"/>
      <c r="W11" s="775"/>
      <c r="X11" s="775"/>
      <c r="Y11" s="775"/>
      <c r="Z11" s="775"/>
      <c r="AA11" s="763"/>
      <c r="AB11" s="791"/>
      <c r="AC11" s="795">
        <f t="shared" si="1"/>
        <v>0</v>
      </c>
    </row>
    <row r="12" spans="1:29">
      <c r="A12" s="790" t="s">
        <v>481</v>
      </c>
      <c r="B12" s="767" t="s">
        <v>960</v>
      </c>
      <c r="C12" s="791"/>
      <c r="D12" s="775">
        <v>6224</v>
      </c>
      <c r="E12" s="775">
        <v>1680</v>
      </c>
      <c r="F12" s="775"/>
      <c r="G12" s="775"/>
      <c r="H12" s="775"/>
      <c r="I12" s="775"/>
      <c r="J12" s="775"/>
      <c r="K12" s="775"/>
      <c r="L12" s="775"/>
      <c r="M12" s="775"/>
      <c r="N12" s="775"/>
      <c r="O12" s="775"/>
      <c r="P12" s="775"/>
      <c r="Q12" s="775"/>
      <c r="R12" s="793">
        <f t="shared" si="0"/>
        <v>7904</v>
      </c>
      <c r="S12" s="775"/>
      <c r="T12" s="775"/>
      <c r="U12" s="775"/>
      <c r="V12" s="775"/>
      <c r="W12" s="775"/>
      <c r="X12" s="775"/>
      <c r="Y12" s="775"/>
      <c r="Z12" s="775"/>
      <c r="AA12" s="763"/>
      <c r="AB12" s="791"/>
      <c r="AC12" s="795">
        <f t="shared" si="1"/>
        <v>0</v>
      </c>
    </row>
    <row r="13" spans="1:29">
      <c r="A13" s="790" t="s">
        <v>482</v>
      </c>
      <c r="B13" s="767" t="s">
        <v>955</v>
      </c>
      <c r="C13" s="791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  <c r="Q13" s="775"/>
      <c r="R13" s="793">
        <f t="shared" si="0"/>
        <v>0</v>
      </c>
      <c r="S13" s="775"/>
      <c r="T13" s="775"/>
      <c r="U13" s="775">
        <v>7904</v>
      </c>
      <c r="V13" s="775"/>
      <c r="W13" s="775"/>
      <c r="X13" s="775"/>
      <c r="Y13" s="775"/>
      <c r="Z13" s="775"/>
      <c r="AA13" s="763"/>
      <c r="AB13" s="791"/>
      <c r="AC13" s="795">
        <f t="shared" si="1"/>
        <v>7904</v>
      </c>
    </row>
    <row r="14" spans="1:29">
      <c r="A14" s="790" t="s">
        <v>483</v>
      </c>
      <c r="B14" s="767" t="s">
        <v>961</v>
      </c>
      <c r="C14" s="791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93">
        <f t="shared" si="0"/>
        <v>0</v>
      </c>
      <c r="S14" s="775"/>
      <c r="T14" s="775">
        <v>216</v>
      </c>
      <c r="U14" s="775"/>
      <c r="V14" s="775"/>
      <c r="W14" s="775"/>
      <c r="X14" s="775"/>
      <c r="Y14" s="775"/>
      <c r="Z14" s="775"/>
      <c r="AA14" s="763"/>
      <c r="AB14" s="791"/>
      <c r="AC14" s="795">
        <f t="shared" si="1"/>
        <v>216</v>
      </c>
    </row>
    <row r="15" spans="1:29">
      <c r="A15" s="790" t="s">
        <v>484</v>
      </c>
      <c r="B15" s="767" t="s">
        <v>962</v>
      </c>
      <c r="C15" s="791"/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93">
        <f t="shared" si="0"/>
        <v>0</v>
      </c>
      <c r="S15" s="775"/>
      <c r="T15" s="775">
        <v>10</v>
      </c>
      <c r="U15" s="775"/>
      <c r="V15" s="775"/>
      <c r="W15" s="775"/>
      <c r="X15" s="775"/>
      <c r="Y15" s="775"/>
      <c r="Z15" s="775"/>
      <c r="AA15" s="763"/>
      <c r="AB15" s="791"/>
      <c r="AC15" s="795">
        <f t="shared" si="1"/>
        <v>10</v>
      </c>
    </row>
    <row r="16" spans="1:29">
      <c r="A16" s="790" t="s">
        <v>485</v>
      </c>
      <c r="B16" s="767" t="s">
        <v>963</v>
      </c>
      <c r="C16" s="791"/>
      <c r="D16" s="775"/>
      <c r="E16" s="775"/>
      <c r="F16" s="775"/>
      <c r="G16" s="775"/>
      <c r="H16" s="775"/>
      <c r="I16" s="775"/>
      <c r="J16" s="775"/>
      <c r="K16" s="775"/>
      <c r="L16" s="775"/>
      <c r="M16" s="775"/>
      <c r="N16" s="775"/>
      <c r="O16" s="775"/>
      <c r="P16" s="775"/>
      <c r="Q16" s="775"/>
      <c r="R16" s="793">
        <f t="shared" si="0"/>
        <v>0</v>
      </c>
      <c r="S16" s="775"/>
      <c r="T16" s="775">
        <v>7</v>
      </c>
      <c r="U16" s="775"/>
      <c r="V16" s="775"/>
      <c r="W16" s="775"/>
      <c r="X16" s="775"/>
      <c r="Y16" s="775"/>
      <c r="Z16" s="775"/>
      <c r="AA16" s="763"/>
      <c r="AB16" s="791"/>
      <c r="AC16" s="795">
        <f t="shared" si="1"/>
        <v>7</v>
      </c>
    </row>
    <row r="17" spans="1:29">
      <c r="A17" s="790" t="s">
        <v>833</v>
      </c>
      <c r="B17" s="767" t="s">
        <v>964</v>
      </c>
      <c r="C17" s="791"/>
      <c r="D17" s="775">
        <v>-994</v>
      </c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5"/>
      <c r="Q17" s="775"/>
      <c r="R17" s="793">
        <f t="shared" si="0"/>
        <v>-994</v>
      </c>
      <c r="S17" s="775"/>
      <c r="T17" s="775"/>
      <c r="U17" s="775"/>
      <c r="V17" s="775"/>
      <c r="W17" s="775"/>
      <c r="X17" s="775"/>
      <c r="Y17" s="775"/>
      <c r="Z17" s="775"/>
      <c r="AA17" s="763"/>
      <c r="AB17" s="791"/>
      <c r="AC17" s="795">
        <f t="shared" si="1"/>
        <v>0</v>
      </c>
    </row>
    <row r="18" spans="1:29">
      <c r="A18" s="790" t="s">
        <v>834</v>
      </c>
      <c r="B18" s="767" t="s">
        <v>965</v>
      </c>
      <c r="C18" s="791"/>
      <c r="D18" s="775">
        <v>327</v>
      </c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93">
        <f t="shared" si="0"/>
        <v>327</v>
      </c>
      <c r="S18" s="775"/>
      <c r="T18" s="775"/>
      <c r="U18" s="775"/>
      <c r="V18" s="775"/>
      <c r="W18" s="775"/>
      <c r="X18" s="775"/>
      <c r="Y18" s="775"/>
      <c r="Z18" s="775"/>
      <c r="AA18" s="763"/>
      <c r="AB18" s="791"/>
      <c r="AC18" s="795">
        <f t="shared" si="1"/>
        <v>0</v>
      </c>
    </row>
    <row r="19" spans="1:29">
      <c r="A19" s="790" t="s">
        <v>835</v>
      </c>
      <c r="B19" s="767" t="s">
        <v>966</v>
      </c>
      <c r="C19" s="791"/>
      <c r="D19" s="775">
        <v>46</v>
      </c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93">
        <f t="shared" si="0"/>
        <v>46</v>
      </c>
      <c r="S19" s="775"/>
      <c r="T19" s="775"/>
      <c r="U19" s="775"/>
      <c r="V19" s="775"/>
      <c r="W19" s="775"/>
      <c r="X19" s="775"/>
      <c r="Y19" s="775"/>
      <c r="Z19" s="775"/>
      <c r="AA19" s="763"/>
      <c r="AB19" s="791"/>
      <c r="AC19" s="795">
        <f t="shared" si="1"/>
        <v>0</v>
      </c>
    </row>
    <row r="20" spans="1:29">
      <c r="A20" s="790" t="s">
        <v>837</v>
      </c>
      <c r="B20" s="767" t="s">
        <v>967</v>
      </c>
      <c r="C20" s="791"/>
      <c r="D20" s="775">
        <v>549</v>
      </c>
      <c r="E20" s="775"/>
      <c r="F20" s="775"/>
      <c r="G20" s="775"/>
      <c r="H20" s="775"/>
      <c r="I20" s="775"/>
      <c r="J20" s="775"/>
      <c r="K20" s="775"/>
      <c r="L20" s="775"/>
      <c r="M20" s="775"/>
      <c r="N20" s="775"/>
      <c r="O20" s="775"/>
      <c r="P20" s="775"/>
      <c r="Q20" s="775"/>
      <c r="R20" s="793">
        <f t="shared" si="0"/>
        <v>549</v>
      </c>
      <c r="S20" s="775"/>
      <c r="T20" s="775"/>
      <c r="U20" s="775"/>
      <c r="V20" s="775"/>
      <c r="W20" s="775"/>
      <c r="X20" s="775"/>
      <c r="Y20" s="775"/>
      <c r="Z20" s="775"/>
      <c r="AA20" s="763"/>
      <c r="AB20" s="791"/>
      <c r="AC20" s="795">
        <f t="shared" si="1"/>
        <v>0</v>
      </c>
    </row>
    <row r="21" spans="1:29">
      <c r="A21" s="790" t="s">
        <v>839</v>
      </c>
      <c r="B21" s="767" t="s">
        <v>968</v>
      </c>
      <c r="C21" s="791"/>
      <c r="D21" s="775">
        <v>72</v>
      </c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93">
        <f t="shared" si="0"/>
        <v>72</v>
      </c>
      <c r="S21" s="775"/>
      <c r="T21" s="775"/>
      <c r="U21" s="775"/>
      <c r="V21" s="775"/>
      <c r="W21" s="775"/>
      <c r="X21" s="775"/>
      <c r="Y21" s="775"/>
      <c r="Z21" s="775"/>
      <c r="AA21" s="763"/>
      <c r="AB21" s="791"/>
      <c r="AC21" s="795">
        <f t="shared" si="1"/>
        <v>0</v>
      </c>
    </row>
    <row r="22" spans="1:29">
      <c r="A22" s="790" t="s">
        <v>842</v>
      </c>
      <c r="B22" s="767" t="s">
        <v>969</v>
      </c>
      <c r="C22" s="791"/>
      <c r="D22" s="775"/>
      <c r="E22" s="775"/>
      <c r="F22" s="775"/>
      <c r="G22" s="775"/>
      <c r="H22" s="775"/>
      <c r="I22" s="775"/>
      <c r="J22" s="775"/>
      <c r="K22" s="775"/>
      <c r="L22" s="775">
        <v>44</v>
      </c>
      <c r="M22" s="775"/>
      <c r="N22" s="775"/>
      <c r="O22" s="775"/>
      <c r="P22" s="775"/>
      <c r="Q22" s="775"/>
      <c r="R22" s="793">
        <f t="shared" si="0"/>
        <v>44</v>
      </c>
      <c r="S22" s="775"/>
      <c r="T22" s="775"/>
      <c r="U22" s="775"/>
      <c r="V22" s="775"/>
      <c r="W22" s="775"/>
      <c r="X22" s="775"/>
      <c r="Y22" s="775"/>
      <c r="Z22" s="775"/>
      <c r="AA22" s="763"/>
      <c r="AB22" s="791"/>
      <c r="AC22" s="795">
        <f t="shared" si="1"/>
        <v>0</v>
      </c>
    </row>
    <row r="23" spans="1:29">
      <c r="A23" s="790" t="s">
        <v>843</v>
      </c>
      <c r="B23" s="767" t="s">
        <v>970</v>
      </c>
      <c r="C23" s="791"/>
      <c r="D23" s="775"/>
      <c r="E23" s="775"/>
      <c r="F23" s="775"/>
      <c r="G23" s="775"/>
      <c r="H23" s="775"/>
      <c r="I23" s="775"/>
      <c r="J23" s="775"/>
      <c r="K23" s="775"/>
      <c r="L23" s="775">
        <v>233</v>
      </c>
      <c r="M23" s="775"/>
      <c r="N23" s="775"/>
      <c r="O23" s="775"/>
      <c r="P23" s="775"/>
      <c r="Q23" s="775"/>
      <c r="R23" s="793">
        <f t="shared" si="0"/>
        <v>233</v>
      </c>
      <c r="S23" s="775"/>
      <c r="T23" s="775"/>
      <c r="U23" s="775"/>
      <c r="V23" s="775"/>
      <c r="W23" s="775"/>
      <c r="X23" s="775"/>
      <c r="Y23" s="775"/>
      <c r="Z23" s="775"/>
      <c r="AA23" s="763"/>
      <c r="AB23" s="791"/>
      <c r="AC23" s="795">
        <f t="shared" si="1"/>
        <v>0</v>
      </c>
    </row>
    <row r="24" spans="1:29">
      <c r="A24" s="790" t="s">
        <v>844</v>
      </c>
      <c r="B24" s="767" t="s">
        <v>813</v>
      </c>
      <c r="C24" s="791"/>
      <c r="D24" s="775"/>
      <c r="E24" s="775"/>
      <c r="F24" s="775"/>
      <c r="G24" s="775"/>
      <c r="H24" s="775"/>
      <c r="I24" s="775"/>
      <c r="J24" s="775"/>
      <c r="K24" s="775"/>
      <c r="L24" s="775">
        <v>12</v>
      </c>
      <c r="M24" s="775"/>
      <c r="N24" s="775"/>
      <c r="O24" s="775"/>
      <c r="P24" s="775"/>
      <c r="Q24" s="775"/>
      <c r="R24" s="793">
        <f t="shared" si="0"/>
        <v>12</v>
      </c>
      <c r="S24" s="775"/>
      <c r="T24" s="775"/>
      <c r="U24" s="775"/>
      <c r="V24" s="775"/>
      <c r="W24" s="775"/>
      <c r="X24" s="775"/>
      <c r="Y24" s="775"/>
      <c r="Z24" s="775"/>
      <c r="AA24" s="763"/>
      <c r="AB24" s="791"/>
      <c r="AC24" s="795">
        <f t="shared" si="1"/>
        <v>0</v>
      </c>
    </row>
    <row r="25" spans="1:29">
      <c r="A25" s="790" t="s">
        <v>845</v>
      </c>
      <c r="B25" s="767" t="s">
        <v>971</v>
      </c>
      <c r="C25" s="791"/>
      <c r="D25" s="775"/>
      <c r="E25" s="775"/>
      <c r="F25" s="775"/>
      <c r="G25" s="775"/>
      <c r="H25" s="775"/>
      <c r="I25" s="775"/>
      <c r="J25" s="775"/>
      <c r="K25" s="775"/>
      <c r="L25" s="775"/>
      <c r="M25" s="775"/>
      <c r="N25" s="775"/>
      <c r="O25" s="775">
        <f>49+466</f>
        <v>515</v>
      </c>
      <c r="P25" s="775"/>
      <c r="Q25" s="775"/>
      <c r="R25" s="793">
        <f t="shared" ref="R25" si="2">SUM(D25:Q25)</f>
        <v>515</v>
      </c>
      <c r="S25" s="775"/>
      <c r="T25" s="775"/>
      <c r="U25" s="775"/>
      <c r="V25" s="775"/>
      <c r="W25" s="775"/>
      <c r="X25" s="775"/>
      <c r="Y25" s="775"/>
      <c r="Z25" s="775"/>
      <c r="AA25" s="763"/>
      <c r="AB25" s="791"/>
      <c r="AC25" s="795">
        <f t="shared" ref="AC25" si="3">SUM(S25:AA25)</f>
        <v>0</v>
      </c>
    </row>
    <row r="26" spans="1:29">
      <c r="A26" s="790" t="s">
        <v>846</v>
      </c>
      <c r="B26" s="767" t="s">
        <v>972</v>
      </c>
      <c r="C26" s="791"/>
      <c r="D26" s="775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775">
        <f>-93-466</f>
        <v>-559</v>
      </c>
      <c r="P26" s="775"/>
      <c r="Q26" s="775"/>
      <c r="R26" s="793">
        <f t="shared" si="0"/>
        <v>-559</v>
      </c>
      <c r="S26" s="775"/>
      <c r="T26" s="775"/>
      <c r="U26" s="775"/>
      <c r="V26" s="775"/>
      <c r="W26" s="775"/>
      <c r="X26" s="775"/>
      <c r="Y26" s="775"/>
      <c r="Z26" s="775"/>
      <c r="AA26" s="763"/>
      <c r="AB26" s="791"/>
      <c r="AC26" s="795">
        <f t="shared" si="1"/>
        <v>0</v>
      </c>
    </row>
    <row r="27" spans="1:29">
      <c r="A27" s="790" t="s">
        <v>848</v>
      </c>
      <c r="B27" s="767" t="s">
        <v>973</v>
      </c>
      <c r="C27" s="791"/>
      <c r="D27" s="775"/>
      <c r="E27" s="775"/>
      <c r="F27" s="775"/>
      <c r="G27" s="775"/>
      <c r="H27" s="775"/>
      <c r="I27" s="775"/>
      <c r="J27" s="775"/>
      <c r="K27" s="775"/>
      <c r="L27" s="775"/>
      <c r="M27" s="775"/>
      <c r="N27" s="775"/>
      <c r="O27" s="775">
        <v>-12</v>
      </c>
      <c r="P27" s="775"/>
      <c r="Q27" s="775"/>
      <c r="R27" s="793">
        <f t="shared" si="0"/>
        <v>-12</v>
      </c>
      <c r="S27" s="775"/>
      <c r="T27" s="775"/>
      <c r="U27" s="775"/>
      <c r="V27" s="775"/>
      <c r="W27" s="775"/>
      <c r="X27" s="775"/>
      <c r="Y27" s="775"/>
      <c r="Z27" s="775"/>
      <c r="AA27" s="763"/>
      <c r="AB27" s="791"/>
      <c r="AC27" s="795">
        <f t="shared" si="1"/>
        <v>0</v>
      </c>
    </row>
    <row r="28" spans="1:29" ht="13.8" thickBot="1">
      <c r="A28" s="821"/>
      <c r="B28" s="853" t="s">
        <v>178</v>
      </c>
      <c r="C28" s="854"/>
      <c r="D28" s="855">
        <f t="shared" ref="D28:Q28" si="4">SUM(D5:D27)</f>
        <v>6224</v>
      </c>
      <c r="E28" s="855">
        <f t="shared" si="4"/>
        <v>1680</v>
      </c>
      <c r="F28" s="855">
        <f t="shared" si="4"/>
        <v>0</v>
      </c>
      <c r="G28" s="855">
        <f t="shared" si="4"/>
        <v>0</v>
      </c>
      <c r="H28" s="855">
        <f t="shared" si="4"/>
        <v>0</v>
      </c>
      <c r="I28" s="855">
        <f t="shared" si="4"/>
        <v>0</v>
      </c>
      <c r="J28" s="855">
        <f t="shared" si="4"/>
        <v>0</v>
      </c>
      <c r="K28" s="855">
        <f t="shared" si="4"/>
        <v>0</v>
      </c>
      <c r="L28" s="855">
        <f t="shared" si="4"/>
        <v>737</v>
      </c>
      <c r="M28" s="855">
        <f t="shared" si="4"/>
        <v>0</v>
      </c>
      <c r="N28" s="855">
        <f t="shared" si="4"/>
        <v>0</v>
      </c>
      <c r="O28" s="855">
        <f t="shared" si="4"/>
        <v>220</v>
      </c>
      <c r="P28" s="855">
        <f t="shared" si="4"/>
        <v>0</v>
      </c>
      <c r="Q28" s="855">
        <f t="shared" si="4"/>
        <v>0</v>
      </c>
      <c r="R28" s="856">
        <f>SUM(D28:Q28)</f>
        <v>8861</v>
      </c>
      <c r="S28" s="855">
        <f t="shared" ref="S28:AA28" si="5">SUM(S5:S27)</f>
        <v>0</v>
      </c>
      <c r="T28" s="855">
        <f t="shared" si="5"/>
        <v>681</v>
      </c>
      <c r="U28" s="855">
        <f t="shared" si="5"/>
        <v>8180</v>
      </c>
      <c r="V28" s="855">
        <f t="shared" si="5"/>
        <v>0</v>
      </c>
      <c r="W28" s="855">
        <f t="shared" si="5"/>
        <v>0</v>
      </c>
      <c r="X28" s="855">
        <f t="shared" si="5"/>
        <v>0</v>
      </c>
      <c r="Y28" s="855">
        <f t="shared" si="5"/>
        <v>0</v>
      </c>
      <c r="Z28" s="855">
        <f t="shared" si="5"/>
        <v>0</v>
      </c>
      <c r="AA28" s="855">
        <f t="shared" si="5"/>
        <v>0</v>
      </c>
      <c r="AB28" s="855">
        <f t="shared" ref="AB28" si="6">SUM(AB5:AB18)</f>
        <v>724</v>
      </c>
      <c r="AC28" s="857">
        <f>SUM(S28:AA28)</f>
        <v>8861</v>
      </c>
    </row>
  </sheetData>
  <mergeCells count="24">
    <mergeCell ref="S2:AA2"/>
    <mergeCell ref="AB2:AB4"/>
    <mergeCell ref="T3:T4"/>
    <mergeCell ref="Z1:AC1"/>
    <mergeCell ref="AC2:AC4"/>
    <mergeCell ref="S3:S4"/>
    <mergeCell ref="U3:U4"/>
    <mergeCell ref="V3:W3"/>
    <mergeCell ref="X3:X4"/>
    <mergeCell ref="Y3:Z3"/>
    <mergeCell ref="AA3:AA4"/>
    <mergeCell ref="A2:A4"/>
    <mergeCell ref="B2:B4"/>
    <mergeCell ref="C2:C4"/>
    <mergeCell ref="D2:Q2"/>
    <mergeCell ref="R2:R4"/>
    <mergeCell ref="D3:D4"/>
    <mergeCell ref="E3:E4"/>
    <mergeCell ref="F3:K3"/>
    <mergeCell ref="L3:L4"/>
    <mergeCell ref="M3:N3"/>
    <mergeCell ref="O3:O4"/>
    <mergeCell ref="P3:P4"/>
    <mergeCell ref="Q3:Q4"/>
  </mergeCells>
  <printOptions horizontalCentered="1"/>
  <pageMargins left="0.70866141732283472" right="0.70866141732283472" top="0.94488188976377963" bottom="0.47244094488188981" header="0.31496062992125984" footer="0.31496062992125984"/>
  <pageSetup paperSize="9" scale="63" fitToHeight="2" orientation="landscape" r:id="rId1"/>
  <headerFooter>
    <oddHeader>&amp;C&amp;"Times New Roman CE,Félkövér"&amp;14Előirányzat módosítás nyilvántartás Polgármesteri Hivatal 2016. év&amp;R&amp;"Times New Roman CE,Félkövér"&amp;12 &amp;"Times New Roman CE,Normál"&amp;10 12.b.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14"/>
  <sheetViews>
    <sheetView workbookViewId="0">
      <selection activeCell="W18" sqref="W18"/>
    </sheetView>
  </sheetViews>
  <sheetFormatPr defaultColWidth="9.109375" defaultRowHeight="13.2"/>
  <cols>
    <col min="1" max="1" width="7.109375" style="796" customWidth="1"/>
    <col min="2" max="2" width="47.44140625" style="796" customWidth="1"/>
    <col min="3" max="3" width="1.33203125" style="796" hidden="1" customWidth="1"/>
    <col min="4" max="4" width="7.44140625" style="796" customWidth="1"/>
    <col min="5" max="5" width="5.6640625" style="796" customWidth="1"/>
    <col min="6" max="7" width="5.5546875" style="796" hidden="1" customWidth="1"/>
    <col min="8" max="8" width="5.44140625" style="796" hidden="1" customWidth="1"/>
    <col min="9" max="9" width="5.33203125" style="796" hidden="1" customWidth="1"/>
    <col min="10" max="10" width="5.109375" style="796" hidden="1" customWidth="1"/>
    <col min="11" max="11" width="0.109375" style="796" hidden="1" customWidth="1"/>
    <col min="12" max="12" width="9.88671875" style="796" customWidth="1"/>
    <col min="13" max="13" width="7.88671875" style="796" customWidth="1"/>
    <col min="14" max="14" width="8.5546875" style="796" customWidth="1"/>
    <col min="15" max="15" width="9" style="796" customWidth="1"/>
    <col min="16" max="17" width="6.6640625" style="796" customWidth="1"/>
    <col min="18" max="19" width="0" style="796" hidden="1" customWidth="1"/>
    <col min="20" max="20" width="8.6640625" style="796" hidden="1" customWidth="1"/>
    <col min="21" max="21" width="9" style="796" customWidth="1"/>
    <col min="22" max="23" width="8.33203125" style="796" customWidth="1"/>
    <col min="24" max="24" width="8" style="796" customWidth="1"/>
    <col min="25" max="25" width="9.109375" style="796"/>
    <col min="26" max="26" width="9" style="796" customWidth="1"/>
    <col min="27" max="27" width="6.88671875" style="796" customWidth="1"/>
    <col min="28" max="28" width="7.88671875" style="796" customWidth="1"/>
    <col min="29" max="29" width="7.44140625" style="796" customWidth="1"/>
    <col min="30" max="30" width="6.88671875" style="796" customWidth="1"/>
    <col min="31" max="31" width="7" style="796" hidden="1" customWidth="1"/>
    <col min="32" max="16384" width="9.109375" style="796"/>
  </cols>
  <sheetData>
    <row r="1" spans="1:31" ht="13.8" thickBot="1">
      <c r="AB1" s="1168" t="s">
        <v>406</v>
      </c>
      <c r="AC1" s="1168"/>
      <c r="AD1" s="1168"/>
      <c r="AE1" s="797"/>
    </row>
    <row r="2" spans="1:31">
      <c r="A2" s="1204" t="s">
        <v>348</v>
      </c>
      <c r="B2" s="1206" t="s">
        <v>761</v>
      </c>
      <c r="C2" s="1206" t="s">
        <v>799</v>
      </c>
      <c r="D2" s="1208" t="s">
        <v>308</v>
      </c>
      <c r="E2" s="1208"/>
      <c r="F2" s="1208"/>
      <c r="G2" s="1208"/>
      <c r="H2" s="1208"/>
      <c r="I2" s="1208"/>
      <c r="J2" s="1208"/>
      <c r="K2" s="1208"/>
      <c r="L2" s="1208"/>
      <c r="M2" s="1208"/>
      <c r="N2" s="1208"/>
      <c r="O2" s="1208"/>
      <c r="P2" s="1208"/>
      <c r="Q2" s="1208"/>
      <c r="R2" s="1208"/>
      <c r="S2" s="1208"/>
      <c r="T2" s="1208"/>
      <c r="U2" s="1210" t="s">
        <v>286</v>
      </c>
      <c r="V2" s="1208" t="s">
        <v>299</v>
      </c>
      <c r="W2" s="1208"/>
      <c r="X2" s="1208"/>
      <c r="Y2" s="1208"/>
      <c r="Z2" s="1208"/>
      <c r="AA2" s="1208"/>
      <c r="AB2" s="1208"/>
      <c r="AC2" s="842"/>
      <c r="AD2" s="1212" t="s">
        <v>763</v>
      </c>
      <c r="AE2" s="1198" t="s">
        <v>489</v>
      </c>
    </row>
    <row r="3" spans="1:31">
      <c r="A3" s="1205"/>
      <c r="B3" s="1201"/>
      <c r="C3" s="1207"/>
      <c r="D3" s="1201" t="s">
        <v>801</v>
      </c>
      <c r="E3" s="1201" t="s">
        <v>802</v>
      </c>
      <c r="F3" s="1201" t="s">
        <v>803</v>
      </c>
      <c r="G3" s="1201"/>
      <c r="H3" s="1201"/>
      <c r="I3" s="1201"/>
      <c r="J3" s="1201"/>
      <c r="K3" s="1201"/>
      <c r="L3" s="1201" t="s">
        <v>152</v>
      </c>
      <c r="M3" s="1201" t="s">
        <v>164</v>
      </c>
      <c r="N3" s="1202"/>
      <c r="O3" s="1201" t="s">
        <v>767</v>
      </c>
      <c r="P3" s="1203" t="s">
        <v>804</v>
      </c>
      <c r="Q3" s="1201" t="s">
        <v>805</v>
      </c>
      <c r="R3" s="798"/>
      <c r="S3" s="798"/>
      <c r="T3" s="798"/>
      <c r="U3" s="1211"/>
      <c r="V3" s="1201" t="s">
        <v>777</v>
      </c>
      <c r="W3" s="1201" t="s">
        <v>778</v>
      </c>
      <c r="X3" s="1201" t="s">
        <v>771</v>
      </c>
      <c r="Y3" s="1201" t="s">
        <v>806</v>
      </c>
      <c r="Z3" s="1202"/>
      <c r="AA3" s="1201" t="s">
        <v>808</v>
      </c>
      <c r="AB3" s="1202"/>
      <c r="AC3" s="1209" t="s">
        <v>818</v>
      </c>
      <c r="AD3" s="1213"/>
      <c r="AE3" s="1199"/>
    </row>
    <row r="4" spans="1:31" ht="21" thickBot="1">
      <c r="A4" s="1205"/>
      <c r="B4" s="1201"/>
      <c r="C4" s="1207"/>
      <c r="D4" s="1201"/>
      <c r="E4" s="1201"/>
      <c r="F4" s="798" t="s">
        <v>810</v>
      </c>
      <c r="G4" s="798" t="s">
        <v>811</v>
      </c>
      <c r="H4" s="798" t="s">
        <v>812</v>
      </c>
      <c r="I4" s="798" t="s">
        <v>813</v>
      </c>
      <c r="J4" s="798" t="s">
        <v>814</v>
      </c>
      <c r="K4" s="798" t="s">
        <v>815</v>
      </c>
      <c r="L4" s="1201"/>
      <c r="M4" s="841" t="s">
        <v>788</v>
      </c>
      <c r="N4" s="841" t="s">
        <v>789</v>
      </c>
      <c r="O4" s="1201"/>
      <c r="P4" s="1203"/>
      <c r="Q4" s="1201"/>
      <c r="R4" s="798"/>
      <c r="S4" s="798"/>
      <c r="T4" s="798"/>
      <c r="U4" s="1211"/>
      <c r="V4" s="1201"/>
      <c r="W4" s="1201"/>
      <c r="X4" s="1201"/>
      <c r="Y4" s="841" t="s">
        <v>816</v>
      </c>
      <c r="Z4" s="841" t="s">
        <v>817</v>
      </c>
      <c r="AA4" s="841" t="s">
        <v>816</v>
      </c>
      <c r="AB4" s="841" t="s">
        <v>817</v>
      </c>
      <c r="AC4" s="1209"/>
      <c r="AD4" s="1213"/>
      <c r="AE4" s="1200"/>
    </row>
    <row r="5" spans="1:31">
      <c r="A5" s="1205"/>
      <c r="B5" s="799" t="s">
        <v>302</v>
      </c>
      <c r="C5" s="799"/>
      <c r="D5" s="799" t="s">
        <v>303</v>
      </c>
      <c r="E5" s="799" t="s">
        <v>304</v>
      </c>
      <c r="F5" s="800"/>
      <c r="G5" s="800"/>
      <c r="H5" s="800"/>
      <c r="I5" s="800"/>
      <c r="J5" s="800"/>
      <c r="K5" s="800"/>
      <c r="L5" s="799" t="s">
        <v>305</v>
      </c>
      <c r="M5" s="799" t="s">
        <v>819</v>
      </c>
      <c r="N5" s="799" t="s">
        <v>820</v>
      </c>
      <c r="O5" s="799" t="s">
        <v>821</v>
      </c>
      <c r="P5" s="799" t="s">
        <v>822</v>
      </c>
      <c r="Q5" s="799" t="s">
        <v>823</v>
      </c>
      <c r="R5" s="800"/>
      <c r="S5" s="800"/>
      <c r="T5" s="800"/>
      <c r="U5" s="801" t="s">
        <v>824</v>
      </c>
      <c r="V5" s="799" t="s">
        <v>825</v>
      </c>
      <c r="W5" s="799" t="s">
        <v>826</v>
      </c>
      <c r="X5" s="799" t="s">
        <v>827</v>
      </c>
      <c r="Y5" s="799" t="s">
        <v>828</v>
      </c>
      <c r="Z5" s="799" t="s">
        <v>829</v>
      </c>
      <c r="AA5" s="800" t="s">
        <v>830</v>
      </c>
      <c r="AB5" s="799" t="s">
        <v>831</v>
      </c>
      <c r="AC5" s="799"/>
      <c r="AD5" s="802" t="s">
        <v>832</v>
      </c>
      <c r="AE5" s="832"/>
    </row>
    <row r="6" spans="1:31">
      <c r="A6" s="924" t="s">
        <v>307</v>
      </c>
      <c r="B6" s="925" t="s">
        <v>836</v>
      </c>
      <c r="C6" s="926"/>
      <c r="D6" s="927">
        <v>-160</v>
      </c>
      <c r="E6" s="927"/>
      <c r="F6" s="927"/>
      <c r="G6" s="927"/>
      <c r="H6" s="927"/>
      <c r="I6" s="927"/>
      <c r="J6" s="927"/>
      <c r="K6" s="927"/>
      <c r="L6" s="803"/>
      <c r="M6" s="927"/>
      <c r="N6" s="927"/>
      <c r="O6" s="927"/>
      <c r="P6" s="927"/>
      <c r="Q6" s="803"/>
      <c r="R6" s="803"/>
      <c r="S6" s="803"/>
      <c r="T6" s="803"/>
      <c r="U6" s="861">
        <f t="shared" ref="U6:U7" si="0">SUM(D6:T6)</f>
        <v>-160</v>
      </c>
      <c r="V6" s="927"/>
      <c r="W6" s="927"/>
      <c r="X6" s="927"/>
      <c r="Y6" s="927"/>
      <c r="Z6" s="927"/>
      <c r="AA6" s="927"/>
      <c r="AB6" s="927"/>
      <c r="AC6" s="928"/>
      <c r="AD6" s="862">
        <f t="shared" ref="AD6:AD15" si="1">SUM(V6:AC6)</f>
        <v>0</v>
      </c>
    </row>
    <row r="7" spans="1:31">
      <c r="A7" s="924" t="s">
        <v>416</v>
      </c>
      <c r="B7" s="925" t="s">
        <v>838</v>
      </c>
      <c r="C7" s="926"/>
      <c r="D7" s="927">
        <v>160</v>
      </c>
      <c r="E7" s="927"/>
      <c r="F7" s="927"/>
      <c r="G7" s="927"/>
      <c r="H7" s="927"/>
      <c r="I7" s="927"/>
      <c r="J7" s="927"/>
      <c r="K7" s="927"/>
      <c r="L7" s="803"/>
      <c r="M7" s="927"/>
      <c r="N7" s="927"/>
      <c r="O7" s="927"/>
      <c r="P7" s="927"/>
      <c r="Q7" s="803"/>
      <c r="R7" s="803"/>
      <c r="S7" s="803"/>
      <c r="T7" s="803"/>
      <c r="U7" s="861">
        <f t="shared" si="0"/>
        <v>160</v>
      </c>
      <c r="V7" s="927"/>
      <c r="W7" s="927"/>
      <c r="X7" s="927"/>
      <c r="Y7" s="927"/>
      <c r="Z7" s="927"/>
      <c r="AA7" s="927"/>
      <c r="AB7" s="927"/>
      <c r="AC7" s="928"/>
      <c r="AD7" s="862">
        <f t="shared" si="1"/>
        <v>0</v>
      </c>
    </row>
    <row r="8" spans="1:31">
      <c r="A8" s="924" t="s">
        <v>476</v>
      </c>
      <c r="B8" s="925" t="s">
        <v>919</v>
      </c>
      <c r="C8" s="926"/>
      <c r="D8" s="927"/>
      <c r="E8" s="927">
        <v>-110</v>
      </c>
      <c r="F8" s="927"/>
      <c r="G8" s="927"/>
      <c r="H8" s="927"/>
      <c r="I8" s="927"/>
      <c r="J8" s="927"/>
      <c r="K8" s="927"/>
      <c r="L8" s="803"/>
      <c r="M8" s="927"/>
      <c r="N8" s="927"/>
      <c r="O8" s="927"/>
      <c r="P8" s="927"/>
      <c r="Q8" s="803"/>
      <c r="R8" s="803"/>
      <c r="S8" s="803"/>
      <c r="T8" s="803"/>
      <c r="U8" s="861">
        <f t="shared" ref="U8" si="2">SUM(D8:T8)</f>
        <v>-110</v>
      </c>
      <c r="V8" s="927"/>
      <c r="W8" s="927"/>
      <c r="X8" s="927"/>
      <c r="Y8" s="927"/>
      <c r="Z8" s="927"/>
      <c r="AA8" s="927"/>
      <c r="AB8" s="927"/>
      <c r="AC8" s="928"/>
      <c r="AD8" s="862">
        <f t="shared" si="1"/>
        <v>0</v>
      </c>
    </row>
    <row r="9" spans="1:31">
      <c r="A9" s="924" t="s">
        <v>477</v>
      </c>
      <c r="B9" s="925" t="s">
        <v>840</v>
      </c>
      <c r="C9" s="926"/>
      <c r="D9" s="927"/>
      <c r="E9" s="927">
        <v>110</v>
      </c>
      <c r="F9" s="927"/>
      <c r="G9" s="927"/>
      <c r="H9" s="927"/>
      <c r="I9" s="927"/>
      <c r="J9" s="927"/>
      <c r="K9" s="927"/>
      <c r="L9" s="803"/>
      <c r="M9" s="927"/>
      <c r="N9" s="927"/>
      <c r="O9" s="927"/>
      <c r="P9" s="927"/>
      <c r="Q9" s="803"/>
      <c r="R9" s="803"/>
      <c r="S9" s="803"/>
      <c r="T9" s="803"/>
      <c r="U9" s="861">
        <f t="shared" ref="U9:U26" si="3">SUM(D9:T9)</f>
        <v>110</v>
      </c>
      <c r="V9" s="927"/>
      <c r="W9" s="927"/>
      <c r="X9" s="927"/>
      <c r="Y9" s="927"/>
      <c r="Z9" s="927"/>
      <c r="AA9" s="927"/>
      <c r="AB9" s="927"/>
      <c r="AC9" s="928"/>
      <c r="AD9" s="862">
        <f t="shared" si="1"/>
        <v>0</v>
      </c>
    </row>
    <row r="10" spans="1:31">
      <c r="A10" s="924" t="s">
        <v>478</v>
      </c>
      <c r="B10" s="925" t="s">
        <v>836</v>
      </c>
      <c r="C10" s="926"/>
      <c r="D10" s="927">
        <v>-131</v>
      </c>
      <c r="E10" s="927"/>
      <c r="F10" s="927"/>
      <c r="G10" s="927"/>
      <c r="H10" s="927"/>
      <c r="I10" s="927"/>
      <c r="J10" s="927"/>
      <c r="K10" s="927"/>
      <c r="L10" s="803"/>
      <c r="M10" s="927"/>
      <c r="N10" s="927"/>
      <c r="O10" s="927"/>
      <c r="P10" s="927"/>
      <c r="Q10" s="803"/>
      <c r="R10" s="803"/>
      <c r="S10" s="803"/>
      <c r="T10" s="803"/>
      <c r="U10" s="861">
        <f t="shared" si="3"/>
        <v>-131</v>
      </c>
      <c r="V10" s="927"/>
      <c r="W10" s="927"/>
      <c r="X10" s="927"/>
      <c r="Y10" s="927"/>
      <c r="Z10" s="927"/>
      <c r="AA10" s="927"/>
      <c r="AB10" s="927"/>
      <c r="AC10" s="928"/>
      <c r="AD10" s="862">
        <f t="shared" si="1"/>
        <v>0</v>
      </c>
    </row>
    <row r="11" spans="1:31">
      <c r="A11" s="924" t="s">
        <v>479</v>
      </c>
      <c r="B11" s="925" t="s">
        <v>838</v>
      </c>
      <c r="C11" s="926"/>
      <c r="D11" s="927">
        <v>131</v>
      </c>
      <c r="E11" s="927"/>
      <c r="F11" s="927"/>
      <c r="G11" s="927"/>
      <c r="H11" s="927"/>
      <c r="I11" s="927"/>
      <c r="J11" s="927"/>
      <c r="K11" s="927"/>
      <c r="L11" s="803"/>
      <c r="M11" s="927"/>
      <c r="N11" s="927"/>
      <c r="O11" s="927"/>
      <c r="P11" s="927"/>
      <c r="Q11" s="803"/>
      <c r="R11" s="803"/>
      <c r="S11" s="803"/>
      <c r="T11" s="803"/>
      <c r="U11" s="861">
        <f t="shared" si="3"/>
        <v>131</v>
      </c>
      <c r="V11" s="927"/>
      <c r="W11" s="927"/>
      <c r="X11" s="927"/>
      <c r="Y11" s="927"/>
      <c r="Z11" s="927"/>
      <c r="AA11" s="927"/>
      <c r="AB11" s="927"/>
      <c r="AC11" s="928"/>
      <c r="AD11" s="862">
        <f t="shared" si="1"/>
        <v>0</v>
      </c>
    </row>
    <row r="12" spans="1:31">
      <c r="A12" s="924" t="s">
        <v>480</v>
      </c>
      <c r="B12" s="925" t="s">
        <v>836</v>
      </c>
      <c r="C12" s="926"/>
      <c r="D12" s="927">
        <v>-137</v>
      </c>
      <c r="E12" s="927"/>
      <c r="F12" s="927"/>
      <c r="G12" s="927"/>
      <c r="H12" s="927"/>
      <c r="I12" s="927"/>
      <c r="J12" s="927"/>
      <c r="K12" s="927"/>
      <c r="L12" s="803"/>
      <c r="M12" s="927"/>
      <c r="N12" s="927"/>
      <c r="O12" s="927"/>
      <c r="P12" s="927"/>
      <c r="Q12" s="803"/>
      <c r="R12" s="803"/>
      <c r="S12" s="803"/>
      <c r="T12" s="803"/>
      <c r="U12" s="861">
        <f t="shared" si="3"/>
        <v>-137</v>
      </c>
      <c r="V12" s="927"/>
      <c r="W12" s="927"/>
      <c r="X12" s="927"/>
      <c r="Y12" s="927"/>
      <c r="Z12" s="927"/>
      <c r="AA12" s="927"/>
      <c r="AB12" s="927"/>
      <c r="AC12" s="928"/>
      <c r="AD12" s="862">
        <f t="shared" si="1"/>
        <v>0</v>
      </c>
    </row>
    <row r="13" spans="1:31">
      <c r="A13" s="924" t="s">
        <v>481</v>
      </c>
      <c r="B13" s="925" t="s">
        <v>920</v>
      </c>
      <c r="C13" s="926"/>
      <c r="D13" s="927">
        <v>137</v>
      </c>
      <c r="E13" s="927"/>
      <c r="F13" s="927"/>
      <c r="G13" s="927"/>
      <c r="H13" s="927"/>
      <c r="I13" s="927"/>
      <c r="J13" s="927"/>
      <c r="K13" s="927"/>
      <c r="L13" s="803"/>
      <c r="M13" s="927"/>
      <c r="N13" s="927"/>
      <c r="O13" s="927"/>
      <c r="P13" s="927"/>
      <c r="Q13" s="803"/>
      <c r="R13" s="803"/>
      <c r="S13" s="803"/>
      <c r="T13" s="803"/>
      <c r="U13" s="861">
        <f t="shared" ref="U13" si="4">SUM(D13:T13)</f>
        <v>137</v>
      </c>
      <c r="V13" s="927"/>
      <c r="W13" s="927"/>
      <c r="X13" s="927"/>
      <c r="Y13" s="927"/>
      <c r="Z13" s="927"/>
      <c r="AA13" s="927"/>
      <c r="AB13" s="927"/>
      <c r="AC13" s="928"/>
      <c r="AD13" s="862">
        <f t="shared" si="1"/>
        <v>0</v>
      </c>
    </row>
    <row r="14" spans="1:31">
      <c r="A14" s="924" t="s">
        <v>482</v>
      </c>
      <c r="B14" s="925" t="s">
        <v>919</v>
      </c>
      <c r="C14" s="926"/>
      <c r="D14" s="927"/>
      <c r="E14" s="927">
        <v>-74</v>
      </c>
      <c r="F14" s="927"/>
      <c r="G14" s="927"/>
      <c r="H14" s="927"/>
      <c r="I14" s="927"/>
      <c r="J14" s="927"/>
      <c r="K14" s="927"/>
      <c r="L14" s="803"/>
      <c r="M14" s="927"/>
      <c r="N14" s="927"/>
      <c r="O14" s="927"/>
      <c r="P14" s="927"/>
      <c r="Q14" s="803"/>
      <c r="R14" s="803"/>
      <c r="S14" s="803"/>
      <c r="T14" s="803"/>
      <c r="U14" s="861">
        <f t="shared" si="3"/>
        <v>-74</v>
      </c>
      <c r="V14" s="927"/>
      <c r="W14" s="927"/>
      <c r="X14" s="927"/>
      <c r="Y14" s="927"/>
      <c r="Z14" s="927"/>
      <c r="AA14" s="927"/>
      <c r="AB14" s="927"/>
      <c r="AC14" s="928"/>
      <c r="AD14" s="862">
        <f t="shared" si="1"/>
        <v>0</v>
      </c>
    </row>
    <row r="15" spans="1:31" ht="14.4" customHeight="1">
      <c r="A15" s="924" t="s">
        <v>483</v>
      </c>
      <c r="B15" s="925" t="s">
        <v>840</v>
      </c>
      <c r="C15" s="926"/>
      <c r="D15" s="927"/>
      <c r="E15" s="927">
        <v>74</v>
      </c>
      <c r="F15" s="927"/>
      <c r="G15" s="927"/>
      <c r="H15" s="927"/>
      <c r="I15" s="927"/>
      <c r="J15" s="927"/>
      <c r="K15" s="927"/>
      <c r="L15" s="803"/>
      <c r="M15" s="927"/>
      <c r="N15" s="927"/>
      <c r="O15" s="927"/>
      <c r="P15" s="927"/>
      <c r="Q15" s="803"/>
      <c r="R15" s="803"/>
      <c r="S15" s="803"/>
      <c r="T15" s="803"/>
      <c r="U15" s="861">
        <f t="shared" si="3"/>
        <v>74</v>
      </c>
      <c r="V15" s="927"/>
      <c r="W15" s="927"/>
      <c r="X15" s="927"/>
      <c r="Y15" s="927"/>
      <c r="Z15" s="927"/>
      <c r="AA15" s="927"/>
      <c r="AB15" s="927"/>
      <c r="AC15" s="928"/>
      <c r="AD15" s="862">
        <f t="shared" si="1"/>
        <v>0</v>
      </c>
    </row>
    <row r="16" spans="1:31">
      <c r="A16" s="924" t="s">
        <v>484</v>
      </c>
      <c r="B16" s="925" t="s">
        <v>921</v>
      </c>
      <c r="C16" s="926"/>
      <c r="D16" s="927">
        <v>-529</v>
      </c>
      <c r="E16" s="927"/>
      <c r="F16" s="927"/>
      <c r="G16" s="927"/>
      <c r="H16" s="927"/>
      <c r="I16" s="927"/>
      <c r="J16" s="927"/>
      <c r="K16" s="927"/>
      <c r="L16" s="803"/>
      <c r="M16" s="927"/>
      <c r="N16" s="927"/>
      <c r="O16" s="927"/>
      <c r="P16" s="927"/>
      <c r="Q16" s="803"/>
      <c r="R16" s="803"/>
      <c r="S16" s="803"/>
      <c r="T16" s="803"/>
      <c r="U16" s="861">
        <f t="shared" si="3"/>
        <v>-529</v>
      </c>
      <c r="V16" s="927"/>
      <c r="W16" s="927"/>
      <c r="X16" s="927"/>
      <c r="Y16" s="927"/>
      <c r="Z16" s="927"/>
      <c r="AA16" s="927"/>
      <c r="AB16" s="927"/>
      <c r="AC16" s="928"/>
      <c r="AD16" s="862">
        <f>SUM(V16:AC16)</f>
        <v>0</v>
      </c>
    </row>
    <row r="17" spans="1:31">
      <c r="A17" s="924" t="s">
        <v>485</v>
      </c>
      <c r="B17" s="925" t="s">
        <v>922</v>
      </c>
      <c r="C17" s="926"/>
      <c r="D17" s="927">
        <v>529</v>
      </c>
      <c r="E17" s="927"/>
      <c r="F17" s="927"/>
      <c r="G17" s="927"/>
      <c r="H17" s="927"/>
      <c r="I17" s="927"/>
      <c r="J17" s="927"/>
      <c r="K17" s="927"/>
      <c r="L17" s="803"/>
      <c r="M17" s="927"/>
      <c r="N17" s="927"/>
      <c r="O17" s="927"/>
      <c r="P17" s="927"/>
      <c r="Q17" s="803"/>
      <c r="R17" s="803"/>
      <c r="S17" s="803"/>
      <c r="T17" s="803"/>
      <c r="U17" s="861">
        <f t="shared" si="3"/>
        <v>529</v>
      </c>
      <c r="V17" s="927"/>
      <c r="W17" s="927"/>
      <c r="X17" s="927"/>
      <c r="Y17" s="927"/>
      <c r="Z17" s="927"/>
      <c r="AA17" s="927"/>
      <c r="AB17" s="927"/>
      <c r="AC17" s="928"/>
      <c r="AD17" s="862">
        <f t="shared" ref="AD17:AD26" si="5">SUM(V17:AC17)</f>
        <v>0</v>
      </c>
    </row>
    <row r="18" spans="1:31">
      <c r="A18" s="924" t="s">
        <v>833</v>
      </c>
      <c r="B18" s="925" t="s">
        <v>923</v>
      </c>
      <c r="C18" s="926"/>
      <c r="D18" s="927"/>
      <c r="E18" s="927"/>
      <c r="F18" s="927"/>
      <c r="G18" s="927"/>
      <c r="H18" s="927"/>
      <c r="I18" s="927"/>
      <c r="J18" s="927"/>
      <c r="K18" s="927"/>
      <c r="L18" s="803"/>
      <c r="M18" s="927"/>
      <c r="N18" s="927"/>
      <c r="O18" s="927"/>
      <c r="P18" s="927"/>
      <c r="Q18" s="803"/>
      <c r="R18" s="803"/>
      <c r="S18" s="803"/>
      <c r="T18" s="803"/>
      <c r="U18" s="861">
        <f t="shared" si="3"/>
        <v>0</v>
      </c>
      <c r="V18" s="927"/>
      <c r="W18" s="927">
        <v>49</v>
      </c>
      <c r="X18" s="927"/>
      <c r="Y18" s="927"/>
      <c r="Z18" s="927"/>
      <c r="AA18" s="927"/>
      <c r="AB18" s="927"/>
      <c r="AC18" s="928"/>
      <c r="AD18" s="862">
        <f t="shared" si="5"/>
        <v>49</v>
      </c>
    </row>
    <row r="19" spans="1:31">
      <c r="A19" s="924" t="s">
        <v>834</v>
      </c>
      <c r="B19" s="925" t="s">
        <v>924</v>
      </c>
      <c r="C19" s="926"/>
      <c r="D19" s="927"/>
      <c r="E19" s="927"/>
      <c r="F19" s="927"/>
      <c r="G19" s="927"/>
      <c r="H19" s="927"/>
      <c r="I19" s="927"/>
      <c r="J19" s="927"/>
      <c r="K19" s="927"/>
      <c r="L19" s="803">
        <v>49</v>
      </c>
      <c r="M19" s="927"/>
      <c r="N19" s="927"/>
      <c r="O19" s="927"/>
      <c r="P19" s="927"/>
      <c r="Q19" s="803"/>
      <c r="R19" s="803"/>
      <c r="S19" s="803"/>
      <c r="T19" s="803"/>
      <c r="U19" s="861">
        <f t="shared" si="3"/>
        <v>49</v>
      </c>
      <c r="V19" s="927"/>
      <c r="W19" s="927"/>
      <c r="X19" s="927"/>
      <c r="Y19" s="927"/>
      <c r="Z19" s="927"/>
      <c r="AA19" s="927"/>
      <c r="AB19" s="927"/>
      <c r="AC19" s="928"/>
      <c r="AD19" s="862">
        <f t="shared" si="5"/>
        <v>0</v>
      </c>
    </row>
    <row r="20" spans="1:31">
      <c r="A20" s="924" t="s">
        <v>835</v>
      </c>
      <c r="B20" s="925" t="s">
        <v>792</v>
      </c>
      <c r="C20" s="926"/>
      <c r="D20" s="927"/>
      <c r="E20" s="927"/>
      <c r="F20" s="927"/>
      <c r="G20" s="927"/>
      <c r="H20" s="927"/>
      <c r="I20" s="927"/>
      <c r="J20" s="927"/>
      <c r="K20" s="927"/>
      <c r="L20" s="803">
        <v>-200</v>
      </c>
      <c r="M20" s="927"/>
      <c r="N20" s="927"/>
      <c r="O20" s="927"/>
      <c r="P20" s="927"/>
      <c r="Q20" s="803"/>
      <c r="R20" s="803"/>
      <c r="S20" s="803"/>
      <c r="T20" s="803"/>
      <c r="U20" s="861">
        <f t="shared" si="3"/>
        <v>-200</v>
      </c>
      <c r="V20" s="927"/>
      <c r="W20" s="927"/>
      <c r="X20" s="927"/>
      <c r="Y20" s="927"/>
      <c r="Z20" s="927"/>
      <c r="AA20" s="927"/>
      <c r="AB20" s="927"/>
      <c r="AC20" s="928"/>
      <c r="AD20" s="862">
        <f t="shared" si="5"/>
        <v>0</v>
      </c>
    </row>
    <row r="21" spans="1:31" ht="14.4" customHeight="1">
      <c r="A21" s="924" t="s">
        <v>837</v>
      </c>
      <c r="B21" s="925" t="s">
        <v>925</v>
      </c>
      <c r="C21" s="926"/>
      <c r="D21" s="927"/>
      <c r="E21" s="927"/>
      <c r="F21" s="927"/>
      <c r="G21" s="927"/>
      <c r="H21" s="927"/>
      <c r="I21" s="927"/>
      <c r="J21" s="927"/>
      <c r="K21" s="927"/>
      <c r="L21" s="803">
        <v>200</v>
      </c>
      <c r="M21" s="927"/>
      <c r="N21" s="927"/>
      <c r="O21" s="927"/>
      <c r="P21" s="927"/>
      <c r="Q21" s="803"/>
      <c r="R21" s="803"/>
      <c r="S21" s="803"/>
      <c r="T21" s="803"/>
      <c r="U21" s="861">
        <f t="shared" si="3"/>
        <v>200</v>
      </c>
      <c r="V21" s="927"/>
      <c r="W21" s="927"/>
      <c r="X21" s="927"/>
      <c r="Y21" s="927"/>
      <c r="Z21" s="927"/>
      <c r="AA21" s="927"/>
      <c r="AB21" s="927"/>
      <c r="AC21" s="928"/>
      <c r="AD21" s="862">
        <f t="shared" si="5"/>
        <v>0</v>
      </c>
    </row>
    <row r="22" spans="1:31">
      <c r="A22" s="924" t="s">
        <v>839</v>
      </c>
      <c r="B22" s="925" t="s">
        <v>926</v>
      </c>
      <c r="C22" s="926"/>
      <c r="D22" s="927"/>
      <c r="E22" s="927"/>
      <c r="F22" s="927"/>
      <c r="G22" s="927"/>
      <c r="H22" s="927"/>
      <c r="I22" s="927"/>
      <c r="J22" s="927"/>
      <c r="K22" s="927"/>
      <c r="L22" s="803"/>
      <c r="M22" s="927"/>
      <c r="N22" s="927"/>
      <c r="O22" s="927"/>
      <c r="P22" s="927"/>
      <c r="Q22" s="803"/>
      <c r="R22" s="803"/>
      <c r="S22" s="803"/>
      <c r="T22" s="803"/>
      <c r="U22" s="861">
        <f t="shared" si="3"/>
        <v>0</v>
      </c>
      <c r="V22" s="927"/>
      <c r="W22" s="927"/>
      <c r="X22" s="927"/>
      <c r="Y22" s="927"/>
      <c r="Z22" s="927"/>
      <c r="AA22" s="927"/>
      <c r="AB22" s="927"/>
      <c r="AC22" s="928"/>
      <c r="AD22" s="862">
        <f t="shared" si="5"/>
        <v>0</v>
      </c>
    </row>
    <row r="23" spans="1:31">
      <c r="A23" s="924" t="s">
        <v>842</v>
      </c>
      <c r="B23" s="925" t="s">
        <v>927</v>
      </c>
      <c r="C23" s="926"/>
      <c r="D23" s="927"/>
      <c r="E23" s="927"/>
      <c r="F23" s="927"/>
      <c r="G23" s="927"/>
      <c r="H23" s="927"/>
      <c r="I23" s="927"/>
      <c r="J23" s="927"/>
      <c r="K23" s="927"/>
      <c r="L23" s="803"/>
      <c r="M23" s="927"/>
      <c r="N23" s="927"/>
      <c r="O23" s="927"/>
      <c r="P23" s="927"/>
      <c r="Q23" s="803"/>
      <c r="R23" s="803"/>
      <c r="S23" s="803"/>
      <c r="T23" s="803"/>
      <c r="U23" s="861">
        <f t="shared" si="3"/>
        <v>0</v>
      </c>
      <c r="V23" s="927"/>
      <c r="W23" s="927"/>
      <c r="X23" s="927"/>
      <c r="Y23" s="927"/>
      <c r="Z23" s="927"/>
      <c r="AA23" s="927"/>
      <c r="AB23" s="927"/>
      <c r="AC23" s="928"/>
      <c r="AD23" s="862">
        <f t="shared" si="5"/>
        <v>0</v>
      </c>
    </row>
    <row r="24" spans="1:31">
      <c r="A24" s="858"/>
      <c r="B24" s="859"/>
      <c r="C24" s="860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03"/>
      <c r="O24" s="803"/>
      <c r="P24" s="803"/>
      <c r="Q24" s="803"/>
      <c r="R24" s="803"/>
      <c r="S24" s="803"/>
      <c r="T24" s="803"/>
      <c r="U24" s="861">
        <f t="shared" si="3"/>
        <v>0</v>
      </c>
      <c r="V24" s="803"/>
      <c r="W24" s="803"/>
      <c r="X24" s="803"/>
      <c r="Y24" s="803"/>
      <c r="Z24" s="803"/>
      <c r="AA24" s="803"/>
      <c r="AB24" s="803"/>
      <c r="AC24" s="803"/>
      <c r="AD24" s="862">
        <f t="shared" si="5"/>
        <v>0</v>
      </c>
    </row>
    <row r="25" spans="1:31">
      <c r="A25" s="858"/>
      <c r="B25" s="859"/>
      <c r="C25" s="860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803"/>
      <c r="Q25" s="803"/>
      <c r="R25" s="803"/>
      <c r="S25" s="803"/>
      <c r="T25" s="803"/>
      <c r="U25" s="861">
        <f t="shared" si="3"/>
        <v>0</v>
      </c>
      <c r="V25" s="803"/>
      <c r="W25" s="803"/>
      <c r="X25" s="803"/>
      <c r="Y25" s="803"/>
      <c r="Z25" s="803"/>
      <c r="AA25" s="803"/>
      <c r="AB25" s="803"/>
      <c r="AC25" s="803"/>
      <c r="AD25" s="862">
        <f t="shared" si="5"/>
        <v>0</v>
      </c>
    </row>
    <row r="26" spans="1:31" ht="14.4" customHeight="1">
      <c r="A26" s="858"/>
      <c r="B26" s="859"/>
      <c r="C26" s="860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803"/>
      <c r="Q26" s="803"/>
      <c r="R26" s="803"/>
      <c r="S26" s="803"/>
      <c r="T26" s="803"/>
      <c r="U26" s="861">
        <f t="shared" si="3"/>
        <v>0</v>
      </c>
      <c r="V26" s="803"/>
      <c r="W26" s="803"/>
      <c r="X26" s="803"/>
      <c r="Y26" s="803"/>
      <c r="Z26" s="803"/>
      <c r="AA26" s="803"/>
      <c r="AB26" s="803"/>
      <c r="AC26" s="803"/>
      <c r="AD26" s="862">
        <f t="shared" si="5"/>
        <v>0</v>
      </c>
    </row>
    <row r="27" spans="1:31" ht="13.8" thickBot="1">
      <c r="A27" s="804"/>
      <c r="B27" s="805" t="s">
        <v>178</v>
      </c>
      <c r="C27" s="806"/>
      <c r="D27" s="807">
        <f t="shared" ref="D27:AE27" si="6">SUM(D6:D26)</f>
        <v>0</v>
      </c>
      <c r="E27" s="807">
        <f t="shared" si="6"/>
        <v>0</v>
      </c>
      <c r="F27" s="807">
        <f t="shared" si="6"/>
        <v>0</v>
      </c>
      <c r="G27" s="807">
        <f t="shared" si="6"/>
        <v>0</v>
      </c>
      <c r="H27" s="807">
        <f t="shared" si="6"/>
        <v>0</v>
      </c>
      <c r="I27" s="807">
        <f t="shared" si="6"/>
        <v>0</v>
      </c>
      <c r="J27" s="807">
        <f t="shared" si="6"/>
        <v>0</v>
      </c>
      <c r="K27" s="807">
        <f t="shared" si="6"/>
        <v>0</v>
      </c>
      <c r="L27" s="807">
        <f t="shared" si="6"/>
        <v>49</v>
      </c>
      <c r="M27" s="807">
        <f t="shared" si="6"/>
        <v>0</v>
      </c>
      <c r="N27" s="807">
        <f t="shared" si="6"/>
        <v>0</v>
      </c>
      <c r="O27" s="807">
        <f t="shared" si="6"/>
        <v>0</v>
      </c>
      <c r="P27" s="807">
        <f t="shared" si="6"/>
        <v>0</v>
      </c>
      <c r="Q27" s="807">
        <f t="shared" si="6"/>
        <v>0</v>
      </c>
      <c r="R27" s="807">
        <f t="shared" si="6"/>
        <v>0</v>
      </c>
      <c r="S27" s="807">
        <f t="shared" si="6"/>
        <v>0</v>
      </c>
      <c r="T27" s="807">
        <f t="shared" si="6"/>
        <v>0</v>
      </c>
      <c r="U27" s="807">
        <f t="shared" si="6"/>
        <v>49</v>
      </c>
      <c r="V27" s="807">
        <f t="shared" si="6"/>
        <v>0</v>
      </c>
      <c r="W27" s="807">
        <f t="shared" si="6"/>
        <v>49</v>
      </c>
      <c r="X27" s="807">
        <f t="shared" si="6"/>
        <v>0</v>
      </c>
      <c r="Y27" s="807">
        <f t="shared" si="6"/>
        <v>0</v>
      </c>
      <c r="Z27" s="807">
        <f t="shared" si="6"/>
        <v>0</v>
      </c>
      <c r="AA27" s="807">
        <f t="shared" si="6"/>
        <v>0</v>
      </c>
      <c r="AB27" s="807">
        <f t="shared" si="6"/>
        <v>0</v>
      </c>
      <c r="AC27" s="807">
        <f t="shared" si="6"/>
        <v>0</v>
      </c>
      <c r="AD27" s="808">
        <f t="shared" si="6"/>
        <v>49</v>
      </c>
      <c r="AE27" s="809">
        <f t="shared" si="6"/>
        <v>0</v>
      </c>
    </row>
    <row r="28" spans="1:31">
      <c r="L28" s="811"/>
      <c r="M28" s="810"/>
    </row>
    <row r="29" spans="1:31">
      <c r="L29" s="811"/>
      <c r="M29" s="810"/>
    </row>
    <row r="30" spans="1:31">
      <c r="L30" s="811"/>
      <c r="M30" s="810"/>
    </row>
    <row r="31" spans="1:31">
      <c r="L31" s="811"/>
      <c r="M31" s="810"/>
    </row>
    <row r="32" spans="1:31">
      <c r="L32" s="811"/>
      <c r="M32" s="810"/>
    </row>
    <row r="33" spans="12:13">
      <c r="L33" s="811"/>
      <c r="M33" s="810"/>
    </row>
    <row r="34" spans="12:13">
      <c r="L34" s="811"/>
      <c r="M34" s="810"/>
    </row>
    <row r="35" spans="12:13">
      <c r="L35" s="811"/>
      <c r="M35" s="810"/>
    </row>
    <row r="36" spans="12:13">
      <c r="L36" s="811"/>
      <c r="M36" s="810"/>
    </row>
    <row r="37" spans="12:13">
      <c r="L37" s="811"/>
      <c r="M37" s="810"/>
    </row>
    <row r="38" spans="12:13">
      <c r="L38" s="811"/>
      <c r="M38" s="810"/>
    </row>
    <row r="39" spans="12:13">
      <c r="L39" s="811"/>
      <c r="M39" s="810"/>
    </row>
    <row r="40" spans="12:13">
      <c r="L40" s="811"/>
      <c r="M40" s="810"/>
    </row>
    <row r="41" spans="12:13">
      <c r="L41" s="811"/>
      <c r="M41" s="810"/>
    </row>
    <row r="42" spans="12:13">
      <c r="L42" s="811"/>
      <c r="M42" s="810"/>
    </row>
    <row r="43" spans="12:13">
      <c r="L43" s="811"/>
      <c r="M43" s="810"/>
    </row>
    <row r="44" spans="12:13">
      <c r="L44" s="811"/>
      <c r="M44" s="810"/>
    </row>
    <row r="45" spans="12:13">
      <c r="L45" s="811"/>
      <c r="M45" s="810"/>
    </row>
    <row r="46" spans="12:13">
      <c r="L46" s="811"/>
      <c r="M46" s="810"/>
    </row>
    <row r="47" spans="12:13">
      <c r="L47" s="811"/>
      <c r="M47" s="810"/>
    </row>
    <row r="48" spans="12:13">
      <c r="L48" s="811"/>
      <c r="M48" s="810"/>
    </row>
    <row r="49" spans="12:13">
      <c r="L49" s="811"/>
      <c r="M49" s="810"/>
    </row>
    <row r="50" spans="12:13">
      <c r="L50" s="811"/>
      <c r="M50" s="810"/>
    </row>
    <row r="51" spans="12:13">
      <c r="L51" s="811"/>
      <c r="M51" s="810"/>
    </row>
    <row r="52" spans="12:13">
      <c r="L52" s="811"/>
      <c r="M52" s="810"/>
    </row>
    <row r="53" spans="12:13">
      <c r="L53" s="811"/>
      <c r="M53" s="810"/>
    </row>
    <row r="54" spans="12:13">
      <c r="L54" s="811"/>
      <c r="M54" s="810"/>
    </row>
    <row r="55" spans="12:13">
      <c r="L55" s="811"/>
      <c r="M55" s="810"/>
    </row>
    <row r="56" spans="12:13">
      <c r="L56" s="811"/>
      <c r="M56" s="810"/>
    </row>
    <row r="57" spans="12:13">
      <c r="L57" s="811"/>
      <c r="M57" s="810"/>
    </row>
    <row r="58" spans="12:13">
      <c r="L58" s="811"/>
      <c r="M58" s="810"/>
    </row>
    <row r="59" spans="12:13">
      <c r="L59" s="811"/>
      <c r="M59" s="810"/>
    </row>
    <row r="60" spans="12:13">
      <c r="L60" s="811"/>
      <c r="M60" s="810"/>
    </row>
    <row r="61" spans="12:13">
      <c r="L61" s="811"/>
      <c r="M61" s="810"/>
    </row>
    <row r="62" spans="12:13">
      <c r="L62" s="811"/>
      <c r="M62" s="810"/>
    </row>
    <row r="63" spans="12:13">
      <c r="L63" s="811"/>
      <c r="M63" s="810"/>
    </row>
    <row r="64" spans="12:13">
      <c r="L64" s="811"/>
      <c r="M64" s="810"/>
    </row>
    <row r="65" spans="12:13">
      <c r="L65" s="811"/>
      <c r="M65" s="810"/>
    </row>
    <row r="66" spans="12:13">
      <c r="L66" s="811"/>
      <c r="M66" s="810"/>
    </row>
    <row r="67" spans="12:13">
      <c r="L67" s="811"/>
      <c r="M67" s="810"/>
    </row>
    <row r="68" spans="12:13">
      <c r="L68" s="811"/>
      <c r="M68" s="810"/>
    </row>
    <row r="69" spans="12:13">
      <c r="L69" s="811"/>
      <c r="M69" s="810"/>
    </row>
    <row r="70" spans="12:13">
      <c r="L70" s="811"/>
      <c r="M70" s="810"/>
    </row>
    <row r="71" spans="12:13">
      <c r="L71" s="811"/>
      <c r="M71" s="810"/>
    </row>
    <row r="72" spans="12:13">
      <c r="L72" s="811"/>
      <c r="M72" s="810"/>
    </row>
    <row r="73" spans="12:13">
      <c r="L73" s="811"/>
      <c r="M73" s="810"/>
    </row>
    <row r="74" spans="12:13">
      <c r="L74" s="811"/>
      <c r="M74" s="810"/>
    </row>
    <row r="75" spans="12:13">
      <c r="L75" s="811"/>
      <c r="M75" s="810"/>
    </row>
    <row r="76" spans="12:13">
      <c r="L76" s="811"/>
      <c r="M76" s="810"/>
    </row>
    <row r="77" spans="12:13">
      <c r="L77" s="811"/>
      <c r="M77" s="810"/>
    </row>
    <row r="78" spans="12:13">
      <c r="L78" s="811"/>
      <c r="M78" s="810"/>
    </row>
    <row r="79" spans="12:13">
      <c r="L79" s="811"/>
      <c r="M79" s="810"/>
    </row>
    <row r="80" spans="12:13">
      <c r="L80" s="811"/>
      <c r="M80" s="810"/>
    </row>
    <row r="81" spans="12:13">
      <c r="L81" s="811"/>
      <c r="M81" s="810"/>
    </row>
    <row r="82" spans="12:13">
      <c r="L82" s="811"/>
      <c r="M82" s="810"/>
    </row>
    <row r="83" spans="12:13">
      <c r="L83" s="811"/>
      <c r="M83" s="810"/>
    </row>
    <row r="84" spans="12:13">
      <c r="L84" s="811"/>
      <c r="M84" s="810"/>
    </row>
    <row r="85" spans="12:13">
      <c r="L85" s="811"/>
      <c r="M85" s="810"/>
    </row>
    <row r="86" spans="12:13">
      <c r="L86" s="811"/>
      <c r="M86" s="810"/>
    </row>
    <row r="87" spans="12:13">
      <c r="L87" s="811"/>
      <c r="M87" s="810"/>
    </row>
    <row r="88" spans="12:13">
      <c r="L88" s="811"/>
      <c r="M88" s="810"/>
    </row>
    <row r="89" spans="12:13">
      <c r="L89" s="811"/>
      <c r="M89" s="810"/>
    </row>
    <row r="90" spans="12:13">
      <c r="L90" s="811"/>
      <c r="M90" s="810"/>
    </row>
    <row r="91" spans="12:13">
      <c r="L91" s="811"/>
      <c r="M91" s="810"/>
    </row>
    <row r="92" spans="12:13">
      <c r="L92" s="811"/>
      <c r="M92" s="810"/>
    </row>
    <row r="93" spans="12:13">
      <c r="L93" s="811"/>
      <c r="M93" s="810"/>
    </row>
    <row r="94" spans="12:13">
      <c r="L94" s="811"/>
      <c r="M94" s="810"/>
    </row>
    <row r="95" spans="12:13">
      <c r="L95" s="811"/>
      <c r="M95" s="810"/>
    </row>
    <row r="96" spans="12:13">
      <c r="L96" s="811"/>
      <c r="M96" s="810"/>
    </row>
    <row r="97" spans="12:13">
      <c r="L97" s="811"/>
      <c r="M97" s="810"/>
    </row>
    <row r="98" spans="12:13">
      <c r="L98" s="811"/>
      <c r="M98" s="810"/>
    </row>
    <row r="99" spans="12:13">
      <c r="L99" s="811"/>
      <c r="M99" s="810"/>
    </row>
    <row r="100" spans="12:13">
      <c r="L100" s="811"/>
      <c r="M100" s="810"/>
    </row>
    <row r="101" spans="12:13">
      <c r="L101" s="811"/>
      <c r="M101" s="810"/>
    </row>
    <row r="102" spans="12:13">
      <c r="L102" s="811"/>
      <c r="M102" s="810"/>
    </row>
    <row r="103" spans="12:13">
      <c r="L103" s="811"/>
      <c r="M103" s="810"/>
    </row>
    <row r="104" spans="12:13">
      <c r="L104" s="811"/>
      <c r="M104" s="810"/>
    </row>
    <row r="105" spans="12:13">
      <c r="L105" s="811"/>
      <c r="M105" s="810"/>
    </row>
    <row r="106" spans="12:13">
      <c r="L106" s="811"/>
      <c r="M106" s="810"/>
    </row>
    <row r="107" spans="12:13">
      <c r="L107" s="811"/>
      <c r="M107" s="810"/>
    </row>
    <row r="108" spans="12:13">
      <c r="L108" s="811"/>
      <c r="M108" s="810"/>
    </row>
    <row r="109" spans="12:13">
      <c r="L109" s="811"/>
      <c r="M109" s="810"/>
    </row>
    <row r="110" spans="12:13">
      <c r="L110" s="811"/>
      <c r="M110" s="810"/>
    </row>
    <row r="111" spans="12:13">
      <c r="L111" s="811"/>
      <c r="M111" s="810"/>
    </row>
    <row r="112" spans="12:13">
      <c r="L112" s="811"/>
      <c r="M112" s="810"/>
    </row>
    <row r="113" spans="12:13">
      <c r="L113" s="811"/>
      <c r="M113" s="810"/>
    </row>
    <row r="114" spans="12:13">
      <c r="L114" s="812"/>
      <c r="M114" s="810"/>
    </row>
  </sheetData>
  <mergeCells count="23">
    <mergeCell ref="A2:A5"/>
    <mergeCell ref="B2:B4"/>
    <mergeCell ref="C2:C4"/>
    <mergeCell ref="D2:T2"/>
    <mergeCell ref="AB1:AD1"/>
    <mergeCell ref="AC3:AC4"/>
    <mergeCell ref="Q3:Q4"/>
    <mergeCell ref="V3:V4"/>
    <mergeCell ref="W3:W4"/>
    <mergeCell ref="X3:X4"/>
    <mergeCell ref="Y3:Z3"/>
    <mergeCell ref="AA3:AB3"/>
    <mergeCell ref="U2:U4"/>
    <mergeCell ref="V2:AB2"/>
    <mergeCell ref="AD2:AD4"/>
    <mergeCell ref="AE2:AE4"/>
    <mergeCell ref="D3:D4"/>
    <mergeCell ref="E3:E4"/>
    <mergeCell ref="F3:K3"/>
    <mergeCell ref="L3:L4"/>
    <mergeCell ref="M3:N3"/>
    <mergeCell ref="O3:O4"/>
    <mergeCell ref="P3:P4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66" orientation="landscape" r:id="rId1"/>
  <headerFooter>
    <oddHeader>&amp;C&amp;"Times New Roman,Félkövér"&amp;14Előirányzat módosítás nyilvántartás Brunszvik Teréz Óvoda 2016. év&amp;R&amp;"Times New Roman,Normál"&amp;10 12.c.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93"/>
  <sheetViews>
    <sheetView workbookViewId="0">
      <selection activeCell="X25" sqref="X25"/>
    </sheetView>
  </sheetViews>
  <sheetFormatPr defaultColWidth="9.109375" defaultRowHeight="13.2"/>
  <cols>
    <col min="1" max="1" width="5.6640625" style="796" customWidth="1"/>
    <col min="2" max="2" width="51.109375" style="796" customWidth="1"/>
    <col min="3" max="3" width="7.44140625" style="796" customWidth="1"/>
    <col min="4" max="4" width="5.6640625" style="796" customWidth="1"/>
    <col min="5" max="6" width="5.5546875" style="796" hidden="1" customWidth="1"/>
    <col min="7" max="7" width="5.44140625" style="796" hidden="1" customWidth="1"/>
    <col min="8" max="8" width="5.33203125" style="796" hidden="1" customWidth="1"/>
    <col min="9" max="9" width="5.109375" style="796" hidden="1" customWidth="1"/>
    <col min="10" max="10" width="0.109375" style="796" hidden="1" customWidth="1"/>
    <col min="11" max="11" width="11.6640625" style="796" customWidth="1"/>
    <col min="12" max="12" width="7.88671875" style="796" customWidth="1"/>
    <col min="13" max="13" width="8.5546875" style="796" customWidth="1"/>
    <col min="14" max="14" width="7.33203125" style="796" customWidth="1"/>
    <col min="15" max="15" width="6" style="796" customWidth="1"/>
    <col min="16" max="16" width="6.6640625" style="796" customWidth="1"/>
    <col min="17" max="18" width="0" style="796" hidden="1" customWidth="1"/>
    <col min="19" max="19" width="8.6640625" style="796" hidden="1" customWidth="1"/>
    <col min="20" max="20" width="9" style="796" customWidth="1"/>
    <col min="21" max="22" width="8.33203125" style="796" customWidth="1"/>
    <col min="23" max="24" width="9.109375" style="796"/>
    <col min="25" max="25" width="9" style="796" customWidth="1"/>
    <col min="26" max="26" width="6.88671875" style="796" customWidth="1"/>
    <col min="27" max="28" width="7.88671875" style="796" customWidth="1"/>
    <col min="29" max="29" width="9.33203125" style="796" customWidth="1"/>
    <col min="30" max="30" width="7" style="796" hidden="1" customWidth="1"/>
    <col min="31" max="16384" width="9.109375" style="796"/>
  </cols>
  <sheetData>
    <row r="1" spans="1:30" ht="16.2" thickBot="1">
      <c r="A1" s="831"/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1168" t="s">
        <v>406</v>
      </c>
      <c r="AB1" s="1168"/>
      <c r="AC1" s="1168"/>
      <c r="AD1" s="831"/>
    </row>
    <row r="2" spans="1:30" ht="12.75" customHeight="1">
      <c r="A2" s="1204" t="s">
        <v>348</v>
      </c>
      <c r="B2" s="1206" t="s">
        <v>761</v>
      </c>
      <c r="C2" s="1208" t="s">
        <v>308</v>
      </c>
      <c r="D2" s="1208"/>
      <c r="E2" s="1208"/>
      <c r="F2" s="1208"/>
      <c r="G2" s="1208"/>
      <c r="H2" s="1208"/>
      <c r="I2" s="1208"/>
      <c r="J2" s="1208"/>
      <c r="K2" s="1208"/>
      <c r="L2" s="1208"/>
      <c r="M2" s="1208"/>
      <c r="N2" s="1208"/>
      <c r="O2" s="1208"/>
      <c r="P2" s="1208"/>
      <c r="Q2" s="1208"/>
      <c r="R2" s="1208"/>
      <c r="S2" s="1208"/>
      <c r="T2" s="1210" t="s">
        <v>286</v>
      </c>
      <c r="U2" s="1208" t="s">
        <v>299</v>
      </c>
      <c r="V2" s="1208"/>
      <c r="W2" s="1208"/>
      <c r="X2" s="1208"/>
      <c r="Y2" s="1208"/>
      <c r="Z2" s="1208"/>
      <c r="AA2" s="1208"/>
      <c r="AB2" s="842"/>
      <c r="AC2" s="1212" t="s">
        <v>763</v>
      </c>
      <c r="AD2" s="1198" t="s">
        <v>489</v>
      </c>
    </row>
    <row r="3" spans="1:30">
      <c r="A3" s="1215"/>
      <c r="B3" s="1201"/>
      <c r="C3" s="1201" t="s">
        <v>801</v>
      </c>
      <c r="D3" s="1201" t="s">
        <v>802</v>
      </c>
      <c r="E3" s="1201" t="s">
        <v>803</v>
      </c>
      <c r="F3" s="1201"/>
      <c r="G3" s="1201"/>
      <c r="H3" s="1201"/>
      <c r="I3" s="1201"/>
      <c r="J3" s="1201"/>
      <c r="K3" s="1201" t="s">
        <v>152</v>
      </c>
      <c r="L3" s="1201" t="s">
        <v>164</v>
      </c>
      <c r="M3" s="1202"/>
      <c r="N3" s="1201" t="s">
        <v>767</v>
      </c>
      <c r="O3" s="1203" t="s">
        <v>804</v>
      </c>
      <c r="P3" s="1201" t="s">
        <v>805</v>
      </c>
      <c r="Q3" s="798"/>
      <c r="R3" s="798"/>
      <c r="S3" s="798"/>
      <c r="T3" s="1211"/>
      <c r="U3" s="1201" t="s">
        <v>777</v>
      </c>
      <c r="V3" s="1201" t="s">
        <v>778</v>
      </c>
      <c r="W3" s="1201" t="s">
        <v>771</v>
      </c>
      <c r="X3" s="1201" t="s">
        <v>806</v>
      </c>
      <c r="Y3" s="1202"/>
      <c r="Z3" s="1201" t="s">
        <v>808</v>
      </c>
      <c r="AA3" s="1202"/>
      <c r="AB3" s="1214" t="s">
        <v>818</v>
      </c>
      <c r="AC3" s="1213"/>
      <c r="AD3" s="1199"/>
    </row>
    <row r="4" spans="1:30" ht="21" thickBot="1">
      <c r="A4" s="1215"/>
      <c r="B4" s="1201"/>
      <c r="C4" s="1201"/>
      <c r="D4" s="1201"/>
      <c r="E4" s="798" t="s">
        <v>810</v>
      </c>
      <c r="F4" s="798" t="s">
        <v>811</v>
      </c>
      <c r="G4" s="798" t="s">
        <v>812</v>
      </c>
      <c r="H4" s="798" t="s">
        <v>813</v>
      </c>
      <c r="I4" s="798" t="s">
        <v>814</v>
      </c>
      <c r="J4" s="798" t="s">
        <v>815</v>
      </c>
      <c r="K4" s="1201"/>
      <c r="L4" s="841" t="s">
        <v>788</v>
      </c>
      <c r="M4" s="841" t="s">
        <v>789</v>
      </c>
      <c r="N4" s="1201"/>
      <c r="O4" s="1203"/>
      <c r="P4" s="1201"/>
      <c r="Q4" s="798"/>
      <c r="R4" s="798"/>
      <c r="S4" s="798"/>
      <c r="T4" s="1211"/>
      <c r="U4" s="1201"/>
      <c r="V4" s="1201"/>
      <c r="W4" s="1201"/>
      <c r="X4" s="841" t="s">
        <v>816</v>
      </c>
      <c r="Y4" s="841" t="s">
        <v>817</v>
      </c>
      <c r="Z4" s="841" t="s">
        <v>816</v>
      </c>
      <c r="AA4" s="841" t="s">
        <v>817</v>
      </c>
      <c r="AB4" s="1214"/>
      <c r="AC4" s="1213"/>
      <c r="AD4" s="1200"/>
    </row>
    <row r="5" spans="1:30">
      <c r="A5" s="1215"/>
      <c r="B5" s="799" t="s">
        <v>302</v>
      </c>
      <c r="C5" s="799" t="s">
        <v>303</v>
      </c>
      <c r="D5" s="799" t="s">
        <v>304</v>
      </c>
      <c r="E5" s="800"/>
      <c r="F5" s="800"/>
      <c r="G5" s="800"/>
      <c r="H5" s="800"/>
      <c r="I5" s="800"/>
      <c r="J5" s="800"/>
      <c r="K5" s="799" t="s">
        <v>305</v>
      </c>
      <c r="L5" s="799" t="s">
        <v>819</v>
      </c>
      <c r="M5" s="799" t="s">
        <v>820</v>
      </c>
      <c r="N5" s="799" t="s">
        <v>821</v>
      </c>
      <c r="O5" s="799" t="s">
        <v>822</v>
      </c>
      <c r="P5" s="799" t="s">
        <v>823</v>
      </c>
      <c r="Q5" s="800"/>
      <c r="R5" s="800"/>
      <c r="S5" s="800"/>
      <c r="T5" s="801" t="s">
        <v>824</v>
      </c>
      <c r="U5" s="799" t="s">
        <v>825</v>
      </c>
      <c r="V5" s="799" t="s">
        <v>826</v>
      </c>
      <c r="W5" s="799" t="s">
        <v>827</v>
      </c>
      <c r="X5" s="799" t="s">
        <v>828</v>
      </c>
      <c r="Y5" s="799" t="s">
        <v>829</v>
      </c>
      <c r="Z5" s="800" t="s">
        <v>830</v>
      </c>
      <c r="AA5" s="799" t="s">
        <v>831</v>
      </c>
      <c r="AB5" s="799"/>
      <c r="AC5" s="802" t="s">
        <v>832</v>
      </c>
      <c r="AD5" s="832"/>
    </row>
    <row r="6" spans="1:30">
      <c r="A6" s="924" t="s">
        <v>307</v>
      </c>
      <c r="B6" s="925" t="s">
        <v>847</v>
      </c>
      <c r="C6" s="927"/>
      <c r="D6" s="927"/>
      <c r="E6" s="927"/>
      <c r="F6" s="927"/>
      <c r="G6" s="927"/>
      <c r="H6" s="927"/>
      <c r="I6" s="927"/>
      <c r="J6" s="927"/>
      <c r="K6" s="803"/>
      <c r="L6" s="927"/>
      <c r="M6" s="927"/>
      <c r="N6" s="927"/>
      <c r="O6" s="927"/>
      <c r="P6" s="927"/>
      <c r="Q6" s="803"/>
      <c r="R6" s="803"/>
      <c r="S6" s="803"/>
      <c r="T6" s="863">
        <f>SUM(C6:S6)</f>
        <v>0</v>
      </c>
      <c r="U6" s="927"/>
      <c r="V6" s="927">
        <v>1020</v>
      </c>
      <c r="W6" s="927"/>
      <c r="X6" s="927"/>
      <c r="Y6" s="927"/>
      <c r="Z6" s="927"/>
      <c r="AA6" s="927"/>
      <c r="AB6" s="927"/>
      <c r="AC6" s="862">
        <f t="shared" ref="AC6:AC11" si="0">SUM(U6:AB6)</f>
        <v>1020</v>
      </c>
    </row>
    <row r="7" spans="1:30">
      <c r="A7" s="924" t="s">
        <v>416</v>
      </c>
      <c r="B7" s="925" t="s">
        <v>849</v>
      </c>
      <c r="C7" s="927"/>
      <c r="D7" s="927"/>
      <c r="E7" s="927"/>
      <c r="F7" s="927"/>
      <c r="G7" s="927"/>
      <c r="H7" s="927"/>
      <c r="I7" s="927"/>
      <c r="J7" s="927"/>
      <c r="K7" s="803">
        <v>1020</v>
      </c>
      <c r="L7" s="927"/>
      <c r="M7" s="927"/>
      <c r="N7" s="927"/>
      <c r="O7" s="927"/>
      <c r="P7" s="927"/>
      <c r="Q7" s="803"/>
      <c r="R7" s="803"/>
      <c r="S7" s="803"/>
      <c r="T7" s="863">
        <f>SUM(C7:S7)</f>
        <v>1020</v>
      </c>
      <c r="U7" s="927"/>
      <c r="V7" s="927"/>
      <c r="W7" s="927"/>
      <c r="X7" s="927"/>
      <c r="Y7" s="927"/>
      <c r="Z7" s="927"/>
      <c r="AA7" s="927"/>
      <c r="AB7" s="927"/>
      <c r="AC7" s="862">
        <f t="shared" si="0"/>
        <v>0</v>
      </c>
    </row>
    <row r="8" spans="1:30">
      <c r="A8" s="924" t="s">
        <v>476</v>
      </c>
      <c r="B8" s="925" t="s">
        <v>928</v>
      </c>
      <c r="C8" s="927"/>
      <c r="D8" s="927"/>
      <c r="E8" s="927"/>
      <c r="F8" s="927"/>
      <c r="G8" s="927"/>
      <c r="H8" s="927"/>
      <c r="I8" s="927"/>
      <c r="J8" s="927"/>
      <c r="K8" s="803"/>
      <c r="L8" s="927"/>
      <c r="M8" s="927"/>
      <c r="N8" s="927"/>
      <c r="O8" s="927"/>
      <c r="P8" s="927"/>
      <c r="Q8" s="803"/>
      <c r="R8" s="803"/>
      <c r="S8" s="803"/>
      <c r="T8" s="863">
        <f>SUM(C8:S8)</f>
        <v>0</v>
      </c>
      <c r="U8" s="927"/>
      <c r="V8" s="927"/>
      <c r="W8" s="927"/>
      <c r="X8" s="927">
        <v>3000</v>
      </c>
      <c r="Y8" s="927"/>
      <c r="Z8" s="927"/>
      <c r="AA8" s="927"/>
      <c r="AB8" s="927"/>
      <c r="AC8" s="862">
        <f t="shared" si="0"/>
        <v>3000</v>
      </c>
    </row>
    <row r="9" spans="1:30">
      <c r="A9" s="924" t="s">
        <v>477</v>
      </c>
      <c r="B9" s="925" t="s">
        <v>929</v>
      </c>
      <c r="C9" s="927"/>
      <c r="D9" s="927"/>
      <c r="E9" s="927"/>
      <c r="F9" s="927"/>
      <c r="G9" s="927"/>
      <c r="H9" s="927"/>
      <c r="I9" s="927"/>
      <c r="J9" s="927"/>
      <c r="K9" s="803">
        <v>3000</v>
      </c>
      <c r="L9" s="927"/>
      <c r="M9" s="927"/>
      <c r="N9" s="927"/>
      <c r="O9" s="927"/>
      <c r="P9" s="927"/>
      <c r="Q9" s="803"/>
      <c r="R9" s="803"/>
      <c r="S9" s="803"/>
      <c r="T9" s="863">
        <f>SUM(C9:S9)</f>
        <v>3000</v>
      </c>
      <c r="U9" s="927"/>
      <c r="V9" s="927"/>
      <c r="W9" s="927"/>
      <c r="X9" s="927"/>
      <c r="Y9" s="927"/>
      <c r="Z9" s="927"/>
      <c r="AA9" s="927"/>
      <c r="AB9" s="927"/>
      <c r="AC9" s="862">
        <f t="shared" si="0"/>
        <v>0</v>
      </c>
    </row>
    <row r="10" spans="1:30">
      <c r="A10" s="924" t="s">
        <v>478</v>
      </c>
      <c r="B10" s="925" t="s">
        <v>930</v>
      </c>
      <c r="C10" s="927"/>
      <c r="D10" s="927"/>
      <c r="E10" s="927"/>
      <c r="F10" s="927"/>
      <c r="G10" s="927"/>
      <c r="H10" s="927"/>
      <c r="I10" s="927"/>
      <c r="J10" s="927"/>
      <c r="K10" s="803"/>
      <c r="L10" s="927"/>
      <c r="M10" s="927"/>
      <c r="N10" s="927"/>
      <c r="O10" s="927"/>
      <c r="P10" s="927"/>
      <c r="Q10" s="803"/>
      <c r="R10" s="803"/>
      <c r="S10" s="803"/>
      <c r="T10" s="863">
        <f>SUM(C10:S10)</f>
        <v>0</v>
      </c>
      <c r="U10" s="927"/>
      <c r="V10" s="927"/>
      <c r="W10" s="927">
        <v>5000</v>
      </c>
      <c r="X10" s="927"/>
      <c r="Y10" s="927"/>
      <c r="Z10" s="927"/>
      <c r="AA10" s="927"/>
      <c r="AB10" s="927"/>
      <c r="AC10" s="862">
        <f t="shared" si="0"/>
        <v>5000</v>
      </c>
    </row>
    <row r="11" spans="1:30">
      <c r="A11" s="924" t="s">
        <v>479</v>
      </c>
      <c r="B11" s="925" t="s">
        <v>931</v>
      </c>
      <c r="C11" s="927">
        <v>3</v>
      </c>
      <c r="D11" s="927"/>
      <c r="E11" s="927"/>
      <c r="F11" s="927"/>
      <c r="G11" s="927"/>
      <c r="H11" s="927"/>
      <c r="I11" s="927"/>
      <c r="J11" s="927"/>
      <c r="K11" s="803">
        <v>4997</v>
      </c>
      <c r="L11" s="927"/>
      <c r="M11" s="927"/>
      <c r="N11" s="927"/>
      <c r="O11" s="927"/>
      <c r="P11" s="927"/>
      <c r="Q11" s="803"/>
      <c r="R11" s="803"/>
      <c r="S11" s="803"/>
      <c r="T11" s="863">
        <f t="shared" ref="T11:T15" si="1">SUM(C11:S11)</f>
        <v>5000</v>
      </c>
      <c r="U11" s="927"/>
      <c r="V11" s="927"/>
      <c r="W11" s="927"/>
      <c r="X11" s="927"/>
      <c r="Y11" s="927"/>
      <c r="Z11" s="927"/>
      <c r="AA11" s="927"/>
      <c r="AB11" s="927"/>
      <c r="AC11" s="862">
        <f t="shared" si="0"/>
        <v>0</v>
      </c>
    </row>
    <row r="12" spans="1:30">
      <c r="A12" s="924" t="s">
        <v>480</v>
      </c>
      <c r="B12" s="925" t="s">
        <v>932</v>
      </c>
      <c r="C12" s="927"/>
      <c r="D12" s="927"/>
      <c r="E12" s="927"/>
      <c r="F12" s="927"/>
      <c r="G12" s="927"/>
      <c r="H12" s="927"/>
      <c r="I12" s="927"/>
      <c r="J12" s="927"/>
      <c r="K12" s="803"/>
      <c r="L12" s="927"/>
      <c r="M12" s="927"/>
      <c r="N12" s="927"/>
      <c r="O12" s="927"/>
      <c r="P12" s="927"/>
      <c r="Q12" s="803"/>
      <c r="R12" s="803"/>
      <c r="S12" s="803"/>
      <c r="T12" s="863">
        <f t="shared" si="1"/>
        <v>0</v>
      </c>
      <c r="U12" s="927"/>
      <c r="V12" s="927"/>
      <c r="W12" s="927">
        <v>1521</v>
      </c>
      <c r="X12" s="927"/>
      <c r="Y12" s="927"/>
      <c r="Z12" s="927"/>
      <c r="AA12" s="927"/>
      <c r="AB12" s="927"/>
      <c r="AC12" s="862">
        <f>SUM(U12:AB12)</f>
        <v>1521</v>
      </c>
    </row>
    <row r="13" spans="1:30">
      <c r="A13" s="924" t="s">
        <v>481</v>
      </c>
      <c r="B13" s="925" t="s">
        <v>931</v>
      </c>
      <c r="C13" s="927">
        <v>200</v>
      </c>
      <c r="D13" s="927">
        <v>49</v>
      </c>
      <c r="E13" s="927"/>
      <c r="F13" s="927"/>
      <c r="G13" s="927"/>
      <c r="H13" s="927"/>
      <c r="I13" s="927"/>
      <c r="J13" s="927"/>
      <c r="K13" s="803">
        <v>1272</v>
      </c>
      <c r="L13" s="927"/>
      <c r="M13" s="927"/>
      <c r="N13" s="927"/>
      <c r="O13" s="927"/>
      <c r="P13" s="927"/>
      <c r="Q13" s="803"/>
      <c r="R13" s="803"/>
      <c r="S13" s="803"/>
      <c r="T13" s="863">
        <f t="shared" si="1"/>
        <v>1521</v>
      </c>
      <c r="U13" s="927"/>
      <c r="V13" s="927"/>
      <c r="W13" s="927"/>
      <c r="X13" s="927"/>
      <c r="Y13" s="927"/>
      <c r="Z13" s="927"/>
      <c r="AA13" s="927"/>
      <c r="AB13" s="927"/>
      <c r="AC13" s="862">
        <f>SUM(U13:AB13)</f>
        <v>0</v>
      </c>
    </row>
    <row r="14" spans="1:30">
      <c r="A14" s="924" t="s">
        <v>482</v>
      </c>
      <c r="B14" s="925" t="s">
        <v>933</v>
      </c>
      <c r="C14" s="927"/>
      <c r="D14" s="927"/>
      <c r="E14" s="927"/>
      <c r="F14" s="927"/>
      <c r="G14" s="927"/>
      <c r="H14" s="927"/>
      <c r="I14" s="927"/>
      <c r="J14" s="927"/>
      <c r="K14" s="803"/>
      <c r="L14" s="927"/>
      <c r="M14" s="927"/>
      <c r="N14" s="927"/>
      <c r="O14" s="927"/>
      <c r="P14" s="927"/>
      <c r="Q14" s="803"/>
      <c r="R14" s="803"/>
      <c r="S14" s="803"/>
      <c r="T14" s="863">
        <f t="shared" si="1"/>
        <v>0</v>
      </c>
      <c r="U14" s="927"/>
      <c r="V14" s="927">
        <v>254</v>
      </c>
      <c r="W14" s="927"/>
      <c r="X14" s="927"/>
      <c r="Y14" s="927"/>
      <c r="Z14" s="927"/>
      <c r="AA14" s="927"/>
      <c r="AB14" s="927"/>
      <c r="AC14" s="862">
        <f>SUM(U14:AB14)</f>
        <v>254</v>
      </c>
    </row>
    <row r="15" spans="1:30">
      <c r="A15" s="924" t="s">
        <v>483</v>
      </c>
      <c r="B15" s="925" t="s">
        <v>931</v>
      </c>
      <c r="C15" s="927"/>
      <c r="D15" s="927"/>
      <c r="E15" s="927"/>
      <c r="F15" s="927"/>
      <c r="G15" s="927"/>
      <c r="H15" s="927"/>
      <c r="I15" s="927"/>
      <c r="J15" s="927"/>
      <c r="K15" s="803">
        <v>254</v>
      </c>
      <c r="L15" s="927"/>
      <c r="M15" s="927"/>
      <c r="N15" s="927"/>
      <c r="O15" s="927"/>
      <c r="P15" s="927"/>
      <c r="Q15" s="803"/>
      <c r="R15" s="803"/>
      <c r="S15" s="803"/>
      <c r="T15" s="863">
        <f t="shared" si="1"/>
        <v>254</v>
      </c>
      <c r="U15" s="927"/>
      <c r="V15" s="927"/>
      <c r="W15" s="927"/>
      <c r="X15" s="927"/>
      <c r="Y15" s="927"/>
      <c r="Z15" s="927"/>
      <c r="AA15" s="927"/>
      <c r="AB15" s="927"/>
      <c r="AC15" s="862">
        <f>SUM(U15:AB15)</f>
        <v>0</v>
      </c>
    </row>
    <row r="16" spans="1:30">
      <c r="A16" s="924" t="s">
        <v>484</v>
      </c>
      <c r="B16" s="925" t="s">
        <v>934</v>
      </c>
      <c r="C16" s="927"/>
      <c r="D16" s="927"/>
      <c r="E16" s="927"/>
      <c r="F16" s="927"/>
      <c r="G16" s="927"/>
      <c r="H16" s="927"/>
      <c r="I16" s="927"/>
      <c r="J16" s="927"/>
      <c r="K16" s="803"/>
      <c r="L16" s="927"/>
      <c r="M16" s="927"/>
      <c r="N16" s="927"/>
      <c r="O16" s="927"/>
      <c r="P16" s="927"/>
      <c r="Q16" s="803"/>
      <c r="R16" s="803"/>
      <c r="S16" s="803"/>
      <c r="T16" s="863">
        <f>SUM(C16:S16)</f>
        <v>0</v>
      </c>
      <c r="U16" s="927"/>
      <c r="V16" s="927">
        <v>61</v>
      </c>
      <c r="W16" s="927"/>
      <c r="X16" s="927"/>
      <c r="Y16" s="927"/>
      <c r="Z16" s="927"/>
      <c r="AA16" s="927"/>
      <c r="AB16" s="927"/>
      <c r="AC16" s="862">
        <f t="shared" ref="AC16:AC32" si="2">SUM(U16:AB16)</f>
        <v>61</v>
      </c>
    </row>
    <row r="17" spans="1:29">
      <c r="A17" s="924" t="s">
        <v>485</v>
      </c>
      <c r="B17" s="925" t="s">
        <v>935</v>
      </c>
      <c r="C17" s="927"/>
      <c r="D17" s="927"/>
      <c r="E17" s="927"/>
      <c r="F17" s="927"/>
      <c r="G17" s="927"/>
      <c r="H17" s="927"/>
      <c r="I17" s="927"/>
      <c r="J17" s="927"/>
      <c r="K17" s="803">
        <v>61</v>
      </c>
      <c r="L17" s="927"/>
      <c r="M17" s="927"/>
      <c r="N17" s="927"/>
      <c r="O17" s="927"/>
      <c r="P17" s="927"/>
      <c r="Q17" s="803"/>
      <c r="R17" s="803"/>
      <c r="S17" s="803"/>
      <c r="T17" s="863">
        <f>SUM(C17:S17)</f>
        <v>61</v>
      </c>
      <c r="U17" s="927"/>
      <c r="V17" s="927"/>
      <c r="W17" s="927"/>
      <c r="X17" s="927"/>
      <c r="Y17" s="927"/>
      <c r="Z17" s="927"/>
      <c r="AA17" s="927"/>
      <c r="AB17" s="927"/>
      <c r="AC17" s="862">
        <f t="shared" si="2"/>
        <v>0</v>
      </c>
    </row>
    <row r="18" spans="1:29">
      <c r="A18" s="924" t="s">
        <v>833</v>
      </c>
      <c r="B18" s="925" t="s">
        <v>936</v>
      </c>
      <c r="C18" s="927">
        <v>-12</v>
      </c>
      <c r="D18" s="927"/>
      <c r="E18" s="927"/>
      <c r="F18" s="927"/>
      <c r="G18" s="927"/>
      <c r="H18" s="927"/>
      <c r="I18" s="927"/>
      <c r="J18" s="927"/>
      <c r="K18" s="803"/>
      <c r="L18" s="927"/>
      <c r="M18" s="927"/>
      <c r="N18" s="927"/>
      <c r="O18" s="927"/>
      <c r="P18" s="927"/>
      <c r="Q18" s="803"/>
      <c r="R18" s="803"/>
      <c r="S18" s="803"/>
      <c r="T18" s="863">
        <f t="shared" ref="T18:T21" si="3">SUM(C18:S18)</f>
        <v>-12</v>
      </c>
      <c r="U18" s="927"/>
      <c r="V18" s="927"/>
      <c r="W18" s="927"/>
      <c r="X18" s="927"/>
      <c r="Y18" s="927"/>
      <c r="Z18" s="927"/>
      <c r="AA18" s="927"/>
      <c r="AB18" s="927"/>
      <c r="AC18" s="862">
        <f t="shared" ref="AC18" si="4">SUM(U18:AB18)</f>
        <v>0</v>
      </c>
    </row>
    <row r="19" spans="1:29">
      <c r="A19" s="924" t="s">
        <v>834</v>
      </c>
      <c r="B19" s="925" t="s">
        <v>838</v>
      </c>
      <c r="C19" s="927">
        <v>12</v>
      </c>
      <c r="D19" s="927"/>
      <c r="E19" s="927"/>
      <c r="F19" s="927"/>
      <c r="G19" s="927"/>
      <c r="H19" s="927"/>
      <c r="I19" s="927"/>
      <c r="J19" s="927"/>
      <c r="K19" s="803"/>
      <c r="L19" s="927"/>
      <c r="M19" s="927"/>
      <c r="N19" s="927"/>
      <c r="O19" s="927"/>
      <c r="P19" s="927"/>
      <c r="Q19" s="803"/>
      <c r="R19" s="803"/>
      <c r="S19" s="803"/>
      <c r="T19" s="863">
        <f t="shared" si="3"/>
        <v>12</v>
      </c>
      <c r="U19" s="927"/>
      <c r="V19" s="927"/>
      <c r="W19" s="927"/>
      <c r="X19" s="927"/>
      <c r="Y19" s="927"/>
      <c r="Z19" s="927"/>
      <c r="AA19" s="927"/>
      <c r="AB19" s="927"/>
      <c r="AC19" s="862">
        <f>SUM(U19:AB19)</f>
        <v>0</v>
      </c>
    </row>
    <row r="20" spans="1:29">
      <c r="A20" s="924" t="s">
        <v>835</v>
      </c>
      <c r="B20" s="925" t="s">
        <v>937</v>
      </c>
      <c r="C20" s="927">
        <v>-17</v>
      </c>
      <c r="D20" s="927"/>
      <c r="E20" s="927"/>
      <c r="F20" s="927"/>
      <c r="G20" s="927"/>
      <c r="H20" s="927"/>
      <c r="I20" s="927"/>
      <c r="J20" s="927"/>
      <c r="K20" s="803"/>
      <c r="L20" s="927"/>
      <c r="M20" s="927"/>
      <c r="N20" s="927"/>
      <c r="O20" s="927"/>
      <c r="P20" s="927"/>
      <c r="Q20" s="803"/>
      <c r="R20" s="803"/>
      <c r="S20" s="803"/>
      <c r="T20" s="863">
        <f t="shared" si="3"/>
        <v>-17</v>
      </c>
      <c r="U20" s="927"/>
      <c r="V20" s="927"/>
      <c r="W20" s="927"/>
      <c r="X20" s="927"/>
      <c r="Y20" s="927"/>
      <c r="Z20" s="927"/>
      <c r="AA20" s="927"/>
      <c r="AB20" s="927"/>
      <c r="AC20" s="862">
        <f>SUM(U20:AB20)</f>
        <v>0</v>
      </c>
    </row>
    <row r="21" spans="1:29">
      <c r="A21" s="924" t="s">
        <v>837</v>
      </c>
      <c r="B21" s="925" t="s">
        <v>938</v>
      </c>
      <c r="C21" s="927">
        <v>17</v>
      </c>
      <c r="D21" s="927"/>
      <c r="E21" s="927"/>
      <c r="F21" s="927"/>
      <c r="G21" s="927"/>
      <c r="H21" s="927"/>
      <c r="I21" s="927"/>
      <c r="J21" s="927"/>
      <c r="K21" s="803"/>
      <c r="L21" s="927"/>
      <c r="M21" s="927"/>
      <c r="N21" s="927"/>
      <c r="O21" s="927"/>
      <c r="P21" s="927"/>
      <c r="Q21" s="803"/>
      <c r="R21" s="803"/>
      <c r="S21" s="803"/>
      <c r="T21" s="863">
        <f t="shared" si="3"/>
        <v>17</v>
      </c>
      <c r="U21" s="927"/>
      <c r="V21" s="927"/>
      <c r="W21" s="927"/>
      <c r="X21" s="927"/>
      <c r="Y21" s="927"/>
      <c r="Z21" s="927"/>
      <c r="AA21" s="927"/>
      <c r="AB21" s="927"/>
      <c r="AC21" s="862">
        <f>SUM(U21:AB21)</f>
        <v>0</v>
      </c>
    </row>
    <row r="22" spans="1:29">
      <c r="A22" s="924" t="s">
        <v>839</v>
      </c>
      <c r="B22" s="925" t="s">
        <v>939</v>
      </c>
      <c r="C22" s="927">
        <v>-39</v>
      </c>
      <c r="D22" s="927"/>
      <c r="E22" s="927"/>
      <c r="F22" s="927"/>
      <c r="G22" s="927"/>
      <c r="H22" s="927"/>
      <c r="I22" s="927"/>
      <c r="J22" s="927"/>
      <c r="K22" s="803"/>
      <c r="L22" s="927"/>
      <c r="M22" s="927"/>
      <c r="N22" s="927"/>
      <c r="O22" s="927"/>
      <c r="P22" s="927"/>
      <c r="Q22" s="803"/>
      <c r="R22" s="803"/>
      <c r="S22" s="803"/>
      <c r="T22" s="863">
        <f t="shared" ref="T22:T26" si="5">SUM(C22:S22)</f>
        <v>-39</v>
      </c>
      <c r="U22" s="927"/>
      <c r="V22" s="927"/>
      <c r="W22" s="927"/>
      <c r="X22" s="927"/>
      <c r="Y22" s="927"/>
      <c r="Z22" s="927"/>
      <c r="AA22" s="927"/>
      <c r="AB22" s="927"/>
      <c r="AC22" s="862">
        <f t="shared" si="2"/>
        <v>0</v>
      </c>
    </row>
    <row r="23" spans="1:29">
      <c r="A23" s="924" t="s">
        <v>842</v>
      </c>
      <c r="B23" s="925" t="s">
        <v>838</v>
      </c>
      <c r="C23" s="927">
        <v>39</v>
      </c>
      <c r="D23" s="927"/>
      <c r="E23" s="927"/>
      <c r="F23" s="927"/>
      <c r="G23" s="927"/>
      <c r="H23" s="927"/>
      <c r="I23" s="927"/>
      <c r="J23" s="927"/>
      <c r="K23" s="803"/>
      <c r="L23" s="927"/>
      <c r="M23" s="927"/>
      <c r="N23" s="927"/>
      <c r="O23" s="927"/>
      <c r="P23" s="927"/>
      <c r="Q23" s="803"/>
      <c r="R23" s="803"/>
      <c r="S23" s="803"/>
      <c r="T23" s="863">
        <f t="shared" si="5"/>
        <v>39</v>
      </c>
      <c r="U23" s="927"/>
      <c r="V23" s="927"/>
      <c r="W23" s="927"/>
      <c r="X23" s="927"/>
      <c r="Y23" s="927"/>
      <c r="Z23" s="927"/>
      <c r="AA23" s="927"/>
      <c r="AB23" s="927"/>
      <c r="AC23" s="862">
        <f>SUM(U23:AB23)</f>
        <v>0</v>
      </c>
    </row>
    <row r="24" spans="1:29">
      <c r="A24" s="924" t="s">
        <v>843</v>
      </c>
      <c r="B24" s="925" t="s">
        <v>919</v>
      </c>
      <c r="C24" s="927"/>
      <c r="D24" s="927">
        <v>-40</v>
      </c>
      <c r="E24" s="927"/>
      <c r="F24" s="927"/>
      <c r="G24" s="927"/>
      <c r="H24" s="927"/>
      <c r="I24" s="927"/>
      <c r="J24" s="927"/>
      <c r="K24" s="803"/>
      <c r="L24" s="927"/>
      <c r="M24" s="927"/>
      <c r="N24" s="927"/>
      <c r="O24" s="927"/>
      <c r="P24" s="927"/>
      <c r="Q24" s="803"/>
      <c r="R24" s="803"/>
      <c r="S24" s="803"/>
      <c r="T24" s="863">
        <f t="shared" si="5"/>
        <v>-40</v>
      </c>
      <c r="U24" s="927"/>
      <c r="V24" s="927"/>
      <c r="W24" s="927"/>
      <c r="X24" s="927"/>
      <c r="Y24" s="927"/>
      <c r="Z24" s="927"/>
      <c r="AA24" s="927"/>
      <c r="AB24" s="927"/>
      <c r="AC24" s="862">
        <f>SUM(U24:AB24)</f>
        <v>0</v>
      </c>
    </row>
    <row r="25" spans="1:29">
      <c r="A25" s="924" t="s">
        <v>844</v>
      </c>
      <c r="B25" s="925" t="s">
        <v>840</v>
      </c>
      <c r="C25" s="927"/>
      <c r="D25" s="927">
        <v>40</v>
      </c>
      <c r="E25" s="927"/>
      <c r="F25" s="927"/>
      <c r="G25" s="927"/>
      <c r="H25" s="927"/>
      <c r="I25" s="927"/>
      <c r="J25" s="927"/>
      <c r="K25" s="803"/>
      <c r="L25" s="927"/>
      <c r="M25" s="927"/>
      <c r="N25" s="927"/>
      <c r="O25" s="927"/>
      <c r="P25" s="927"/>
      <c r="Q25" s="803"/>
      <c r="R25" s="803"/>
      <c r="S25" s="803"/>
      <c r="T25" s="863">
        <f t="shared" si="5"/>
        <v>40</v>
      </c>
      <c r="U25" s="927"/>
      <c r="V25" s="927"/>
      <c r="W25" s="927"/>
      <c r="X25" s="927"/>
      <c r="Y25" s="927"/>
      <c r="Z25" s="927"/>
      <c r="AA25" s="927"/>
      <c r="AB25" s="927"/>
      <c r="AC25" s="862">
        <f>SUM(U25:AB25)</f>
        <v>0</v>
      </c>
    </row>
    <row r="26" spans="1:29">
      <c r="A26" s="924" t="s">
        <v>845</v>
      </c>
      <c r="B26" s="925" t="s">
        <v>940</v>
      </c>
      <c r="C26" s="927"/>
      <c r="D26" s="927"/>
      <c r="E26" s="927"/>
      <c r="F26" s="927"/>
      <c r="G26" s="927"/>
      <c r="H26" s="927"/>
      <c r="I26" s="927"/>
      <c r="J26" s="927"/>
      <c r="K26" s="803">
        <v>58</v>
      </c>
      <c r="L26" s="927"/>
      <c r="M26" s="927"/>
      <c r="N26" s="927"/>
      <c r="O26" s="927"/>
      <c r="P26" s="927"/>
      <c r="Q26" s="803"/>
      <c r="R26" s="803"/>
      <c r="S26" s="803"/>
      <c r="T26" s="863">
        <f t="shared" si="5"/>
        <v>58</v>
      </c>
      <c r="U26" s="927"/>
      <c r="V26" s="927"/>
      <c r="W26" s="927"/>
      <c r="X26" s="927"/>
      <c r="Y26" s="927"/>
      <c r="Z26" s="927"/>
      <c r="AA26" s="927"/>
      <c r="AB26" s="927"/>
      <c r="AC26" s="862">
        <f>SUM(U26:AB26)</f>
        <v>0</v>
      </c>
    </row>
    <row r="27" spans="1:29">
      <c r="A27" s="924" t="s">
        <v>846</v>
      </c>
      <c r="B27" s="925" t="s">
        <v>941</v>
      </c>
      <c r="C27" s="927">
        <v>-58</v>
      </c>
      <c r="D27" s="927"/>
      <c r="E27" s="927"/>
      <c r="F27" s="927"/>
      <c r="G27" s="927"/>
      <c r="H27" s="927"/>
      <c r="I27" s="927"/>
      <c r="J27" s="927"/>
      <c r="K27" s="803"/>
      <c r="L27" s="927"/>
      <c r="M27" s="927"/>
      <c r="N27" s="927"/>
      <c r="O27" s="927"/>
      <c r="P27" s="927"/>
      <c r="Q27" s="803"/>
      <c r="R27" s="803"/>
      <c r="S27" s="803"/>
      <c r="T27" s="863">
        <f>SUM(C27:S27)</f>
        <v>-58</v>
      </c>
      <c r="U27" s="927"/>
      <c r="V27" s="927"/>
      <c r="W27" s="927"/>
      <c r="X27" s="927"/>
      <c r="Y27" s="927"/>
      <c r="Z27" s="927"/>
      <c r="AA27" s="927"/>
      <c r="AB27" s="927"/>
      <c r="AC27" s="862">
        <f t="shared" ref="AC27:AC28" si="6">SUM(U27:AB27)</f>
        <v>0</v>
      </c>
    </row>
    <row r="28" spans="1:29">
      <c r="A28" s="924" t="s">
        <v>848</v>
      </c>
      <c r="B28" s="925" t="s">
        <v>942</v>
      </c>
      <c r="C28" s="927"/>
      <c r="D28" s="927"/>
      <c r="E28" s="927"/>
      <c r="F28" s="927"/>
      <c r="G28" s="927"/>
      <c r="H28" s="927"/>
      <c r="I28" s="927"/>
      <c r="J28" s="927"/>
      <c r="K28" s="803"/>
      <c r="L28" s="927"/>
      <c r="M28" s="927"/>
      <c r="N28" s="927"/>
      <c r="O28" s="927"/>
      <c r="P28" s="927"/>
      <c r="Q28" s="803"/>
      <c r="R28" s="803"/>
      <c r="S28" s="803"/>
      <c r="T28" s="863">
        <f>SUM(C28:S28)</f>
        <v>0</v>
      </c>
      <c r="U28" s="927"/>
      <c r="V28" s="927">
        <v>46</v>
      </c>
      <c r="W28" s="927"/>
      <c r="X28" s="927"/>
      <c r="Y28" s="927"/>
      <c r="Z28" s="927"/>
      <c r="AA28" s="927"/>
      <c r="AB28" s="927"/>
      <c r="AC28" s="862">
        <f t="shared" si="6"/>
        <v>46</v>
      </c>
    </row>
    <row r="29" spans="1:29">
      <c r="A29" s="924" t="s">
        <v>943</v>
      </c>
      <c r="B29" s="925" t="s">
        <v>944</v>
      </c>
      <c r="C29" s="927"/>
      <c r="D29" s="927"/>
      <c r="E29" s="927"/>
      <c r="F29" s="927"/>
      <c r="G29" s="927"/>
      <c r="H29" s="927"/>
      <c r="I29" s="927"/>
      <c r="J29" s="927"/>
      <c r="K29" s="803"/>
      <c r="L29" s="927"/>
      <c r="M29" s="927"/>
      <c r="N29" s="927"/>
      <c r="O29" s="927"/>
      <c r="P29" s="927"/>
      <c r="Q29" s="803"/>
      <c r="R29" s="803"/>
      <c r="S29" s="803"/>
      <c r="T29" s="863">
        <f>SUM(C29:S29)</f>
        <v>0</v>
      </c>
      <c r="U29" s="927"/>
      <c r="V29" s="927"/>
      <c r="W29" s="927">
        <v>-46</v>
      </c>
      <c r="X29" s="927"/>
      <c r="Y29" s="927"/>
      <c r="Z29" s="927"/>
      <c r="AA29" s="927"/>
      <c r="AB29" s="927"/>
      <c r="AC29" s="862">
        <f t="shared" si="2"/>
        <v>-46</v>
      </c>
    </row>
    <row r="30" spans="1:29">
      <c r="A30" s="924" t="s">
        <v>945</v>
      </c>
      <c r="B30" s="925" t="s">
        <v>946</v>
      </c>
      <c r="C30" s="927">
        <v>-37</v>
      </c>
      <c r="D30" s="927"/>
      <c r="E30" s="927"/>
      <c r="F30" s="927"/>
      <c r="G30" s="927"/>
      <c r="H30" s="927"/>
      <c r="I30" s="927"/>
      <c r="J30" s="927"/>
      <c r="K30" s="803"/>
      <c r="L30" s="927"/>
      <c r="M30" s="927"/>
      <c r="N30" s="927"/>
      <c r="O30" s="927"/>
      <c r="P30" s="927"/>
      <c r="Q30" s="803"/>
      <c r="R30" s="803"/>
      <c r="S30" s="803"/>
      <c r="T30" s="863">
        <f>SUM(C30:S30)</f>
        <v>-37</v>
      </c>
      <c r="U30" s="927"/>
      <c r="V30" s="927"/>
      <c r="W30" s="927"/>
      <c r="X30" s="927"/>
      <c r="Y30" s="927"/>
      <c r="Z30" s="927"/>
      <c r="AA30" s="927"/>
      <c r="AB30" s="927"/>
      <c r="AC30" s="862">
        <f t="shared" si="2"/>
        <v>0</v>
      </c>
    </row>
    <row r="31" spans="1:29">
      <c r="A31" s="924" t="s">
        <v>947</v>
      </c>
      <c r="B31" s="925" t="s">
        <v>838</v>
      </c>
      <c r="C31" s="927">
        <v>37</v>
      </c>
      <c r="D31" s="927"/>
      <c r="E31" s="927"/>
      <c r="F31" s="927"/>
      <c r="G31" s="927"/>
      <c r="H31" s="927"/>
      <c r="I31" s="927"/>
      <c r="J31" s="927"/>
      <c r="K31" s="803"/>
      <c r="L31" s="927"/>
      <c r="M31" s="927"/>
      <c r="N31" s="927"/>
      <c r="O31" s="927"/>
      <c r="P31" s="927"/>
      <c r="Q31" s="803"/>
      <c r="R31" s="803"/>
      <c r="S31" s="803"/>
      <c r="T31" s="863">
        <f>SUM(C31:S31)</f>
        <v>37</v>
      </c>
      <c r="U31" s="927"/>
      <c r="V31" s="927"/>
      <c r="W31" s="927"/>
      <c r="X31" s="927"/>
      <c r="Y31" s="927"/>
      <c r="Z31" s="927"/>
      <c r="AA31" s="927"/>
      <c r="AB31" s="927"/>
      <c r="AC31" s="862">
        <f t="shared" si="2"/>
        <v>0</v>
      </c>
    </row>
    <row r="32" spans="1:29">
      <c r="A32" s="924" t="s">
        <v>948</v>
      </c>
      <c r="B32" s="925" t="s">
        <v>926</v>
      </c>
      <c r="C32" s="927"/>
      <c r="D32" s="927"/>
      <c r="E32" s="927"/>
      <c r="F32" s="927"/>
      <c r="G32" s="927"/>
      <c r="H32" s="927"/>
      <c r="I32" s="927"/>
      <c r="J32" s="927"/>
      <c r="K32" s="803">
        <v>-58</v>
      </c>
      <c r="L32" s="927"/>
      <c r="M32" s="927"/>
      <c r="N32" s="927"/>
      <c r="O32" s="927"/>
      <c r="P32" s="927"/>
      <c r="Q32" s="803"/>
      <c r="R32" s="803"/>
      <c r="S32" s="803"/>
      <c r="T32" s="863">
        <f t="shared" ref="T32:T36" si="7">SUM(C32:S32)</f>
        <v>-58</v>
      </c>
      <c r="U32" s="927"/>
      <c r="V32" s="927"/>
      <c r="W32" s="927"/>
      <c r="X32" s="927"/>
      <c r="Y32" s="927"/>
      <c r="Z32" s="927"/>
      <c r="AA32" s="927"/>
      <c r="AB32" s="927"/>
      <c r="AC32" s="862">
        <f t="shared" si="2"/>
        <v>0</v>
      </c>
    </row>
    <row r="33" spans="1:30">
      <c r="A33" s="924" t="s">
        <v>949</v>
      </c>
      <c r="B33" s="925" t="s">
        <v>841</v>
      </c>
      <c r="C33" s="927">
        <v>12</v>
      </c>
      <c r="D33" s="927"/>
      <c r="E33" s="927"/>
      <c r="F33" s="927"/>
      <c r="G33" s="927"/>
      <c r="H33" s="927"/>
      <c r="I33" s="927"/>
      <c r="J33" s="927"/>
      <c r="K33" s="803"/>
      <c r="L33" s="927"/>
      <c r="M33" s="927"/>
      <c r="N33" s="927"/>
      <c r="O33" s="927"/>
      <c r="P33" s="927"/>
      <c r="Q33" s="803"/>
      <c r="R33" s="803"/>
      <c r="S33" s="803"/>
      <c r="T33" s="863">
        <f t="shared" si="7"/>
        <v>12</v>
      </c>
      <c r="U33" s="927"/>
      <c r="V33" s="927"/>
      <c r="W33" s="927"/>
      <c r="X33" s="927"/>
      <c r="Y33" s="927"/>
      <c r="Z33" s="927"/>
      <c r="AA33" s="927"/>
      <c r="AB33" s="927"/>
      <c r="AC33" s="862">
        <f>SUM(U33:AB33)</f>
        <v>0</v>
      </c>
    </row>
    <row r="34" spans="1:30">
      <c r="A34" s="924" t="s">
        <v>950</v>
      </c>
      <c r="B34" s="925" t="s">
        <v>951</v>
      </c>
      <c r="C34" s="927"/>
      <c r="D34" s="927">
        <v>14</v>
      </c>
      <c r="E34" s="927"/>
      <c r="F34" s="927"/>
      <c r="G34" s="927"/>
      <c r="H34" s="927"/>
      <c r="I34" s="927"/>
      <c r="J34" s="927"/>
      <c r="K34" s="803"/>
      <c r="L34" s="927"/>
      <c r="M34" s="927"/>
      <c r="N34" s="927"/>
      <c r="O34" s="927"/>
      <c r="P34" s="927"/>
      <c r="Q34" s="803"/>
      <c r="R34" s="803"/>
      <c r="S34" s="803"/>
      <c r="T34" s="863">
        <f t="shared" si="7"/>
        <v>14</v>
      </c>
      <c r="U34" s="927"/>
      <c r="V34" s="927"/>
      <c r="W34" s="927"/>
      <c r="X34" s="927"/>
      <c r="Y34" s="927"/>
      <c r="Z34" s="927"/>
      <c r="AA34" s="927"/>
      <c r="AB34" s="927"/>
      <c r="AC34" s="862">
        <f>SUM(U34:AB34)</f>
        <v>0</v>
      </c>
    </row>
    <row r="35" spans="1:30">
      <c r="A35" s="924" t="s">
        <v>952</v>
      </c>
      <c r="B35" s="925" t="s">
        <v>953</v>
      </c>
      <c r="C35" s="927"/>
      <c r="D35" s="927"/>
      <c r="E35" s="927"/>
      <c r="F35" s="927"/>
      <c r="G35" s="927"/>
      <c r="H35" s="927"/>
      <c r="I35" s="927"/>
      <c r="J35" s="927"/>
      <c r="K35" s="803">
        <v>32</v>
      </c>
      <c r="L35" s="927"/>
      <c r="M35" s="927"/>
      <c r="N35" s="927"/>
      <c r="O35" s="927"/>
      <c r="P35" s="927"/>
      <c r="Q35" s="803"/>
      <c r="R35" s="803"/>
      <c r="S35" s="803"/>
      <c r="T35" s="863">
        <f t="shared" si="7"/>
        <v>32</v>
      </c>
      <c r="U35" s="927"/>
      <c r="V35" s="927"/>
      <c r="W35" s="927"/>
      <c r="X35" s="927"/>
      <c r="Y35" s="927"/>
      <c r="Z35" s="927"/>
      <c r="AA35" s="927"/>
      <c r="AB35" s="927"/>
      <c r="AC35" s="862">
        <f>SUM(U35:AB35)</f>
        <v>0</v>
      </c>
    </row>
    <row r="36" spans="1:30">
      <c r="A36" s="858"/>
      <c r="B36" s="859"/>
      <c r="C36" s="803"/>
      <c r="D36" s="803"/>
      <c r="E36" s="803"/>
      <c r="F36" s="803"/>
      <c r="G36" s="803"/>
      <c r="H36" s="803"/>
      <c r="I36" s="803"/>
      <c r="J36" s="803"/>
      <c r="K36" s="803"/>
      <c r="L36" s="803"/>
      <c r="M36" s="803"/>
      <c r="N36" s="803"/>
      <c r="O36" s="803"/>
      <c r="P36" s="803"/>
      <c r="Q36" s="803"/>
      <c r="R36" s="803"/>
      <c r="S36" s="803"/>
      <c r="T36" s="863">
        <f t="shared" si="7"/>
        <v>0</v>
      </c>
      <c r="U36" s="803"/>
      <c r="V36" s="803"/>
      <c r="W36" s="803"/>
      <c r="X36" s="803"/>
      <c r="Y36" s="803"/>
      <c r="Z36" s="803"/>
      <c r="AA36" s="803"/>
      <c r="AB36" s="803"/>
      <c r="AC36" s="862">
        <f>SUM(U36:AB36)</f>
        <v>0</v>
      </c>
    </row>
    <row r="37" spans="1:30">
      <c r="A37" s="858"/>
      <c r="B37" s="859"/>
      <c r="C37" s="803"/>
      <c r="D37" s="803"/>
      <c r="E37" s="803"/>
      <c r="F37" s="803"/>
      <c r="G37" s="803"/>
      <c r="H37" s="803"/>
      <c r="I37" s="803"/>
      <c r="J37" s="803"/>
      <c r="K37" s="803"/>
      <c r="L37" s="803"/>
      <c r="M37" s="803"/>
      <c r="N37" s="803"/>
      <c r="O37" s="803"/>
      <c r="P37" s="803"/>
      <c r="Q37" s="803"/>
      <c r="R37" s="803"/>
      <c r="S37" s="803"/>
      <c r="T37" s="863">
        <f>SUM(C37:S37)</f>
        <v>0</v>
      </c>
      <c r="U37" s="803"/>
      <c r="V37" s="803"/>
      <c r="W37" s="803"/>
      <c r="X37" s="803"/>
      <c r="Y37" s="803"/>
      <c r="Z37" s="803"/>
      <c r="AA37" s="803"/>
      <c r="AB37" s="803"/>
      <c r="AC37" s="862">
        <f t="shared" ref="AC37:AC39" si="8">SUM(U37:AB37)</f>
        <v>0</v>
      </c>
    </row>
    <row r="38" spans="1:30">
      <c r="A38" s="858"/>
      <c r="B38" s="859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03"/>
      <c r="P38" s="803"/>
      <c r="Q38" s="803"/>
      <c r="R38" s="803"/>
      <c r="S38" s="803"/>
      <c r="T38" s="863">
        <f>SUM(C38:S38)</f>
        <v>0</v>
      </c>
      <c r="U38" s="803"/>
      <c r="V38" s="803"/>
      <c r="W38" s="803"/>
      <c r="X38" s="803"/>
      <c r="Y38" s="803"/>
      <c r="Z38" s="803"/>
      <c r="AA38" s="803"/>
      <c r="AB38" s="803"/>
      <c r="AC38" s="862">
        <f t="shared" si="8"/>
        <v>0</v>
      </c>
    </row>
    <row r="39" spans="1:30">
      <c r="A39" s="858"/>
      <c r="B39" s="859"/>
      <c r="C39" s="803"/>
      <c r="D39" s="803"/>
      <c r="E39" s="803"/>
      <c r="F39" s="803"/>
      <c r="G39" s="803"/>
      <c r="H39" s="803"/>
      <c r="I39" s="803"/>
      <c r="J39" s="803"/>
      <c r="K39" s="803"/>
      <c r="L39" s="803"/>
      <c r="M39" s="803"/>
      <c r="N39" s="803"/>
      <c r="O39" s="803"/>
      <c r="P39" s="803"/>
      <c r="Q39" s="803"/>
      <c r="R39" s="803"/>
      <c r="S39" s="803"/>
      <c r="T39" s="863">
        <f>SUM(C39:S39)</f>
        <v>0</v>
      </c>
      <c r="U39" s="803"/>
      <c r="V39" s="803"/>
      <c r="W39" s="803"/>
      <c r="X39" s="803"/>
      <c r="Y39" s="803"/>
      <c r="Z39" s="803"/>
      <c r="AA39" s="803"/>
      <c r="AB39" s="803"/>
      <c r="AC39" s="862">
        <f t="shared" si="8"/>
        <v>0</v>
      </c>
    </row>
    <row r="40" spans="1:30" ht="13.8" thickBot="1">
      <c r="A40" s="804"/>
      <c r="B40" s="805" t="s">
        <v>178</v>
      </c>
      <c r="C40" s="807">
        <f t="shared" ref="C40:AC40" si="9">SUM(C6:C39)</f>
        <v>157</v>
      </c>
      <c r="D40" s="807">
        <f t="shared" si="9"/>
        <v>63</v>
      </c>
      <c r="E40" s="807">
        <f t="shared" si="9"/>
        <v>0</v>
      </c>
      <c r="F40" s="807">
        <f t="shared" si="9"/>
        <v>0</v>
      </c>
      <c r="G40" s="807">
        <f t="shared" si="9"/>
        <v>0</v>
      </c>
      <c r="H40" s="807">
        <f t="shared" si="9"/>
        <v>0</v>
      </c>
      <c r="I40" s="807">
        <f t="shared" si="9"/>
        <v>0</v>
      </c>
      <c r="J40" s="807">
        <f t="shared" si="9"/>
        <v>0</v>
      </c>
      <c r="K40" s="807">
        <f t="shared" si="9"/>
        <v>10636</v>
      </c>
      <c r="L40" s="807">
        <f t="shared" si="9"/>
        <v>0</v>
      </c>
      <c r="M40" s="807">
        <f t="shared" si="9"/>
        <v>0</v>
      </c>
      <c r="N40" s="807">
        <f t="shared" si="9"/>
        <v>0</v>
      </c>
      <c r="O40" s="807">
        <f t="shared" si="9"/>
        <v>0</v>
      </c>
      <c r="P40" s="807">
        <f t="shared" si="9"/>
        <v>0</v>
      </c>
      <c r="Q40" s="807">
        <f t="shared" si="9"/>
        <v>0</v>
      </c>
      <c r="R40" s="807">
        <f t="shared" si="9"/>
        <v>0</v>
      </c>
      <c r="S40" s="807">
        <f t="shared" si="9"/>
        <v>0</v>
      </c>
      <c r="T40" s="807">
        <f t="shared" si="9"/>
        <v>10856</v>
      </c>
      <c r="U40" s="807">
        <f t="shared" si="9"/>
        <v>0</v>
      </c>
      <c r="V40" s="807">
        <f t="shared" si="9"/>
        <v>1381</v>
      </c>
      <c r="W40" s="807">
        <f t="shared" si="9"/>
        <v>6475</v>
      </c>
      <c r="X40" s="807">
        <f t="shared" si="9"/>
        <v>3000</v>
      </c>
      <c r="Y40" s="807">
        <f t="shared" si="9"/>
        <v>0</v>
      </c>
      <c r="Z40" s="807">
        <f t="shared" si="9"/>
        <v>0</v>
      </c>
      <c r="AA40" s="807">
        <f t="shared" si="9"/>
        <v>0</v>
      </c>
      <c r="AB40" s="807">
        <f t="shared" si="9"/>
        <v>0</v>
      </c>
      <c r="AC40" s="808">
        <f t="shared" si="9"/>
        <v>10856</v>
      </c>
      <c r="AD40" s="813">
        <f>SUM(AC40,T40)</f>
        <v>21712</v>
      </c>
    </row>
    <row r="41" spans="1:30">
      <c r="C41" s="810"/>
      <c r="D41" s="810"/>
      <c r="E41" s="810"/>
      <c r="F41" s="810"/>
      <c r="G41" s="810"/>
      <c r="H41" s="810"/>
      <c r="I41" s="810"/>
      <c r="J41" s="810"/>
      <c r="K41" s="811"/>
      <c r="L41" s="810"/>
      <c r="AC41" s="810"/>
    </row>
    <row r="42" spans="1:30">
      <c r="K42" s="811"/>
      <c r="L42" s="810"/>
    </row>
    <row r="43" spans="1:30">
      <c r="K43" s="811"/>
      <c r="L43" s="810"/>
    </row>
    <row r="44" spans="1:30">
      <c r="K44" s="811"/>
      <c r="L44" s="810"/>
    </row>
    <row r="45" spans="1:30">
      <c r="K45" s="811"/>
      <c r="L45" s="810"/>
    </row>
    <row r="46" spans="1:30">
      <c r="K46" s="811"/>
      <c r="L46" s="810"/>
    </row>
    <row r="47" spans="1:30">
      <c r="K47" s="811"/>
      <c r="L47" s="810"/>
    </row>
    <row r="48" spans="1:30">
      <c r="K48" s="811"/>
      <c r="L48" s="810"/>
    </row>
    <row r="49" spans="11:12">
      <c r="K49" s="811"/>
      <c r="L49" s="810"/>
    </row>
    <row r="50" spans="11:12">
      <c r="K50" s="811"/>
      <c r="L50" s="810"/>
    </row>
    <row r="51" spans="11:12">
      <c r="K51" s="811"/>
      <c r="L51" s="810"/>
    </row>
    <row r="52" spans="11:12">
      <c r="K52" s="811"/>
      <c r="L52" s="810"/>
    </row>
    <row r="53" spans="11:12">
      <c r="K53" s="811"/>
      <c r="L53" s="810"/>
    </row>
    <row r="54" spans="11:12">
      <c r="K54" s="811"/>
      <c r="L54" s="810"/>
    </row>
    <row r="55" spans="11:12">
      <c r="K55" s="811"/>
      <c r="L55" s="810"/>
    </row>
    <row r="56" spans="11:12">
      <c r="K56" s="811"/>
      <c r="L56" s="810"/>
    </row>
    <row r="57" spans="11:12">
      <c r="K57" s="811"/>
      <c r="L57" s="810"/>
    </row>
    <row r="58" spans="11:12">
      <c r="K58" s="811"/>
      <c r="L58" s="810"/>
    </row>
    <row r="59" spans="11:12">
      <c r="K59" s="811"/>
      <c r="L59" s="810"/>
    </row>
    <row r="60" spans="11:12">
      <c r="K60" s="811"/>
      <c r="L60" s="810"/>
    </row>
    <row r="61" spans="11:12">
      <c r="K61" s="811"/>
      <c r="L61" s="810"/>
    </row>
    <row r="62" spans="11:12">
      <c r="K62" s="811"/>
      <c r="L62" s="810"/>
    </row>
    <row r="63" spans="11:12">
      <c r="K63" s="811"/>
      <c r="L63" s="810"/>
    </row>
    <row r="64" spans="11:12">
      <c r="K64" s="811"/>
      <c r="L64" s="810"/>
    </row>
    <row r="65" spans="11:12">
      <c r="K65" s="811"/>
      <c r="L65" s="810"/>
    </row>
    <row r="66" spans="11:12">
      <c r="K66" s="811"/>
      <c r="L66" s="810"/>
    </row>
    <row r="67" spans="11:12">
      <c r="K67" s="811"/>
      <c r="L67" s="810"/>
    </row>
    <row r="68" spans="11:12">
      <c r="K68" s="811"/>
      <c r="L68" s="810"/>
    </row>
    <row r="69" spans="11:12">
      <c r="K69" s="811"/>
      <c r="L69" s="810"/>
    </row>
    <row r="70" spans="11:12">
      <c r="K70" s="811"/>
      <c r="L70" s="810"/>
    </row>
    <row r="71" spans="11:12">
      <c r="K71" s="811"/>
      <c r="L71" s="810"/>
    </row>
    <row r="72" spans="11:12">
      <c r="K72" s="811"/>
      <c r="L72" s="810"/>
    </row>
    <row r="73" spans="11:12">
      <c r="K73" s="811"/>
      <c r="L73" s="810"/>
    </row>
    <row r="74" spans="11:12">
      <c r="K74" s="811"/>
      <c r="L74" s="810"/>
    </row>
    <row r="75" spans="11:12">
      <c r="K75" s="811"/>
      <c r="L75" s="810"/>
    </row>
    <row r="76" spans="11:12">
      <c r="K76" s="811"/>
      <c r="L76" s="810"/>
    </row>
    <row r="77" spans="11:12">
      <c r="K77" s="811"/>
      <c r="L77" s="810"/>
    </row>
    <row r="78" spans="11:12">
      <c r="K78" s="811"/>
      <c r="L78" s="810"/>
    </row>
    <row r="79" spans="11:12">
      <c r="K79" s="811"/>
      <c r="L79" s="810"/>
    </row>
    <row r="80" spans="11:12">
      <c r="K80" s="811"/>
      <c r="L80" s="810"/>
    </row>
    <row r="81" spans="11:12">
      <c r="K81" s="811"/>
      <c r="L81" s="810"/>
    </row>
    <row r="82" spans="11:12">
      <c r="K82" s="811"/>
      <c r="L82" s="810"/>
    </row>
    <row r="83" spans="11:12">
      <c r="K83" s="811"/>
      <c r="L83" s="810"/>
    </row>
    <row r="84" spans="11:12">
      <c r="K84" s="811"/>
      <c r="L84" s="810"/>
    </row>
    <row r="85" spans="11:12">
      <c r="K85" s="811"/>
      <c r="L85" s="810"/>
    </row>
    <row r="86" spans="11:12">
      <c r="K86" s="811"/>
      <c r="L86" s="810"/>
    </row>
    <row r="87" spans="11:12">
      <c r="K87" s="811"/>
      <c r="L87" s="810"/>
    </row>
    <row r="88" spans="11:12">
      <c r="K88" s="811"/>
      <c r="L88" s="810"/>
    </row>
    <row r="89" spans="11:12">
      <c r="K89" s="811"/>
      <c r="L89" s="810"/>
    </row>
    <row r="90" spans="11:12">
      <c r="K90" s="811"/>
      <c r="L90" s="810"/>
    </row>
    <row r="91" spans="11:12">
      <c r="K91" s="811"/>
      <c r="L91" s="810"/>
    </row>
    <row r="92" spans="11:12">
      <c r="K92" s="811"/>
      <c r="L92" s="810"/>
    </row>
    <row r="93" spans="11:12">
      <c r="K93" s="811"/>
      <c r="L93" s="810"/>
    </row>
    <row r="94" spans="11:12">
      <c r="K94" s="811"/>
      <c r="L94" s="810"/>
    </row>
    <row r="95" spans="11:12">
      <c r="K95" s="811"/>
      <c r="L95" s="810"/>
    </row>
    <row r="96" spans="11:12">
      <c r="K96" s="811"/>
      <c r="L96" s="810"/>
    </row>
    <row r="97" spans="11:12">
      <c r="K97" s="811"/>
      <c r="L97" s="810"/>
    </row>
    <row r="98" spans="11:12">
      <c r="K98" s="811"/>
      <c r="L98" s="810"/>
    </row>
    <row r="99" spans="11:12">
      <c r="K99" s="811"/>
      <c r="L99" s="810"/>
    </row>
    <row r="100" spans="11:12">
      <c r="K100" s="811"/>
      <c r="L100" s="810"/>
    </row>
    <row r="101" spans="11:12">
      <c r="K101" s="811"/>
      <c r="L101" s="810"/>
    </row>
    <row r="102" spans="11:12">
      <c r="K102" s="811"/>
      <c r="L102" s="810"/>
    </row>
    <row r="103" spans="11:12">
      <c r="K103" s="811"/>
      <c r="L103" s="810"/>
    </row>
    <row r="104" spans="11:12">
      <c r="K104" s="811"/>
      <c r="L104" s="810"/>
    </row>
    <row r="105" spans="11:12">
      <c r="K105" s="811"/>
      <c r="L105" s="810"/>
    </row>
    <row r="106" spans="11:12">
      <c r="K106" s="811"/>
      <c r="L106" s="810"/>
    </row>
    <row r="107" spans="11:12">
      <c r="K107" s="811"/>
      <c r="L107" s="810"/>
    </row>
    <row r="108" spans="11:12">
      <c r="K108" s="811"/>
      <c r="L108" s="810"/>
    </row>
    <row r="109" spans="11:12">
      <c r="K109" s="811"/>
      <c r="L109" s="810"/>
    </row>
    <row r="110" spans="11:12">
      <c r="K110" s="811"/>
      <c r="L110" s="810"/>
    </row>
    <row r="111" spans="11:12">
      <c r="K111" s="811"/>
      <c r="L111" s="810"/>
    </row>
    <row r="112" spans="11:12">
      <c r="K112" s="811"/>
      <c r="L112" s="810"/>
    </row>
    <row r="113" spans="11:12">
      <c r="K113" s="811"/>
      <c r="L113" s="810"/>
    </row>
    <row r="114" spans="11:12">
      <c r="K114" s="811"/>
      <c r="L114" s="810"/>
    </row>
    <row r="115" spans="11:12">
      <c r="K115" s="811"/>
      <c r="L115" s="810"/>
    </row>
    <row r="116" spans="11:12">
      <c r="K116" s="811"/>
      <c r="L116" s="810"/>
    </row>
    <row r="117" spans="11:12">
      <c r="K117" s="811"/>
      <c r="L117" s="810"/>
    </row>
    <row r="118" spans="11:12">
      <c r="K118" s="811"/>
      <c r="L118" s="810"/>
    </row>
    <row r="119" spans="11:12">
      <c r="K119" s="811"/>
      <c r="L119" s="810"/>
    </row>
    <row r="120" spans="11:12">
      <c r="K120" s="811"/>
      <c r="L120" s="810"/>
    </row>
    <row r="121" spans="11:12">
      <c r="K121" s="811"/>
      <c r="L121" s="810"/>
    </row>
    <row r="122" spans="11:12">
      <c r="K122" s="811"/>
      <c r="L122" s="810"/>
    </row>
    <row r="123" spans="11:12">
      <c r="K123" s="811"/>
      <c r="L123" s="810"/>
    </row>
    <row r="124" spans="11:12">
      <c r="K124" s="811"/>
      <c r="L124" s="810"/>
    </row>
    <row r="125" spans="11:12">
      <c r="K125" s="811"/>
      <c r="L125" s="810"/>
    </row>
    <row r="126" spans="11:12">
      <c r="K126" s="811"/>
      <c r="L126" s="810"/>
    </row>
    <row r="127" spans="11:12">
      <c r="K127" s="811"/>
      <c r="L127" s="810"/>
    </row>
    <row r="128" spans="11:12">
      <c r="K128" s="811"/>
      <c r="L128" s="810"/>
    </row>
    <row r="129" spans="11:12">
      <c r="K129" s="811"/>
      <c r="L129" s="810"/>
    </row>
    <row r="130" spans="11:12">
      <c r="K130" s="811"/>
      <c r="L130" s="810"/>
    </row>
    <row r="131" spans="11:12">
      <c r="K131" s="811"/>
      <c r="L131" s="810"/>
    </row>
    <row r="132" spans="11:12">
      <c r="K132" s="811"/>
      <c r="L132" s="810"/>
    </row>
    <row r="133" spans="11:12">
      <c r="K133" s="811"/>
      <c r="L133" s="810"/>
    </row>
    <row r="134" spans="11:12">
      <c r="K134" s="811"/>
      <c r="L134" s="810"/>
    </row>
    <row r="135" spans="11:12">
      <c r="K135" s="811"/>
      <c r="L135" s="810"/>
    </row>
    <row r="136" spans="11:12">
      <c r="K136" s="811"/>
      <c r="L136" s="810"/>
    </row>
    <row r="137" spans="11:12">
      <c r="K137" s="811"/>
      <c r="L137" s="810"/>
    </row>
    <row r="138" spans="11:12">
      <c r="K138" s="811"/>
      <c r="L138" s="810"/>
    </row>
    <row r="139" spans="11:12">
      <c r="K139" s="811"/>
      <c r="L139" s="810"/>
    </row>
    <row r="140" spans="11:12">
      <c r="K140" s="811"/>
      <c r="L140" s="810"/>
    </row>
    <row r="141" spans="11:12">
      <c r="K141" s="811"/>
      <c r="L141" s="810"/>
    </row>
    <row r="142" spans="11:12">
      <c r="K142" s="811"/>
      <c r="L142" s="810"/>
    </row>
    <row r="143" spans="11:12">
      <c r="K143" s="811"/>
      <c r="L143" s="810"/>
    </row>
    <row r="144" spans="11:12">
      <c r="K144" s="811"/>
      <c r="L144" s="810"/>
    </row>
    <row r="145" spans="11:12">
      <c r="K145" s="811"/>
      <c r="L145" s="810"/>
    </row>
    <row r="146" spans="11:12">
      <c r="K146" s="811"/>
      <c r="L146" s="810"/>
    </row>
    <row r="147" spans="11:12">
      <c r="K147" s="811"/>
      <c r="L147" s="810"/>
    </row>
    <row r="148" spans="11:12">
      <c r="K148" s="811"/>
      <c r="L148" s="810"/>
    </row>
    <row r="149" spans="11:12">
      <c r="K149" s="811"/>
      <c r="L149" s="810"/>
    </row>
    <row r="150" spans="11:12">
      <c r="K150" s="811"/>
      <c r="L150" s="810"/>
    </row>
    <row r="151" spans="11:12">
      <c r="K151" s="811"/>
      <c r="L151" s="810"/>
    </row>
    <row r="152" spans="11:12">
      <c r="K152" s="811"/>
      <c r="L152" s="810"/>
    </row>
    <row r="153" spans="11:12">
      <c r="K153" s="811"/>
      <c r="L153" s="810"/>
    </row>
    <row r="154" spans="11:12">
      <c r="K154" s="811"/>
      <c r="L154" s="810"/>
    </row>
    <row r="155" spans="11:12">
      <c r="K155" s="811"/>
      <c r="L155" s="810"/>
    </row>
    <row r="156" spans="11:12">
      <c r="K156" s="811"/>
      <c r="L156" s="810"/>
    </row>
    <row r="157" spans="11:12">
      <c r="K157" s="811"/>
      <c r="L157" s="810"/>
    </row>
    <row r="158" spans="11:12">
      <c r="K158" s="811"/>
      <c r="L158" s="810"/>
    </row>
    <row r="159" spans="11:12">
      <c r="K159" s="811"/>
      <c r="L159" s="810"/>
    </row>
    <row r="160" spans="11:12">
      <c r="K160" s="811"/>
      <c r="L160" s="810"/>
    </row>
    <row r="161" spans="11:12">
      <c r="K161" s="811"/>
      <c r="L161" s="810"/>
    </row>
    <row r="162" spans="11:12">
      <c r="K162" s="811"/>
      <c r="L162" s="810"/>
    </row>
    <row r="163" spans="11:12">
      <c r="K163" s="811"/>
      <c r="L163" s="810"/>
    </row>
    <row r="164" spans="11:12">
      <c r="K164" s="811"/>
      <c r="L164" s="810"/>
    </row>
    <row r="165" spans="11:12">
      <c r="K165" s="811"/>
      <c r="L165" s="810"/>
    </row>
    <row r="166" spans="11:12">
      <c r="K166" s="811"/>
      <c r="L166" s="810"/>
    </row>
    <row r="167" spans="11:12">
      <c r="K167" s="811"/>
      <c r="L167" s="810"/>
    </row>
    <row r="168" spans="11:12">
      <c r="K168" s="811"/>
      <c r="L168" s="810"/>
    </row>
    <row r="169" spans="11:12">
      <c r="K169" s="811"/>
      <c r="L169" s="810"/>
    </row>
    <row r="170" spans="11:12">
      <c r="K170" s="811"/>
      <c r="L170" s="810"/>
    </row>
    <row r="171" spans="11:12">
      <c r="K171" s="811"/>
      <c r="L171" s="810"/>
    </row>
    <row r="172" spans="11:12">
      <c r="K172" s="811"/>
      <c r="L172" s="810"/>
    </row>
    <row r="173" spans="11:12">
      <c r="K173" s="811"/>
      <c r="L173" s="810"/>
    </row>
    <row r="174" spans="11:12">
      <c r="K174" s="811"/>
      <c r="L174" s="810"/>
    </row>
    <row r="175" spans="11:12">
      <c r="K175" s="811"/>
      <c r="L175" s="810"/>
    </row>
    <row r="176" spans="11:12">
      <c r="K176" s="811"/>
      <c r="L176" s="810"/>
    </row>
    <row r="177" spans="11:12">
      <c r="K177" s="811"/>
      <c r="L177" s="810"/>
    </row>
    <row r="178" spans="11:12">
      <c r="K178" s="811"/>
      <c r="L178" s="810"/>
    </row>
    <row r="179" spans="11:12">
      <c r="K179" s="811"/>
      <c r="L179" s="810"/>
    </row>
    <row r="180" spans="11:12">
      <c r="K180" s="811"/>
      <c r="L180" s="810"/>
    </row>
    <row r="181" spans="11:12">
      <c r="K181" s="811"/>
      <c r="L181" s="810"/>
    </row>
    <row r="182" spans="11:12">
      <c r="K182" s="811"/>
      <c r="L182" s="810"/>
    </row>
    <row r="183" spans="11:12">
      <c r="K183" s="811"/>
      <c r="L183" s="810"/>
    </row>
    <row r="184" spans="11:12">
      <c r="K184" s="811"/>
      <c r="L184" s="810"/>
    </row>
    <row r="185" spans="11:12">
      <c r="K185" s="811"/>
      <c r="L185" s="810"/>
    </row>
    <row r="186" spans="11:12">
      <c r="K186" s="811"/>
      <c r="L186" s="810"/>
    </row>
    <row r="187" spans="11:12">
      <c r="K187" s="811"/>
      <c r="L187" s="810"/>
    </row>
    <row r="188" spans="11:12">
      <c r="K188" s="811"/>
      <c r="L188" s="810"/>
    </row>
    <row r="189" spans="11:12">
      <c r="K189" s="811"/>
      <c r="L189" s="810"/>
    </row>
    <row r="190" spans="11:12">
      <c r="K190" s="811"/>
      <c r="L190" s="810"/>
    </row>
    <row r="191" spans="11:12">
      <c r="K191" s="811"/>
      <c r="L191" s="810"/>
    </row>
    <row r="192" spans="11:12">
      <c r="K192" s="811"/>
      <c r="L192" s="810"/>
    </row>
    <row r="193" spans="11:12">
      <c r="K193" s="812"/>
      <c r="L193" s="810"/>
    </row>
  </sheetData>
  <mergeCells count="22">
    <mergeCell ref="AA1:AC1"/>
    <mergeCell ref="Z3:AA3"/>
    <mergeCell ref="P3:P4"/>
    <mergeCell ref="U3:U4"/>
    <mergeCell ref="V3:V4"/>
    <mergeCell ref="W3:W4"/>
    <mergeCell ref="X3:Y3"/>
    <mergeCell ref="AC2:AC4"/>
    <mergeCell ref="A2:A5"/>
    <mergeCell ref="B2:B4"/>
    <mergeCell ref="C2:S2"/>
    <mergeCell ref="T2:T4"/>
    <mergeCell ref="U2:AA2"/>
    <mergeCell ref="AD2:AD4"/>
    <mergeCell ref="C3:C4"/>
    <mergeCell ref="D3:D4"/>
    <mergeCell ref="AB3:AB4"/>
    <mergeCell ref="E3:J3"/>
    <mergeCell ref="K3:K4"/>
    <mergeCell ref="L3:M3"/>
    <mergeCell ref="N3:N4"/>
    <mergeCell ref="O3:O4"/>
  </mergeCells>
  <printOptions horizontalCentered="1"/>
  <pageMargins left="0.70866141732283472" right="0.70866141732283472" top="0.71" bottom="0.74803149606299213" header="0.31496062992125984" footer="0.31496062992125984"/>
  <pageSetup paperSize="9" scale="64" fitToHeight="2" orientation="landscape" r:id="rId1"/>
  <headerFooter>
    <oddHeader>&amp;C&amp;"Times New Roman,Félkövér"&amp;14Előirányzat módosítás nyilvántartás Brunszvik Beethoven Kulturális Központ 2016. év&amp;R&amp;"Times New Roman,Normál"&amp;10 12.d.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workbookViewId="0">
      <selection activeCell="C33" sqref="C33"/>
    </sheetView>
  </sheetViews>
  <sheetFormatPr defaultColWidth="8.6640625" defaultRowHeight="12.75" customHeight="1"/>
  <cols>
    <col min="1" max="1" width="35.109375" style="305" customWidth="1"/>
    <col min="2" max="2" width="12.44140625" style="305" customWidth="1"/>
    <col min="3" max="4" width="11.6640625" style="305" customWidth="1"/>
    <col min="5" max="5" width="33.6640625" style="305" customWidth="1"/>
    <col min="6" max="6" width="12.88671875" style="305" customWidth="1"/>
    <col min="7" max="8" width="12.44140625" style="305" customWidth="1"/>
    <col min="9" max="10" width="8.6640625" style="305"/>
    <col min="11" max="16384" width="8.6640625" style="268"/>
  </cols>
  <sheetData>
    <row r="1" spans="1:10" ht="16.5" customHeight="1" thickBot="1">
      <c r="A1" s="306"/>
      <c r="B1" s="306"/>
      <c r="C1" s="306"/>
      <c r="D1" s="306"/>
      <c r="E1" s="306"/>
      <c r="F1" s="306"/>
      <c r="G1" s="306"/>
      <c r="H1" s="307" t="s">
        <v>403</v>
      </c>
      <c r="I1" s="267"/>
      <c r="J1" s="267"/>
    </row>
    <row r="2" spans="1:10" ht="26.25" customHeight="1" thickBot="1">
      <c r="A2" s="308" t="s">
        <v>337</v>
      </c>
      <c r="B2" s="309" t="s">
        <v>747</v>
      </c>
      <c r="C2" s="340" t="s">
        <v>745</v>
      </c>
      <c r="D2" s="309" t="s">
        <v>912</v>
      </c>
      <c r="E2" s="308" t="s">
        <v>338</v>
      </c>
      <c r="F2" s="309" t="s">
        <v>747</v>
      </c>
      <c r="G2" s="340" t="s">
        <v>745</v>
      </c>
      <c r="H2" s="309" t="s">
        <v>912</v>
      </c>
      <c r="I2" s="310"/>
      <c r="J2" s="267"/>
    </row>
    <row r="3" spans="1:10" ht="13.5" customHeight="1" thickBot="1">
      <c r="A3" s="311" t="s">
        <v>339</v>
      </c>
      <c r="B3" s="665">
        <f>SUM(B4:B8)</f>
        <v>973076</v>
      </c>
      <c r="C3" s="665">
        <f t="shared" ref="C3:D3" si="0">SUM(C4:C8)</f>
        <v>29368</v>
      </c>
      <c r="D3" s="665">
        <f t="shared" si="0"/>
        <v>1002444</v>
      </c>
      <c r="E3" s="613" t="s">
        <v>458</v>
      </c>
      <c r="F3" s="673">
        <f>+F4+F5+F6+F8+F9+F10</f>
        <v>1279160</v>
      </c>
      <c r="G3" s="673">
        <f t="shared" ref="G3:H3" si="1">+G4+G5+G6+G8+G9+G10</f>
        <v>-77256</v>
      </c>
      <c r="H3" s="673">
        <f t="shared" si="1"/>
        <v>1201904</v>
      </c>
      <c r="I3" s="310"/>
      <c r="J3" s="267"/>
    </row>
    <row r="4" spans="1:10" ht="15" customHeight="1">
      <c r="A4" s="313" t="s">
        <v>433</v>
      </c>
      <c r="B4" s="668">
        <f>+'3.mell. Bevétel'!C23+'6. mell. Int.összesen'!D15</f>
        <v>636903</v>
      </c>
      <c r="C4" s="668">
        <f>+'3.mell. Bevétel'!D23+'6. mell. Int.összesen'!E15</f>
        <v>19212</v>
      </c>
      <c r="D4" s="668">
        <f>+'3.mell. Bevétel'!E23+'6. mell. Int.összesen'!F15</f>
        <v>656115</v>
      </c>
      <c r="E4" s="615" t="s">
        <v>340</v>
      </c>
      <c r="F4" s="674">
        <f>+'5. mell. Önk.össz kiadás'!D5+'6. mell. Int.összesen'!D55</f>
        <v>263680</v>
      </c>
      <c r="G4" s="674">
        <f>+'5. mell. Önk.össz kiadás'!E5+'6. mell. Int.összesen'!E55</f>
        <v>9071</v>
      </c>
      <c r="H4" s="674">
        <f>+'5. mell. Önk.össz kiadás'!F5+'6. mell. Int.összesen'!F55</f>
        <v>272751</v>
      </c>
      <c r="I4" s="310"/>
      <c r="J4" s="267"/>
    </row>
    <row r="5" spans="1:10" ht="15" customHeight="1">
      <c r="A5" s="313" t="s">
        <v>459</v>
      </c>
      <c r="B5" s="669">
        <f>+'3.mell. Bevétel'!C54+'6. mell. Int.összesen'!D28</f>
        <v>284500</v>
      </c>
      <c r="C5" s="669">
        <f>+'3.mell. Bevétel'!D54+'6. mell. Int.összesen'!E28</f>
        <v>0</v>
      </c>
      <c r="D5" s="669">
        <f>+'3.mell. Bevétel'!E54+'6. mell. Int.összesen'!F28</f>
        <v>284500</v>
      </c>
      <c r="E5" s="342" t="s">
        <v>341</v>
      </c>
      <c r="F5" s="675">
        <f>+'5. mell. Önk.össz kiadás'!D7+'6. mell. Int.összesen'!D56</f>
        <v>73833</v>
      </c>
      <c r="G5" s="675">
        <f>+'5. mell. Önk.össz kiadás'!E7+'6. mell. Int.összesen'!E56</f>
        <v>2268</v>
      </c>
      <c r="H5" s="675">
        <f>+'5. mell. Önk.össz kiadás'!F7+'6. mell. Int.összesen'!F56</f>
        <v>76101</v>
      </c>
      <c r="I5" s="310"/>
      <c r="J5" s="267"/>
    </row>
    <row r="6" spans="1:10" ht="15" customHeight="1">
      <c r="A6" s="313" t="s">
        <v>339</v>
      </c>
      <c r="B6" s="669">
        <f>+'3.mell. Bevétel'!C65+'6. mell. Int.összesen'!D36</f>
        <v>36631</v>
      </c>
      <c r="C6" s="669">
        <f>+'3.mell. Bevétel'!D65+'6. mell. Int.összesen'!E36</f>
        <v>6173</v>
      </c>
      <c r="D6" s="669">
        <f>+'3.mell. Bevétel'!E65+'6. mell. Int.összesen'!F36</f>
        <v>42804</v>
      </c>
      <c r="E6" s="342" t="s">
        <v>342</v>
      </c>
      <c r="F6" s="668">
        <f>+'5. mell. Önk.össz kiadás'!D14+'6. mell. Int.összesen'!D63</f>
        <v>156184</v>
      </c>
      <c r="G6" s="668">
        <f>+'5. mell. Önk.össz kiadás'!E14+'6. mell. Int.összesen'!E63</f>
        <v>33363</v>
      </c>
      <c r="H6" s="668">
        <f>+'5. mell. Önk.össz kiadás'!F14+'6. mell. Int.összesen'!F63</f>
        <v>189547</v>
      </c>
      <c r="I6" s="310"/>
      <c r="J6" s="267"/>
    </row>
    <row r="7" spans="1:10" ht="15" customHeight="1">
      <c r="A7" s="338" t="s">
        <v>434</v>
      </c>
      <c r="B7" s="669">
        <f>+'3.mell. Bevétel'!C69+'6. mell. Int.összesen'!D39</f>
        <v>15042</v>
      </c>
      <c r="C7" s="669">
        <f>+'3.mell. Bevétel'!D69+'6. mell. Int.összesen'!E39</f>
        <v>3983</v>
      </c>
      <c r="D7" s="669">
        <f>+'3.mell. Bevétel'!E69+'6. mell. Int.összesen'!F39</f>
        <v>19025</v>
      </c>
      <c r="E7" s="609" t="s">
        <v>606</v>
      </c>
      <c r="F7" s="668">
        <f>+'5.b. mell. VF saját forrásból'!D30</f>
        <v>0</v>
      </c>
      <c r="G7" s="668">
        <f>+'5.b. mell. VF saját forrásból'!E30</f>
        <v>2696</v>
      </c>
      <c r="H7" s="668">
        <f>+'5.b. mell. VF saját forrásból'!F30</f>
        <v>2696</v>
      </c>
      <c r="I7" s="310"/>
      <c r="J7" s="267"/>
    </row>
    <row r="8" spans="1:10" ht="15" customHeight="1">
      <c r="A8" s="313"/>
      <c r="B8" s="669"/>
      <c r="C8" s="669"/>
      <c r="D8" s="669"/>
      <c r="E8" s="342" t="s">
        <v>343</v>
      </c>
      <c r="F8" s="668">
        <f>+'5. mell. Önk.össz kiadás'!D16</f>
        <v>21620</v>
      </c>
      <c r="G8" s="668">
        <f>+'5. mell. Önk.össz kiadás'!E16</f>
        <v>0</v>
      </c>
      <c r="H8" s="668">
        <f>+'5. mell. Önk.össz kiadás'!F16</f>
        <v>21620</v>
      </c>
      <c r="I8" s="310"/>
      <c r="J8" s="267"/>
    </row>
    <row r="9" spans="1:10" ht="15" customHeight="1">
      <c r="A9" s="313"/>
      <c r="B9" s="668"/>
      <c r="C9" s="668"/>
      <c r="D9" s="668"/>
      <c r="E9" s="342" t="s">
        <v>390</v>
      </c>
      <c r="F9" s="668">
        <f>+'5. mell. Önk.össz kiadás'!D18+'6. mell. Int.összesen'!D67-F10</f>
        <v>414177</v>
      </c>
      <c r="G9" s="668">
        <f>+'5. mell. Önk.össz kiadás'!E18+'6. mell. Int.összesen'!E67-G10</f>
        <v>22979</v>
      </c>
      <c r="H9" s="668">
        <f>+'5. mell. Önk.össz kiadás'!F18+'6. mell. Int.összesen'!F67-H10</f>
        <v>437156</v>
      </c>
      <c r="I9" s="310"/>
      <c r="J9" s="267"/>
    </row>
    <row r="10" spans="1:10" ht="15" customHeight="1">
      <c r="A10" s="314" t="s">
        <v>284</v>
      </c>
      <c r="B10" s="315">
        <f>+B11</f>
        <v>56840</v>
      </c>
      <c r="C10" s="315">
        <f t="shared" ref="C10:D10" si="2">+C11</f>
        <v>0</v>
      </c>
      <c r="D10" s="315">
        <f t="shared" si="2"/>
        <v>56840</v>
      </c>
      <c r="E10" s="342" t="s">
        <v>599</v>
      </c>
      <c r="F10" s="668">
        <f>+'5. mell. Önk.össz kiadás'!D19</f>
        <v>349666</v>
      </c>
      <c r="G10" s="668">
        <f>+'5. mell. Önk.össz kiadás'!E19</f>
        <v>-144937</v>
      </c>
      <c r="H10" s="668">
        <f>+'5. mell. Önk.össz kiadás'!F19</f>
        <v>204729</v>
      </c>
      <c r="I10" s="310"/>
      <c r="J10" s="267"/>
    </row>
    <row r="11" spans="1:10" ht="15" customHeight="1">
      <c r="A11" s="313" t="s">
        <v>397</v>
      </c>
      <c r="B11" s="668">
        <f>+'3.mell. Bevétel'!C76+'6. mell. Int.összesen'!D44</f>
        <v>56840</v>
      </c>
      <c r="C11" s="668">
        <f>+'3.mell. Bevétel'!D76+'6. mell. Int.összesen'!E44</f>
        <v>0</v>
      </c>
      <c r="D11" s="668">
        <f>+'3.mell. Bevétel'!E76+'6. mell. Int.összesen'!F44</f>
        <v>56840</v>
      </c>
      <c r="E11" s="610" t="s">
        <v>720</v>
      </c>
      <c r="F11" s="670">
        <f>+'5.g. mell. Egyéb tev.'!D69</f>
        <v>17984</v>
      </c>
      <c r="G11" s="670">
        <f>+'5.g. mell. Egyéb tev.'!E69</f>
        <v>-17577</v>
      </c>
      <c r="H11" s="670">
        <f>+'5.g. mell. Egyéb tev.'!F69</f>
        <v>407</v>
      </c>
      <c r="I11" s="310"/>
      <c r="J11" s="267"/>
    </row>
    <row r="12" spans="1:10" ht="15" customHeight="1">
      <c r="A12" s="339" t="s">
        <v>472</v>
      </c>
      <c r="B12" s="670">
        <v>0</v>
      </c>
      <c r="C12" s="670">
        <v>0</v>
      </c>
      <c r="D12" s="670">
        <v>0</v>
      </c>
      <c r="E12" s="342"/>
      <c r="F12" s="668"/>
      <c r="G12" s="668"/>
      <c r="H12" s="668"/>
      <c r="I12" s="310"/>
      <c r="J12" s="267"/>
    </row>
    <row r="13" spans="1:10" ht="15" customHeight="1">
      <c r="A13" s="313"/>
      <c r="B13" s="668"/>
      <c r="C13" s="668"/>
      <c r="D13" s="668"/>
      <c r="E13" s="611" t="s">
        <v>275</v>
      </c>
      <c r="F13" s="329">
        <f>+SUM(F14:F15)</f>
        <v>26257</v>
      </c>
      <c r="G13" s="329">
        <f t="shared" ref="G13:H13" si="3">+SUM(G14:G15)</f>
        <v>0</v>
      </c>
      <c r="H13" s="329">
        <f t="shared" si="3"/>
        <v>26257</v>
      </c>
      <c r="I13" s="310"/>
      <c r="J13" s="267"/>
    </row>
    <row r="14" spans="1:10" s="318" customFormat="1" ht="15" customHeight="1">
      <c r="A14" s="313"/>
      <c r="B14" s="668"/>
      <c r="C14" s="668"/>
      <c r="D14" s="668"/>
      <c r="E14" s="614" t="s">
        <v>344</v>
      </c>
      <c r="F14" s="676">
        <f>+'5.g. mell. Egyéb tev.'!D96</f>
        <v>6673</v>
      </c>
      <c r="G14" s="676">
        <f>+'5.g. mell. Egyéb tev.'!E96</f>
        <v>0</v>
      </c>
      <c r="H14" s="676">
        <f>+'5.g. mell. Egyéb tev.'!F96</f>
        <v>6673</v>
      </c>
      <c r="I14" s="310"/>
      <c r="J14" s="267"/>
    </row>
    <row r="15" spans="1:10" s="320" customFormat="1" ht="15" thickBot="1">
      <c r="A15" s="317"/>
      <c r="B15" s="671"/>
      <c r="C15" s="671"/>
      <c r="D15" s="671"/>
      <c r="E15" s="879" t="s">
        <v>760</v>
      </c>
      <c r="F15" s="880">
        <f>+'5.g. mell. Egyéb tev.'!D100</f>
        <v>19584</v>
      </c>
      <c r="G15" s="880">
        <f>+'5.g. mell. Egyéb tev.'!E100</f>
        <v>0</v>
      </c>
      <c r="H15" s="880">
        <f>+'5.g. mell. Egyéb tev.'!F100</f>
        <v>19584</v>
      </c>
      <c r="I15" s="310"/>
      <c r="J15" s="267"/>
    </row>
    <row r="16" spans="1:10" ht="15" thickBot="1">
      <c r="A16" s="319" t="s">
        <v>345</v>
      </c>
      <c r="B16" s="672">
        <f>+B10+B3</f>
        <v>1029916</v>
      </c>
      <c r="C16" s="672">
        <f t="shared" ref="C16:D16" si="4">+C10+C3</f>
        <v>29368</v>
      </c>
      <c r="D16" s="672">
        <f t="shared" si="4"/>
        <v>1059284</v>
      </c>
      <c r="E16" s="612" t="s">
        <v>345</v>
      </c>
      <c r="F16" s="672">
        <f>+F13+F3</f>
        <v>1305417</v>
      </c>
      <c r="G16" s="672">
        <f>+G13+G3</f>
        <v>-77256</v>
      </c>
      <c r="H16" s="672">
        <f>+H13+H3</f>
        <v>1228161</v>
      </c>
      <c r="I16" s="267"/>
      <c r="J16" s="267"/>
    </row>
    <row r="17" spans="1:10" ht="13.5" customHeight="1">
      <c r="A17" s="321"/>
      <c r="B17" s="321"/>
      <c r="C17" s="321"/>
      <c r="D17" s="322"/>
      <c r="E17" s="323"/>
      <c r="F17" s="602"/>
      <c r="G17" s="323"/>
      <c r="H17" s="322"/>
      <c r="I17" s="267"/>
      <c r="J17" s="267"/>
    </row>
    <row r="18" spans="1:10" s="305" customFormat="1" ht="25.5" customHeight="1" thickBot="1">
      <c r="A18" s="324"/>
      <c r="B18" s="325"/>
      <c r="C18" s="325"/>
      <c r="D18" s="326"/>
      <c r="E18" s="324"/>
      <c r="F18" s="324"/>
      <c r="G18" s="324"/>
      <c r="H18" s="326"/>
      <c r="I18" s="344"/>
      <c r="J18" s="267"/>
    </row>
    <row r="19" spans="1:10" s="305" customFormat="1" ht="24" customHeight="1">
      <c r="A19" s="604" t="s">
        <v>337</v>
      </c>
      <c r="B19" s="312" t="s">
        <v>747</v>
      </c>
      <c r="C19" s="605" t="s">
        <v>745</v>
      </c>
      <c r="D19" s="312" t="s">
        <v>912</v>
      </c>
      <c r="E19" s="327" t="s">
        <v>338</v>
      </c>
      <c r="F19" s="312" t="s">
        <v>747</v>
      </c>
      <c r="G19" s="605" t="s">
        <v>745</v>
      </c>
      <c r="H19" s="312" t="s">
        <v>912</v>
      </c>
      <c r="I19" s="310"/>
      <c r="J19" s="267"/>
    </row>
    <row r="20" spans="1:10" s="305" customFormat="1" ht="14.4">
      <c r="A20" s="341" t="s">
        <v>473</v>
      </c>
      <c r="B20" s="666">
        <f>+B21+B22</f>
        <v>21000</v>
      </c>
      <c r="C20" s="666">
        <f t="shared" ref="C20:D20" si="5">+C21+C22</f>
        <v>28905</v>
      </c>
      <c r="D20" s="666">
        <f t="shared" si="5"/>
        <v>49905</v>
      </c>
      <c r="E20" s="343" t="s">
        <v>428</v>
      </c>
      <c r="F20" s="315">
        <f>(+F21+F22)+F23</f>
        <v>101305</v>
      </c>
      <c r="G20" s="315">
        <f t="shared" ref="G20:H20" si="6">(+G21+G22)+G23</f>
        <v>135529</v>
      </c>
      <c r="H20" s="315">
        <f t="shared" si="6"/>
        <v>236834</v>
      </c>
      <c r="I20" s="310"/>
      <c r="J20" s="328"/>
    </row>
    <row r="21" spans="1:10" s="305" customFormat="1" ht="14.4">
      <c r="A21" s="342" t="s">
        <v>435</v>
      </c>
      <c r="B21" s="876">
        <f>+'3.mell. Bevétel'!C26+'6. mell. Int.összesen'!D16</f>
        <v>0</v>
      </c>
      <c r="C21" s="876">
        <f>+'3.mell. Bevétel'!D26+'6. mell. Int.összesen'!E16</f>
        <v>300</v>
      </c>
      <c r="D21" s="876">
        <f>+'3.mell. Bevétel'!E26+'6. mell. Int.összesen'!F16</f>
        <v>300</v>
      </c>
      <c r="E21" s="313" t="s">
        <v>162</v>
      </c>
      <c r="F21" s="668">
        <f>+'5. mell. Önk.össz kiadás'!D21+'6. mell. Int.összesen'!D69</f>
        <v>83025</v>
      </c>
      <c r="G21" s="668">
        <f>+'5. mell. Önk.össz kiadás'!E21+'6. mell. Int.összesen'!E69</f>
        <v>103703</v>
      </c>
      <c r="H21" s="668">
        <f>+'5. mell. Önk.össz kiadás'!F21+'6. mell. Int.összesen'!F69</f>
        <v>186728</v>
      </c>
      <c r="I21" s="310"/>
      <c r="J21" s="267"/>
    </row>
    <row r="22" spans="1:10" s="305" customFormat="1" ht="14.4">
      <c r="A22" s="342" t="s">
        <v>346</v>
      </c>
      <c r="B22" s="876">
        <f>+'3.mell. Bevétel'!C66+'6. mell. Int.összesen'!D37</f>
        <v>21000</v>
      </c>
      <c r="C22" s="876">
        <f>+'3.mell. Bevétel'!D66+'6. mell. Int.összesen'!E37</f>
        <v>28605</v>
      </c>
      <c r="D22" s="876">
        <f>+'3.mell. Bevétel'!E66+'6. mell. Int.összesen'!F37</f>
        <v>49605</v>
      </c>
      <c r="E22" s="313" t="s">
        <v>313</v>
      </c>
      <c r="F22" s="668">
        <f>+'5. mell. Önk.össz kiadás'!D23+'6. mell. Int.összesen'!D71</f>
        <v>5663</v>
      </c>
      <c r="G22" s="668">
        <f>+'5. mell. Önk.össz kiadás'!E23+'6. mell. Int.összesen'!E71</f>
        <v>31826</v>
      </c>
      <c r="H22" s="668">
        <f>+'5. mell. Önk.össz kiadás'!F23+'6. mell. Int.összesen'!F71</f>
        <v>37489</v>
      </c>
      <c r="I22" s="310"/>
      <c r="J22" s="267"/>
    </row>
    <row r="23" spans="1:10" s="305" customFormat="1" ht="14.4">
      <c r="A23" s="342"/>
      <c r="B23" s="668"/>
      <c r="C23" s="668"/>
      <c r="D23" s="668"/>
      <c r="E23" s="313" t="s">
        <v>436</v>
      </c>
      <c r="F23" s="668">
        <f>+'5. mell. Önk.össz kiadás'!D25+'6. mell. Int.összesen'!D73</f>
        <v>12617</v>
      </c>
      <c r="G23" s="668">
        <f>+'5. mell. Önk.össz kiadás'!E25+'6. mell. Int.összesen'!E73</f>
        <v>0</v>
      </c>
      <c r="H23" s="668">
        <f>+'5. mell. Önk.össz kiadás'!F25+'6. mell. Int.összesen'!F73</f>
        <v>12617</v>
      </c>
      <c r="I23" s="310"/>
      <c r="J23" s="267"/>
    </row>
    <row r="24" spans="1:10" s="305" customFormat="1" ht="14.4">
      <c r="A24" s="341" t="s">
        <v>284</v>
      </c>
      <c r="B24" s="666">
        <f>+B25+B26</f>
        <v>355806</v>
      </c>
      <c r="C24" s="666">
        <f t="shared" ref="C24:D24" si="7">+C25+C26</f>
        <v>0</v>
      </c>
      <c r="D24" s="666">
        <f t="shared" si="7"/>
        <v>355806</v>
      </c>
      <c r="E24" s="313"/>
      <c r="F24" s="668"/>
      <c r="G24" s="668"/>
      <c r="H24" s="668"/>
      <c r="I24" s="310"/>
      <c r="J24" s="267"/>
    </row>
    <row r="25" spans="1:10" s="305" customFormat="1" ht="14.4">
      <c r="A25" s="342" t="s">
        <v>398</v>
      </c>
      <c r="B25" s="668">
        <f>+'3.mell. Bevétel'!C77</f>
        <v>355806</v>
      </c>
      <c r="C25" s="668">
        <f>+'3.mell. Bevétel'!D77</f>
        <v>0</v>
      </c>
      <c r="D25" s="668">
        <f>+'3.mell. Bevétel'!E77</f>
        <v>355806</v>
      </c>
      <c r="E25" s="316" t="s">
        <v>275</v>
      </c>
      <c r="F25" s="329">
        <f>+F26</f>
        <v>0</v>
      </c>
      <c r="G25" s="329">
        <f t="shared" ref="G25:H25" si="8">+G26</f>
        <v>0</v>
      </c>
      <c r="H25" s="329">
        <f t="shared" si="8"/>
        <v>0</v>
      </c>
      <c r="I25" s="310"/>
      <c r="J25" s="267"/>
    </row>
    <row r="26" spans="1:10" s="320" customFormat="1" ht="18.75" customHeight="1">
      <c r="A26" s="342" t="s">
        <v>604</v>
      </c>
      <c r="B26" s="668">
        <f>+'3.mell. Bevétel'!C74</f>
        <v>0</v>
      </c>
      <c r="C26" s="668">
        <f>+'3.mell. Bevétel'!D74</f>
        <v>0</v>
      </c>
      <c r="D26" s="668">
        <f>+'3.mell. Bevétel'!E74</f>
        <v>0</v>
      </c>
      <c r="E26" s="313"/>
      <c r="F26" s="668"/>
      <c r="G26" s="668"/>
      <c r="H26" s="668"/>
      <c r="I26" s="310"/>
      <c r="J26" s="267"/>
    </row>
    <row r="27" spans="1:10" s="320" customFormat="1" ht="29.25" customHeight="1" thickBot="1">
      <c r="A27" s="606" t="s">
        <v>347</v>
      </c>
      <c r="B27" s="667">
        <f>+B20+B24</f>
        <v>376806</v>
      </c>
      <c r="C27" s="667">
        <f t="shared" ref="C27:D27" si="9">+C20+C24</f>
        <v>28905</v>
      </c>
      <c r="D27" s="667">
        <f t="shared" si="9"/>
        <v>405711</v>
      </c>
      <c r="E27" s="877" t="s">
        <v>347</v>
      </c>
      <c r="F27" s="878">
        <f>+F25+F20</f>
        <v>101305</v>
      </c>
      <c r="G27" s="878">
        <f t="shared" ref="G27:H27" si="10">+G25+G20</f>
        <v>135529</v>
      </c>
      <c r="H27" s="878">
        <f t="shared" si="10"/>
        <v>236834</v>
      </c>
      <c r="I27" s="310"/>
      <c r="J27" s="267"/>
    </row>
    <row r="28" spans="1:10" ht="15" thickBot="1">
      <c r="A28" s="607" t="s">
        <v>279</v>
      </c>
      <c r="B28" s="608">
        <f>B16+B27</f>
        <v>1406722</v>
      </c>
      <c r="C28" s="608">
        <f t="shared" ref="C28:D28" si="11">C16+C27</f>
        <v>58273</v>
      </c>
      <c r="D28" s="608">
        <f t="shared" si="11"/>
        <v>1464995</v>
      </c>
      <c r="E28" s="608" t="s">
        <v>279</v>
      </c>
      <c r="F28" s="608">
        <f>F16+F27</f>
        <v>1406722</v>
      </c>
      <c r="G28" s="608">
        <f t="shared" ref="G28:H28" si="12">G16+G27</f>
        <v>58273</v>
      </c>
      <c r="H28" s="608">
        <f t="shared" si="12"/>
        <v>1464995</v>
      </c>
      <c r="I28" s="267"/>
      <c r="J28" s="267"/>
    </row>
    <row r="29" spans="1:10" ht="14.4">
      <c r="A29" s="330"/>
      <c r="B29" s="603"/>
      <c r="C29" s="331"/>
      <c r="D29" s="331"/>
      <c r="E29" s="330"/>
      <c r="F29" s="330"/>
      <c r="G29" s="330"/>
      <c r="H29" s="330"/>
      <c r="I29" s="267"/>
      <c r="J29" s="267"/>
    </row>
    <row r="30" spans="1:10" ht="14.4">
      <c r="A30" s="337"/>
      <c r="B30" s="332"/>
      <c r="C30" s="332"/>
      <c r="D30" s="332"/>
      <c r="E30" s="332"/>
      <c r="F30" s="332"/>
      <c r="G30" s="332"/>
      <c r="H30" s="332"/>
      <c r="I30" s="267"/>
      <c r="J30" s="267"/>
    </row>
    <row r="31" spans="1:10" ht="14.4">
      <c r="A31" s="267"/>
      <c r="B31" s="332"/>
      <c r="C31" s="332"/>
      <c r="D31" s="332"/>
      <c r="E31" s="332"/>
      <c r="F31" s="332"/>
      <c r="G31" s="332"/>
      <c r="H31" s="267"/>
      <c r="I31" s="267"/>
      <c r="J31" s="267"/>
    </row>
    <row r="32" spans="1:10" ht="14.4">
      <c r="A32" s="267"/>
      <c r="B32" s="267"/>
      <c r="C32" s="267"/>
      <c r="D32" s="267"/>
      <c r="E32" s="267"/>
      <c r="F32" s="267"/>
      <c r="G32" s="267"/>
      <c r="H32" s="267"/>
      <c r="I32" s="267"/>
      <c r="J32" s="267"/>
    </row>
    <row r="33" spans="1:8" ht="12.75" customHeight="1">
      <c r="A33" s="267"/>
      <c r="B33" s="332"/>
      <c r="C33" s="332"/>
      <c r="D33" s="332"/>
      <c r="E33" s="267"/>
      <c r="F33" s="267"/>
      <c r="G33" s="267"/>
      <c r="H33" s="332"/>
    </row>
  </sheetData>
  <printOptions horizontalCentered="1"/>
  <pageMargins left="0.70866141732283472" right="0.70866141732283472" top="0.85" bottom="0.74803149606299213" header="0.31496062992125984" footer="0.31496062992125984"/>
  <pageSetup paperSize="9" scale="92" orientation="landscape" r:id="rId1"/>
  <headerFooter>
    <oddHeader>&amp;C&amp;"Times New Roman,Félkövér"&amp;14Martonvásár Város Önkormányzata 
2016. évi költségvetésének pénzügyi mérlege&amp;R&amp;"Times New Roman,Normál"&amp;12 2. melléklet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2"/>
  <sheetViews>
    <sheetView workbookViewId="0">
      <selection activeCell="G12" sqref="G12:H12"/>
    </sheetView>
  </sheetViews>
  <sheetFormatPr defaultColWidth="9.109375" defaultRowHeight="13.2"/>
  <cols>
    <col min="1" max="1" width="5.6640625" style="756" customWidth="1"/>
    <col min="2" max="2" width="24.33203125" style="756" customWidth="1"/>
    <col min="3" max="3" width="7.44140625" style="756" customWidth="1"/>
    <col min="4" max="4" width="7.5546875" style="756" customWidth="1"/>
    <col min="5" max="5" width="7.33203125" style="756" customWidth="1"/>
    <col min="6" max="6" width="7.44140625" style="756" customWidth="1"/>
    <col min="7" max="7" width="6.6640625" style="756" customWidth="1"/>
    <col min="8" max="8" width="7.88671875" style="756" customWidth="1"/>
    <col min="9" max="9" width="8" style="756" bestFit="1" customWidth="1"/>
    <col min="10" max="10" width="6.44140625" style="756" bestFit="1" customWidth="1"/>
    <col min="11" max="11" width="8" style="756" customWidth="1"/>
    <col min="12" max="12" width="8.88671875" style="756" customWidth="1"/>
    <col min="13" max="13" width="8.109375" style="756" customWidth="1"/>
    <col min="14" max="14" width="7.109375" style="756" customWidth="1"/>
    <col min="15" max="15" width="7.88671875" style="756" customWidth="1"/>
    <col min="16" max="18" width="8.109375" style="756" customWidth="1"/>
    <col min="19" max="19" width="8.88671875" style="756" customWidth="1"/>
    <col min="20" max="20" width="9" style="756" customWidth="1"/>
    <col min="21" max="21" width="9.44140625" style="756" customWidth="1"/>
    <col min="22" max="22" width="7.109375" style="756" customWidth="1"/>
    <col min="23" max="24" width="8.109375" style="756" customWidth="1"/>
    <col min="25" max="25" width="7.33203125" style="756" customWidth="1"/>
    <col min="26" max="27" width="7.88671875" style="756" customWidth="1"/>
    <col min="28" max="28" width="8.5546875" style="756" customWidth="1"/>
    <col min="29" max="29" width="7.6640625" style="756" customWidth="1"/>
    <col min="30" max="30" width="7.5546875" style="756" customWidth="1"/>
    <col min="31" max="31" width="8.6640625" style="756" customWidth="1"/>
    <col min="32" max="32" width="9.33203125" style="756" customWidth="1"/>
    <col min="33" max="16384" width="9.109375" style="756"/>
  </cols>
  <sheetData>
    <row r="1" spans="1:37" ht="13.8" thickBot="1">
      <c r="AD1" s="1168" t="s">
        <v>406</v>
      </c>
      <c r="AE1" s="1168"/>
      <c r="AF1" s="1168"/>
    </row>
    <row r="2" spans="1:37" ht="31.5" customHeight="1">
      <c r="A2" s="1183" t="s">
        <v>348</v>
      </c>
      <c r="B2" s="1185" t="s">
        <v>761</v>
      </c>
      <c r="C2" s="1188" t="s">
        <v>308</v>
      </c>
      <c r="D2" s="1188"/>
      <c r="E2" s="1188"/>
      <c r="F2" s="1188"/>
      <c r="G2" s="1188"/>
      <c r="H2" s="1188"/>
      <c r="I2" s="1188"/>
      <c r="J2" s="1188"/>
      <c r="K2" s="1188"/>
      <c r="L2" s="1188"/>
      <c r="M2" s="1188"/>
      <c r="N2" s="1188"/>
      <c r="O2" s="1188"/>
      <c r="P2" s="1188"/>
      <c r="Q2" s="1188"/>
      <c r="R2" s="1188"/>
      <c r="S2" s="1188"/>
      <c r="T2" s="1216" t="s">
        <v>286</v>
      </c>
      <c r="U2" s="1188" t="s">
        <v>299</v>
      </c>
      <c r="V2" s="1218"/>
      <c r="W2" s="1218"/>
      <c r="X2" s="1218"/>
      <c r="Y2" s="1218"/>
      <c r="Z2" s="1218"/>
      <c r="AA2" s="1218"/>
      <c r="AB2" s="1218"/>
      <c r="AC2" s="1218"/>
      <c r="AD2" s="1218"/>
      <c r="AE2" s="1218"/>
      <c r="AF2" s="1219" t="s">
        <v>763</v>
      </c>
      <c r="AK2" s="758"/>
    </row>
    <row r="3" spans="1:37" ht="25.5" customHeight="1">
      <c r="A3" s="1184"/>
      <c r="B3" s="1186"/>
      <c r="C3" s="1186" t="s">
        <v>801</v>
      </c>
      <c r="D3" s="1186" t="s">
        <v>802</v>
      </c>
      <c r="E3" s="1186" t="s">
        <v>152</v>
      </c>
      <c r="F3" s="1186" t="s">
        <v>850</v>
      </c>
      <c r="G3" s="1186" t="s">
        <v>164</v>
      </c>
      <c r="H3" s="1221"/>
      <c r="I3" s="1186" t="s">
        <v>767</v>
      </c>
      <c r="J3" s="1186" t="s">
        <v>804</v>
      </c>
      <c r="K3" s="1186" t="s">
        <v>851</v>
      </c>
      <c r="L3" s="1186" t="s">
        <v>852</v>
      </c>
      <c r="M3" s="1186" t="s">
        <v>771</v>
      </c>
      <c r="N3" s="1186" t="s">
        <v>772</v>
      </c>
      <c r="O3" s="1186" t="s">
        <v>709</v>
      </c>
      <c r="P3" s="1186" t="s">
        <v>853</v>
      </c>
      <c r="Q3" s="1186" t="s">
        <v>854</v>
      </c>
      <c r="R3" s="1186" t="s">
        <v>775</v>
      </c>
      <c r="S3" s="1186" t="s">
        <v>707</v>
      </c>
      <c r="T3" s="1217"/>
      <c r="U3" s="1222" t="s">
        <v>777</v>
      </c>
      <c r="V3" s="1186" t="s">
        <v>778</v>
      </c>
      <c r="W3" s="1186" t="s">
        <v>771</v>
      </c>
      <c r="X3" s="1186" t="s">
        <v>855</v>
      </c>
      <c r="Y3" s="1186" t="s">
        <v>806</v>
      </c>
      <c r="Z3" s="1191"/>
      <c r="AA3" s="1195" t="s">
        <v>807</v>
      </c>
      <c r="AB3" s="1186" t="s">
        <v>856</v>
      </c>
      <c r="AC3" s="1186" t="s">
        <v>857</v>
      </c>
      <c r="AD3" s="1191"/>
      <c r="AE3" s="1186" t="s">
        <v>787</v>
      </c>
      <c r="AF3" s="1220"/>
    </row>
    <row r="4" spans="1:37" ht="27" customHeight="1">
      <c r="A4" s="1184"/>
      <c r="B4" s="1186"/>
      <c r="C4" s="1186"/>
      <c r="D4" s="1186"/>
      <c r="E4" s="1186"/>
      <c r="F4" s="1186"/>
      <c r="G4" s="840" t="s">
        <v>788</v>
      </c>
      <c r="H4" s="840" t="s">
        <v>789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6"/>
      <c r="T4" s="1217"/>
      <c r="U4" s="1222"/>
      <c r="V4" s="1186"/>
      <c r="W4" s="1186"/>
      <c r="X4" s="1191"/>
      <c r="Y4" s="840" t="s">
        <v>816</v>
      </c>
      <c r="Z4" s="840" t="s">
        <v>817</v>
      </c>
      <c r="AA4" s="1195"/>
      <c r="AB4" s="1191"/>
      <c r="AC4" s="840" t="s">
        <v>816</v>
      </c>
      <c r="AD4" s="840" t="s">
        <v>817</v>
      </c>
      <c r="AE4" s="1186"/>
      <c r="AF4" s="1220"/>
    </row>
    <row r="5" spans="1:37">
      <c r="A5" s="790">
        <v>1</v>
      </c>
      <c r="B5" s="814" t="s">
        <v>858</v>
      </c>
      <c r="C5" s="815">
        <f>+'12.a Tételes mód ÖNK'!D113</f>
        <v>2690</v>
      </c>
      <c r="D5" s="815">
        <f>+'12.a Tételes mód ÖNK'!E113</f>
        <v>525</v>
      </c>
      <c r="E5" s="815">
        <f>+'12.a Tételes mód ÖNK'!F113</f>
        <v>21941</v>
      </c>
      <c r="F5" s="815">
        <f>+'12.a Tételes mód ÖNK'!G113</f>
        <v>0</v>
      </c>
      <c r="G5" s="815">
        <f>+'12.a Tételes mód ÖNK'!H113</f>
        <v>671</v>
      </c>
      <c r="H5" s="815">
        <f>+'12.a Tételes mód ÖNK'!I113</f>
        <v>22308</v>
      </c>
      <c r="I5" s="815">
        <f>+'12.a Tételes mód ÖNK'!J113</f>
        <v>103483</v>
      </c>
      <c r="J5" s="815">
        <f>+'12.a Tételes mód ÖNK'!K113</f>
        <v>31826</v>
      </c>
      <c r="K5" s="815">
        <f>+'12.a Tételes mód ÖNK'!L113</f>
        <v>0</v>
      </c>
      <c r="L5" s="815">
        <f>+'12.a Tételes mód ÖNK'!M113</f>
        <v>0</v>
      </c>
      <c r="M5" s="815">
        <f>+'12.a Tételes mód ÖNK'!N113</f>
        <v>14655</v>
      </c>
      <c r="N5" s="815">
        <f>+'12.a Tételes mód ÖNK'!O113</f>
        <v>0</v>
      </c>
      <c r="O5" s="815">
        <f>+'12.a Tételes mód ÖNK'!P113</f>
        <v>-17577</v>
      </c>
      <c r="P5" s="815">
        <f>+'12.a Tételes mód ÖNK'!Q113</f>
        <v>-6522</v>
      </c>
      <c r="Q5" s="815">
        <f>+'12.a Tételes mód ÖNK'!R113</f>
        <v>-86173</v>
      </c>
      <c r="R5" s="815">
        <f>+'12.a Tételes mód ÖNK'!S113</f>
        <v>-34490</v>
      </c>
      <c r="S5" s="815">
        <f>+'12.a Tételes mód ÖNK'!T113</f>
        <v>-175</v>
      </c>
      <c r="T5" s="816">
        <f>SUM(C5:S5)</f>
        <v>53162</v>
      </c>
      <c r="U5" s="816">
        <f>+'12.a Tételes mód ÖNK'!V113</f>
        <v>0</v>
      </c>
      <c r="V5" s="816">
        <f>+'12.a Tételes mód ÖNK'!W113</f>
        <v>4062</v>
      </c>
      <c r="W5" s="816"/>
      <c r="X5" s="816">
        <f>+'12.a Tételes mód ÖNK'!X113</f>
        <v>0</v>
      </c>
      <c r="Y5" s="816">
        <f>+'12.a Tételes mód ÖNK'!Y113</f>
        <v>16212</v>
      </c>
      <c r="Z5" s="816">
        <f>+'12.a Tételes mód ÖNK'!Z113</f>
        <v>3983</v>
      </c>
      <c r="AA5" s="816">
        <f>+'12.a Tételes mód ÖNK'!AA113</f>
        <v>28605</v>
      </c>
      <c r="AB5" s="816">
        <f>+'12.a Tételes mód ÖNK'!AB113</f>
        <v>0</v>
      </c>
      <c r="AC5" s="816">
        <f>+'12.a Tételes mód ÖNK'!AC113</f>
        <v>300</v>
      </c>
      <c r="AD5" s="816">
        <f>+'12.a Tételes mód ÖNK'!AD113</f>
        <v>0</v>
      </c>
      <c r="AE5" s="816">
        <f>+'12.a Tételes mód ÖNK'!AF113</f>
        <v>0</v>
      </c>
      <c r="AF5" s="817">
        <f>SUM(U5:AE5)</f>
        <v>53162</v>
      </c>
    </row>
    <row r="6" spans="1:37">
      <c r="A6" s="790">
        <v>2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818"/>
    </row>
    <row r="7" spans="1:37">
      <c r="A7" s="790">
        <v>3</v>
      </c>
      <c r="B7" s="791" t="s">
        <v>289</v>
      </c>
      <c r="C7" s="792">
        <f>+'12.b Tételes mód PH'!D28</f>
        <v>6224</v>
      </c>
      <c r="D7" s="792">
        <f>+'12.b Tételes mód PH'!E28</f>
        <v>1680</v>
      </c>
      <c r="E7" s="792">
        <f>+'12.b Tételes mód PH'!L28</f>
        <v>737</v>
      </c>
      <c r="F7" s="792"/>
      <c r="G7" s="792">
        <f>+'12.b Tételes mód PH'!M28</f>
        <v>0</v>
      </c>
      <c r="H7" s="792">
        <f>+'12.b Tételes mód PH'!N28</f>
        <v>0</v>
      </c>
      <c r="I7" s="792">
        <f>+'12.b Tételes mód PH'!O28</f>
        <v>220</v>
      </c>
      <c r="J7" s="792">
        <f>+'12.b Tételes mód PH'!P28</f>
        <v>0</v>
      </c>
      <c r="K7" s="792"/>
      <c r="L7" s="792"/>
      <c r="M7" s="792"/>
      <c r="N7" s="791"/>
      <c r="O7" s="791"/>
      <c r="P7" s="791"/>
      <c r="Q7" s="791"/>
      <c r="R7" s="791"/>
      <c r="S7" s="791"/>
      <c r="T7" s="815">
        <f>SUM(C7:S7)</f>
        <v>8861</v>
      </c>
      <c r="U7" s="792">
        <f>+'12.b Tételes mód PH'!S28</f>
        <v>0</v>
      </c>
      <c r="V7" s="792">
        <f>+'12.b Tételes mód PH'!T28</f>
        <v>681</v>
      </c>
      <c r="W7" s="792">
        <f>+'12.b Tételes mód PH'!U28</f>
        <v>8180</v>
      </c>
      <c r="X7" s="792"/>
      <c r="Y7" s="792">
        <f>+'12.b Tételes mód PH'!V28</f>
        <v>0</v>
      </c>
      <c r="Z7" s="792">
        <f>+'12.b Tételes mód PH'!W28</f>
        <v>0</v>
      </c>
      <c r="AA7" s="792">
        <f>+'12.b Tételes mód PH'!X28</f>
        <v>0</v>
      </c>
      <c r="AB7" s="791"/>
      <c r="AC7" s="792">
        <f>+'12.b Tételes mód PH'!Y28</f>
        <v>0</v>
      </c>
      <c r="AD7" s="792">
        <f>+'12.b Tételes mód PH'!Z28</f>
        <v>0</v>
      </c>
      <c r="AE7" s="792">
        <f>+'12.b Tételes mód PH'!AA28</f>
        <v>0</v>
      </c>
      <c r="AF7" s="819">
        <f>SUM(U7:AE7)</f>
        <v>8861</v>
      </c>
    </row>
    <row r="8" spans="1:37">
      <c r="A8" s="790">
        <v>4</v>
      </c>
      <c r="B8" s="791" t="s">
        <v>290</v>
      </c>
      <c r="C8" s="792">
        <f>+'12.c Tételes mód. Óvoda '!D27</f>
        <v>0</v>
      </c>
      <c r="D8" s="792">
        <f>+'12.c Tételes mód. Óvoda '!E27</f>
        <v>0</v>
      </c>
      <c r="E8" s="792">
        <f>+'12.c Tételes mód. Óvoda '!L27</f>
        <v>49</v>
      </c>
      <c r="F8" s="792"/>
      <c r="G8" s="792">
        <f>+'12.c Tételes mód. Óvoda '!M27</f>
        <v>0</v>
      </c>
      <c r="H8" s="792">
        <f>+'12.c Tételes mód. Óvoda '!N27</f>
        <v>0</v>
      </c>
      <c r="I8" s="792">
        <f>+'12.c Tételes mód. Óvoda '!O27</f>
        <v>0</v>
      </c>
      <c r="J8" s="792">
        <f>+'12.c Tételes mód. Óvoda '!P27</f>
        <v>0</v>
      </c>
      <c r="K8" s="792"/>
      <c r="L8" s="791"/>
      <c r="M8" s="791"/>
      <c r="N8" s="791"/>
      <c r="O8" s="791"/>
      <c r="P8" s="791"/>
      <c r="Q8" s="791"/>
      <c r="R8" s="791"/>
      <c r="S8" s="791"/>
      <c r="T8" s="815">
        <f>SUM(C8:S8)</f>
        <v>49</v>
      </c>
      <c r="U8" s="792">
        <f>+'12.c Tételes mód. Óvoda '!V27</f>
        <v>0</v>
      </c>
      <c r="V8" s="792">
        <f>+'12.c Tételes mód. Óvoda '!W27</f>
        <v>49</v>
      </c>
      <c r="W8" s="792">
        <f>+'12.c Tételes mód. Óvoda '!X27</f>
        <v>0</v>
      </c>
      <c r="X8" s="792"/>
      <c r="Y8" s="792">
        <f>+'12.c Tételes mód. Óvoda '!Y27</f>
        <v>0</v>
      </c>
      <c r="Z8" s="792">
        <f>+'12.c Tételes mód. Óvoda '!Z27</f>
        <v>0</v>
      </c>
      <c r="AA8" s="792"/>
      <c r="AB8" s="792"/>
      <c r="AC8" s="792">
        <f>+'12.c Tételes mód. Óvoda '!AA27</f>
        <v>0</v>
      </c>
      <c r="AD8" s="792">
        <f>+'12.c Tételes mód. Óvoda '!AB27</f>
        <v>0</v>
      </c>
      <c r="AE8" s="792">
        <f>+'12.c Tételes mód. Óvoda '!AC27</f>
        <v>0</v>
      </c>
      <c r="AF8" s="819">
        <f>SUM(U8:AE8)</f>
        <v>49</v>
      </c>
    </row>
    <row r="9" spans="1:37">
      <c r="A9" s="790">
        <v>5</v>
      </c>
      <c r="B9" s="791" t="s">
        <v>375</v>
      </c>
      <c r="C9" s="792">
        <f>+'12.d Tételes mód. BBK'!C40</f>
        <v>157</v>
      </c>
      <c r="D9" s="792">
        <f>+'12.d Tételes mód. BBK'!D40</f>
        <v>63</v>
      </c>
      <c r="E9" s="792">
        <f>+'12.d Tételes mód. BBK'!K40</f>
        <v>10636</v>
      </c>
      <c r="F9" s="792"/>
      <c r="G9" s="792">
        <f>+'12.d Tételes mód. BBK'!L40</f>
        <v>0</v>
      </c>
      <c r="H9" s="792">
        <f>+'12.d Tételes mód. BBK'!M40</f>
        <v>0</v>
      </c>
      <c r="I9" s="792">
        <f>+'12.d Tételes mód. BBK'!N40</f>
        <v>0</v>
      </c>
      <c r="J9" s="792">
        <f>+'12.d Tételes mód. BBK'!O40</f>
        <v>0</v>
      </c>
      <c r="K9" s="792"/>
      <c r="L9" s="792"/>
      <c r="M9" s="792"/>
      <c r="N9" s="792"/>
      <c r="O9" s="792"/>
      <c r="P9" s="792">
        <v>0</v>
      </c>
      <c r="Q9" s="792">
        <v>0</v>
      </c>
      <c r="R9" s="792"/>
      <c r="S9" s="791"/>
      <c r="T9" s="815">
        <f>SUM(C9:S9)</f>
        <v>10856</v>
      </c>
      <c r="U9" s="792">
        <v>0</v>
      </c>
      <c r="V9" s="792">
        <f>+'12.d Tételes mód. BBK'!V40</f>
        <v>1381</v>
      </c>
      <c r="W9" s="792">
        <f>+'12.d Tételes mód. BBK'!W40</f>
        <v>6475</v>
      </c>
      <c r="X9" s="792"/>
      <c r="Y9" s="792">
        <f>+'12.d Tételes mód. BBK'!X40</f>
        <v>3000</v>
      </c>
      <c r="Z9" s="792">
        <v>0</v>
      </c>
      <c r="AA9" s="792"/>
      <c r="AB9" s="792"/>
      <c r="AC9" s="792">
        <v>0</v>
      </c>
      <c r="AD9" s="792">
        <v>0</v>
      </c>
      <c r="AE9" s="792">
        <f>+'12.d Tételes mód. BBK'!AB40</f>
        <v>0</v>
      </c>
      <c r="AF9" s="820">
        <f>SUM(V9:AE9)</f>
        <v>10856</v>
      </c>
    </row>
    <row r="10" spans="1:37">
      <c r="A10" s="790">
        <v>6</v>
      </c>
      <c r="B10" s="814" t="s">
        <v>297</v>
      </c>
      <c r="C10" s="814">
        <f t="shared" ref="C10:K10" si="0">SUM(C7:C9)</f>
        <v>6381</v>
      </c>
      <c r="D10" s="814">
        <f t="shared" si="0"/>
        <v>1743</v>
      </c>
      <c r="E10" s="814">
        <f t="shared" si="0"/>
        <v>11422</v>
      </c>
      <c r="F10" s="814">
        <f t="shared" si="0"/>
        <v>0</v>
      </c>
      <c r="G10" s="814">
        <f t="shared" si="0"/>
        <v>0</v>
      </c>
      <c r="H10" s="815">
        <f t="shared" si="0"/>
        <v>0</v>
      </c>
      <c r="I10" s="815">
        <f t="shared" si="0"/>
        <v>220</v>
      </c>
      <c r="J10" s="814">
        <f t="shared" si="0"/>
        <v>0</v>
      </c>
      <c r="K10" s="814">
        <f t="shared" si="0"/>
        <v>0</v>
      </c>
      <c r="L10" s="814"/>
      <c r="M10" s="814">
        <f>SUM(M7:M9)</f>
        <v>0</v>
      </c>
      <c r="N10" s="814">
        <f>SUM(N7:N9)</f>
        <v>0</v>
      </c>
      <c r="O10" s="814">
        <f>SUM(O7:O9)</f>
        <v>0</v>
      </c>
      <c r="P10" s="814"/>
      <c r="Q10" s="814">
        <f t="shared" ref="Q10:AA10" si="1">SUM(Q7:Q9)</f>
        <v>0</v>
      </c>
      <c r="R10" s="814"/>
      <c r="S10" s="814">
        <f t="shared" si="1"/>
        <v>0</v>
      </c>
      <c r="T10" s="814">
        <f t="shared" si="1"/>
        <v>19766</v>
      </c>
      <c r="U10" s="815">
        <f t="shared" si="1"/>
        <v>0</v>
      </c>
      <c r="V10" s="815">
        <f>SUM(V7:V9)</f>
        <v>2111</v>
      </c>
      <c r="W10" s="814">
        <f t="shared" si="1"/>
        <v>14655</v>
      </c>
      <c r="X10" s="814">
        <f t="shared" si="1"/>
        <v>0</v>
      </c>
      <c r="Y10" s="814">
        <f t="shared" si="1"/>
        <v>3000</v>
      </c>
      <c r="Z10" s="814">
        <f t="shared" si="1"/>
        <v>0</v>
      </c>
      <c r="AA10" s="814">
        <f t="shared" si="1"/>
        <v>0</v>
      </c>
      <c r="AB10" s="814"/>
      <c r="AC10" s="814">
        <f>SUM(AC7:AC9)</f>
        <v>0</v>
      </c>
      <c r="AD10" s="814">
        <f>SUM(AD7:AD9)</f>
        <v>0</v>
      </c>
      <c r="AE10" s="814">
        <f>SUM(AE7:AE9)</f>
        <v>0</v>
      </c>
      <c r="AF10" s="820">
        <f>SUM(AF7:AF9)</f>
        <v>19766</v>
      </c>
    </row>
    <row r="11" spans="1:37">
      <c r="A11" s="790">
        <v>7</v>
      </c>
      <c r="B11" s="791"/>
      <c r="C11" s="791"/>
      <c r="D11" s="791"/>
      <c r="E11" s="791"/>
      <c r="F11" s="791"/>
      <c r="G11" s="791"/>
      <c r="H11" s="791"/>
      <c r="I11" s="791"/>
      <c r="J11" s="791"/>
      <c r="K11" s="791"/>
      <c r="L11" s="791"/>
      <c r="M11" s="791"/>
      <c r="N11" s="791"/>
      <c r="O11" s="791"/>
      <c r="P11" s="791"/>
      <c r="Q11" s="791"/>
      <c r="R11" s="791"/>
      <c r="S11" s="791"/>
      <c r="T11" s="791">
        <f>SUM(C11:S11)</f>
        <v>0</v>
      </c>
      <c r="U11" s="791"/>
      <c r="V11" s="791"/>
      <c r="W11" s="791"/>
      <c r="X11" s="791"/>
      <c r="Y11" s="791"/>
      <c r="Z11" s="791"/>
      <c r="AA11" s="791"/>
      <c r="AB11" s="791"/>
      <c r="AC11" s="791"/>
      <c r="AD11" s="791"/>
      <c r="AE11" s="791"/>
      <c r="AF11" s="820">
        <f>SUM(V11:AE11)</f>
        <v>0</v>
      </c>
    </row>
    <row r="12" spans="1:37" ht="13.8" thickBot="1">
      <c r="A12" s="821">
        <v>8</v>
      </c>
      <c r="B12" s="864" t="s">
        <v>279</v>
      </c>
      <c r="C12" s="822">
        <f t="shared" ref="C12:L12" si="2">C5+C10</f>
        <v>9071</v>
      </c>
      <c r="D12" s="822">
        <f t="shared" si="2"/>
        <v>2268</v>
      </c>
      <c r="E12" s="822">
        <f t="shared" si="2"/>
        <v>33363</v>
      </c>
      <c r="F12" s="822">
        <f t="shared" si="2"/>
        <v>0</v>
      </c>
      <c r="G12" s="822">
        <f t="shared" si="2"/>
        <v>671</v>
      </c>
      <c r="H12" s="822">
        <f t="shared" si="2"/>
        <v>22308</v>
      </c>
      <c r="I12" s="822">
        <f t="shared" si="2"/>
        <v>103703</v>
      </c>
      <c r="J12" s="822">
        <f t="shared" si="2"/>
        <v>31826</v>
      </c>
      <c r="K12" s="822">
        <f t="shared" si="2"/>
        <v>0</v>
      </c>
      <c r="L12" s="822">
        <f t="shared" si="2"/>
        <v>0</v>
      </c>
      <c r="M12" s="822"/>
      <c r="N12" s="822">
        <f t="shared" ref="N12:S12" si="3">N5+N10</f>
        <v>0</v>
      </c>
      <c r="O12" s="822">
        <f t="shared" si="3"/>
        <v>-17577</v>
      </c>
      <c r="P12" s="822">
        <f t="shared" si="3"/>
        <v>-6522</v>
      </c>
      <c r="Q12" s="822">
        <f t="shared" si="3"/>
        <v>-86173</v>
      </c>
      <c r="R12" s="822">
        <f t="shared" si="3"/>
        <v>-34490</v>
      </c>
      <c r="S12" s="822">
        <f t="shared" si="3"/>
        <v>-175</v>
      </c>
      <c r="T12" s="822">
        <f>SUM(C12:S12)</f>
        <v>58273</v>
      </c>
      <c r="U12" s="822">
        <f>U5+U10</f>
        <v>0</v>
      </c>
      <c r="V12" s="822">
        <f>V5+V10</f>
        <v>6173</v>
      </c>
      <c r="W12" s="822"/>
      <c r="X12" s="822">
        <f t="shared" ref="X12:AE12" si="4">X5+X10</f>
        <v>0</v>
      </c>
      <c r="Y12" s="822">
        <f t="shared" si="4"/>
        <v>19212</v>
      </c>
      <c r="Z12" s="822">
        <f t="shared" si="4"/>
        <v>3983</v>
      </c>
      <c r="AA12" s="822">
        <f t="shared" si="4"/>
        <v>28605</v>
      </c>
      <c r="AB12" s="822">
        <f t="shared" si="4"/>
        <v>0</v>
      </c>
      <c r="AC12" s="822">
        <f t="shared" si="4"/>
        <v>300</v>
      </c>
      <c r="AD12" s="822">
        <f t="shared" si="4"/>
        <v>0</v>
      </c>
      <c r="AE12" s="822">
        <f t="shared" si="4"/>
        <v>0</v>
      </c>
      <c r="AF12" s="839">
        <f>SUM(U12:AE12)</f>
        <v>58273</v>
      </c>
    </row>
  </sheetData>
  <mergeCells count="32">
    <mergeCell ref="Q3:Q4"/>
    <mergeCell ref="AA3:AA4"/>
    <mergeCell ref="AB3:AB4"/>
    <mergeCell ref="AC3:AD3"/>
    <mergeCell ref="AE3:AE4"/>
    <mergeCell ref="S3:S4"/>
    <mergeCell ref="U3:U4"/>
    <mergeCell ref="V3:V4"/>
    <mergeCell ref="W3:W4"/>
    <mergeCell ref="X3:X4"/>
    <mergeCell ref="Y3:Z3"/>
    <mergeCell ref="L3:L4"/>
    <mergeCell ref="M3:M4"/>
    <mergeCell ref="N3:N4"/>
    <mergeCell ref="O3:O4"/>
    <mergeCell ref="P3:P4"/>
    <mergeCell ref="AD1:AF1"/>
    <mergeCell ref="A2:A4"/>
    <mergeCell ref="B2:B4"/>
    <mergeCell ref="C2:S2"/>
    <mergeCell ref="T2:T4"/>
    <mergeCell ref="U2:AE2"/>
    <mergeCell ref="AF2:AF4"/>
    <mergeCell ref="C3:C4"/>
    <mergeCell ref="D3:D4"/>
    <mergeCell ref="E3:E4"/>
    <mergeCell ref="R3:R4"/>
    <mergeCell ref="F3:F4"/>
    <mergeCell ref="G3:H3"/>
    <mergeCell ref="I3:I4"/>
    <mergeCell ref="J3:J4"/>
    <mergeCell ref="K3:K4"/>
  </mergeCells>
  <printOptions horizontalCentered="1"/>
  <pageMargins left="0.39370078740157483" right="0.35433070866141736" top="0.9055118110236221" bottom="0.74803149606299213" header="0.31496062992125984" footer="0.31496062992125984"/>
  <pageSetup paperSize="9" scale="51" orientation="landscape" r:id="rId1"/>
  <headerFooter>
    <oddHeader>&amp;C&amp;"Times New Roman CE,Félkövér"&amp;14Konszolidált előirányzat módosítás 
Martonvásár Város Önkormányzata és intézményei 2016. év&amp;R&amp;"Times New Roman CE,Normál"&amp;10
12.e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:C24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9"/>
  <sheetViews>
    <sheetView workbookViewId="0">
      <selection activeCell="D65" sqref="D65"/>
    </sheetView>
  </sheetViews>
  <sheetFormatPr defaultColWidth="9.109375" defaultRowHeight="13.2"/>
  <cols>
    <col min="1" max="1" width="6.33203125" style="96" customWidth="1"/>
    <col min="2" max="2" width="57" style="93" customWidth="1"/>
    <col min="3" max="5" width="10.88671875" style="93" customWidth="1"/>
    <col min="6" max="16384" width="9.109375" style="93"/>
  </cols>
  <sheetData>
    <row r="1" spans="1:7" ht="15.6">
      <c r="A1" s="957"/>
      <c r="B1" s="957"/>
      <c r="C1" s="957"/>
      <c r="D1" s="957"/>
      <c r="E1" s="957"/>
      <c r="G1" s="560"/>
    </row>
    <row r="2" spans="1:7" ht="11.25" customHeight="1">
      <c r="B2" s="456"/>
      <c r="C2" s="960" t="s">
        <v>403</v>
      </c>
      <c r="D2" s="960"/>
      <c r="E2" s="960"/>
    </row>
    <row r="3" spans="1:7" s="89" customFormat="1" ht="15" customHeight="1">
      <c r="A3" s="958" t="s">
        <v>0</v>
      </c>
      <c r="B3" s="958" t="s">
        <v>180</v>
      </c>
      <c r="C3" s="959" t="s">
        <v>623</v>
      </c>
      <c r="D3" s="959"/>
      <c r="E3" s="959"/>
    </row>
    <row r="4" spans="1:7" s="90" customFormat="1">
      <c r="A4" s="958"/>
      <c r="B4" s="958"/>
      <c r="C4" s="921" t="s">
        <v>747</v>
      </c>
      <c r="D4" s="664" t="s">
        <v>745</v>
      </c>
      <c r="E4" s="921" t="s">
        <v>912</v>
      </c>
    </row>
    <row r="5" spans="1:7" s="92" customFormat="1" ht="12.75" customHeight="1">
      <c r="A5" s="74" t="s">
        <v>193</v>
      </c>
      <c r="B5" s="14" t="s">
        <v>192</v>
      </c>
      <c r="C5" s="677">
        <f>+'[4]3.mell. Bevétel'!$E5</f>
        <v>121631</v>
      </c>
      <c r="D5" s="677"/>
      <c r="E5" s="677">
        <f>+C5+D5</f>
        <v>121631</v>
      </c>
    </row>
    <row r="6" spans="1:7" s="92" customFormat="1" ht="12.75" customHeight="1">
      <c r="A6" s="74" t="s">
        <v>195</v>
      </c>
      <c r="B6" s="66" t="s">
        <v>194</v>
      </c>
      <c r="C6" s="677">
        <f>+'[4]3.mell. Bevétel'!$E6</f>
        <v>301826</v>
      </c>
      <c r="D6" s="677"/>
      <c r="E6" s="677">
        <f t="shared" ref="E6:E10" si="0">+C6+D6</f>
        <v>301826</v>
      </c>
    </row>
    <row r="7" spans="1:7" s="92" customFormat="1" ht="12.75" customHeight="1">
      <c r="A7" s="74" t="s">
        <v>197</v>
      </c>
      <c r="B7" s="66" t="s">
        <v>196</v>
      </c>
      <c r="C7" s="677">
        <f>+'[4]3.mell. Bevétel'!$E7</f>
        <v>166483</v>
      </c>
      <c r="D7" s="677"/>
      <c r="E7" s="677">
        <f t="shared" si="0"/>
        <v>166483</v>
      </c>
    </row>
    <row r="8" spans="1:7" ht="12.75" customHeight="1">
      <c r="A8" s="74" t="s">
        <v>199</v>
      </c>
      <c r="B8" s="66" t="s">
        <v>198</v>
      </c>
      <c r="C8" s="677">
        <f>+'[4]3.mell. Bevétel'!$E8</f>
        <v>6424</v>
      </c>
      <c r="D8" s="677"/>
      <c r="E8" s="677">
        <f t="shared" si="0"/>
        <v>6424</v>
      </c>
    </row>
    <row r="9" spans="1:7" s="94" customFormat="1" ht="12.75" customHeight="1">
      <c r="A9" s="74" t="s">
        <v>200</v>
      </c>
      <c r="B9" s="66" t="s">
        <v>714</v>
      </c>
      <c r="C9" s="677">
        <f>+'[4]3.mell. Bevétel'!$E9</f>
        <v>2176</v>
      </c>
      <c r="D9" s="678"/>
      <c r="E9" s="677">
        <f t="shared" si="0"/>
        <v>2176</v>
      </c>
    </row>
    <row r="10" spans="1:7" s="94" customFormat="1" ht="12.75" customHeight="1">
      <c r="A10" s="74" t="s">
        <v>201</v>
      </c>
      <c r="B10" s="66" t="s">
        <v>715</v>
      </c>
      <c r="C10" s="677">
        <f>+'[4]3.mell. Bevétel'!$E10</f>
        <v>0</v>
      </c>
      <c r="D10" s="678"/>
      <c r="E10" s="677">
        <f t="shared" si="0"/>
        <v>0</v>
      </c>
    </row>
    <row r="11" spans="1:7" ht="12.75" customHeight="1">
      <c r="A11" s="85" t="s">
        <v>202</v>
      </c>
      <c r="B11" s="67" t="s">
        <v>330</v>
      </c>
      <c r="C11" s="679">
        <f>SUM(C5:C10)</f>
        <v>598540</v>
      </c>
      <c r="D11" s="679">
        <f t="shared" ref="D11:E11" si="1">SUM(D5:D10)</f>
        <v>0</v>
      </c>
      <c r="E11" s="679">
        <f t="shared" si="1"/>
        <v>598540</v>
      </c>
    </row>
    <row r="12" spans="1:7" ht="12.75" customHeight="1">
      <c r="A12" s="600" t="s">
        <v>204</v>
      </c>
      <c r="B12" s="67" t="s">
        <v>203</v>
      </c>
      <c r="C12" s="679">
        <f>SUM(C13:C22)</f>
        <v>38363</v>
      </c>
      <c r="D12" s="679">
        <f>SUM(D13:D22)</f>
        <v>16212</v>
      </c>
      <c r="E12" s="679">
        <f t="shared" ref="D12:E12" si="2">SUM(E13:E22)</f>
        <v>54575</v>
      </c>
    </row>
    <row r="13" spans="1:7" s="109" customFormat="1" ht="12.75" customHeight="1">
      <c r="A13" s="106"/>
      <c r="B13" s="107" t="s">
        <v>331</v>
      </c>
      <c r="C13" s="680">
        <f>+'[4]3.mell. Bevétel'!$E13</f>
        <v>4777</v>
      </c>
      <c r="D13" s="680">
        <v>5823</v>
      </c>
      <c r="E13" s="680">
        <f>+C13+D13</f>
        <v>10600</v>
      </c>
    </row>
    <row r="14" spans="1:7" s="109" customFormat="1" ht="12.75" customHeight="1">
      <c r="A14" s="106"/>
      <c r="B14" s="107" t="s">
        <v>321</v>
      </c>
      <c r="C14" s="680">
        <f>+'[4]3.mell. Bevétel'!$E14</f>
        <v>0</v>
      </c>
      <c r="D14" s="680"/>
      <c r="E14" s="680">
        <f t="shared" ref="E14:E22" si="3">+C14+D14</f>
        <v>0</v>
      </c>
    </row>
    <row r="15" spans="1:7" s="109" customFormat="1" ht="12.75" customHeight="1">
      <c r="A15" s="106"/>
      <c r="B15" s="107" t="s">
        <v>322</v>
      </c>
      <c r="C15" s="680">
        <f>+'[4]3.mell. Bevétel'!$E15</f>
        <v>0</v>
      </c>
      <c r="D15" s="680"/>
      <c r="E15" s="680">
        <f t="shared" si="3"/>
        <v>0</v>
      </c>
    </row>
    <row r="16" spans="1:7" s="109" customFormat="1" ht="12.75" customHeight="1">
      <c r="A16" s="106"/>
      <c r="B16" s="107" t="s">
        <v>323</v>
      </c>
      <c r="C16" s="680">
        <f>+'[4]3.mell. Bevétel'!$E16</f>
        <v>14130</v>
      </c>
      <c r="D16" s="680"/>
      <c r="E16" s="680">
        <f t="shared" si="3"/>
        <v>14130</v>
      </c>
    </row>
    <row r="17" spans="1:5" s="109" customFormat="1" ht="12.75" customHeight="1">
      <c r="A17" s="106"/>
      <c r="B17" s="107" t="s">
        <v>324</v>
      </c>
      <c r="C17" s="680">
        <f>+'[4]3.mell. Bevétel'!$E17</f>
        <v>13100</v>
      </c>
      <c r="D17" s="680">
        <v>864</v>
      </c>
      <c r="E17" s="680">
        <f t="shared" si="3"/>
        <v>13964</v>
      </c>
    </row>
    <row r="18" spans="1:5" s="109" customFormat="1" ht="12.75" customHeight="1">
      <c r="A18" s="106"/>
      <c r="B18" s="107" t="s">
        <v>325</v>
      </c>
      <c r="C18" s="680">
        <f>+'[4]3.mell. Bevétel'!$E18</f>
        <v>0</v>
      </c>
      <c r="D18" s="680"/>
      <c r="E18" s="680">
        <f t="shared" si="3"/>
        <v>0</v>
      </c>
    </row>
    <row r="19" spans="1:5" s="109" customFormat="1" ht="12.75" customHeight="1">
      <c r="A19" s="106"/>
      <c r="B19" s="107" t="s">
        <v>100</v>
      </c>
      <c r="C19" s="680">
        <f>+'[4]3.mell. Bevétel'!$E19</f>
        <v>1177</v>
      </c>
      <c r="D19" s="680"/>
      <c r="E19" s="680">
        <f t="shared" si="3"/>
        <v>1177</v>
      </c>
    </row>
    <row r="20" spans="1:5" s="109" customFormat="1" ht="12.75" customHeight="1">
      <c r="A20" s="106"/>
      <c r="B20" s="107" t="s">
        <v>101</v>
      </c>
      <c r="C20" s="680">
        <f>+'[4]3.mell. Bevétel'!$E20</f>
        <v>5179</v>
      </c>
      <c r="D20" s="680">
        <v>9525</v>
      </c>
      <c r="E20" s="680">
        <f t="shared" si="3"/>
        <v>14704</v>
      </c>
    </row>
    <row r="21" spans="1:5" s="109" customFormat="1" ht="12.75" customHeight="1">
      <c r="A21" s="106"/>
      <c r="B21" s="107" t="s">
        <v>326</v>
      </c>
      <c r="C21" s="680">
        <f>+'[4]3.mell. Bevétel'!$E21</f>
        <v>0</v>
      </c>
      <c r="D21" s="680"/>
      <c r="E21" s="680">
        <f t="shared" si="3"/>
        <v>0</v>
      </c>
    </row>
    <row r="22" spans="1:5" s="109" customFormat="1" ht="12.75" customHeight="1">
      <c r="A22" s="106"/>
      <c r="B22" s="107" t="s">
        <v>327</v>
      </c>
      <c r="C22" s="680">
        <f>+'[4]3.mell. Bevétel'!$E22</f>
        <v>0</v>
      </c>
      <c r="D22" s="680"/>
      <c r="E22" s="680">
        <f t="shared" si="3"/>
        <v>0</v>
      </c>
    </row>
    <row r="23" spans="1:5" ht="12.75" customHeight="1">
      <c r="A23" s="85" t="s">
        <v>205</v>
      </c>
      <c r="B23" s="67" t="s">
        <v>328</v>
      </c>
      <c r="C23" s="679">
        <f>+C11+C12</f>
        <v>636903</v>
      </c>
      <c r="D23" s="679">
        <f t="shared" ref="D23:E23" si="4">+D11+D12</f>
        <v>16212</v>
      </c>
      <c r="E23" s="679">
        <f t="shared" si="4"/>
        <v>653115</v>
      </c>
    </row>
    <row r="24" spans="1:5" ht="12.75" customHeight="1">
      <c r="A24" s="74" t="s">
        <v>404</v>
      </c>
      <c r="B24" s="66" t="s">
        <v>405</v>
      </c>
      <c r="C24" s="677">
        <f>+'[4]3.mell. Bevétel'!$E24</f>
        <v>0</v>
      </c>
      <c r="D24" s="677"/>
      <c r="E24" s="677">
        <f>+C24+D24</f>
        <v>0</v>
      </c>
    </row>
    <row r="25" spans="1:5" ht="12.75" customHeight="1">
      <c r="A25" s="74" t="s">
        <v>393</v>
      </c>
      <c r="B25" s="66" t="s">
        <v>394</v>
      </c>
      <c r="C25" s="677">
        <f>+'[4]3.mell. Bevétel'!$E25</f>
        <v>0</v>
      </c>
      <c r="D25" s="677"/>
      <c r="E25" s="677">
        <f t="shared" ref="E25:E36" si="5">+C25+D25</f>
        <v>0</v>
      </c>
    </row>
    <row r="26" spans="1:5" ht="12.75" customHeight="1">
      <c r="A26" s="74" t="s">
        <v>207</v>
      </c>
      <c r="B26" s="66" t="s">
        <v>206</v>
      </c>
      <c r="C26" s="677">
        <f>+'[4]3.mell. Bevétel'!$E26</f>
        <v>0</v>
      </c>
      <c r="D26" s="677">
        <f>SUM(D27:D36)</f>
        <v>300</v>
      </c>
      <c r="E26" s="677">
        <f t="shared" si="5"/>
        <v>300</v>
      </c>
    </row>
    <row r="27" spans="1:5" s="109" customFormat="1" ht="12.75" customHeight="1">
      <c r="A27" s="106"/>
      <c r="B27" s="107" t="s">
        <v>320</v>
      </c>
      <c r="C27" s="677">
        <f>+'[4]3.mell. Bevétel'!$E27</f>
        <v>0</v>
      </c>
      <c r="D27" s="680"/>
      <c r="E27" s="677">
        <f t="shared" si="5"/>
        <v>0</v>
      </c>
    </row>
    <row r="28" spans="1:5" s="109" customFormat="1" ht="12.75" customHeight="1">
      <c r="A28" s="106"/>
      <c r="B28" s="107" t="s">
        <v>321</v>
      </c>
      <c r="C28" s="677">
        <f>+'[4]3.mell. Bevétel'!$E28</f>
        <v>0</v>
      </c>
      <c r="D28" s="680"/>
      <c r="E28" s="677">
        <f t="shared" si="5"/>
        <v>0</v>
      </c>
    </row>
    <row r="29" spans="1:5" s="109" customFormat="1" ht="30.75" customHeight="1">
      <c r="A29" s="106"/>
      <c r="B29" s="107" t="s">
        <v>322</v>
      </c>
      <c r="C29" s="677">
        <f>+'[4]3.mell. Bevétel'!$E29</f>
        <v>0</v>
      </c>
      <c r="D29" s="680"/>
      <c r="E29" s="677">
        <f t="shared" si="5"/>
        <v>0</v>
      </c>
    </row>
    <row r="30" spans="1:5" s="109" customFormat="1" ht="12.75" customHeight="1">
      <c r="A30" s="106"/>
      <c r="B30" s="107" t="s">
        <v>323</v>
      </c>
      <c r="C30" s="677">
        <f>+'[4]3.mell. Bevétel'!$E30</f>
        <v>0</v>
      </c>
      <c r="D30" s="680"/>
      <c r="E30" s="677">
        <f t="shared" si="5"/>
        <v>0</v>
      </c>
    </row>
    <row r="31" spans="1:5" s="109" customFormat="1" ht="12.75" customHeight="1">
      <c r="A31" s="106"/>
      <c r="B31" s="107" t="s">
        <v>324</v>
      </c>
      <c r="C31" s="677">
        <f>+'[4]3.mell. Bevétel'!$E31</f>
        <v>0</v>
      </c>
      <c r="D31" s="680"/>
      <c r="E31" s="677">
        <f t="shared" si="5"/>
        <v>0</v>
      </c>
    </row>
    <row r="32" spans="1:5" s="109" customFormat="1" ht="12.75" customHeight="1">
      <c r="A32" s="106"/>
      <c r="B32" s="107" t="s">
        <v>325</v>
      </c>
      <c r="C32" s="677">
        <f>+'[4]3.mell. Bevétel'!$E32</f>
        <v>0</v>
      </c>
      <c r="D32" s="680">
        <v>300</v>
      </c>
      <c r="E32" s="677">
        <f t="shared" si="5"/>
        <v>300</v>
      </c>
    </row>
    <row r="33" spans="1:5" s="109" customFormat="1" ht="12.75" customHeight="1">
      <c r="A33" s="106"/>
      <c r="B33" s="107" t="s">
        <v>100</v>
      </c>
      <c r="C33" s="677">
        <f>+'[4]3.mell. Bevétel'!$E33</f>
        <v>0</v>
      </c>
      <c r="D33" s="680"/>
      <c r="E33" s="677">
        <f t="shared" si="5"/>
        <v>0</v>
      </c>
    </row>
    <row r="34" spans="1:5" s="109" customFormat="1" ht="12.75" customHeight="1">
      <c r="A34" s="106"/>
      <c r="B34" s="107" t="s">
        <v>101</v>
      </c>
      <c r="C34" s="677">
        <f>+'[4]3.mell. Bevétel'!$E34</f>
        <v>0</v>
      </c>
      <c r="D34" s="680"/>
      <c r="E34" s="677">
        <f t="shared" si="5"/>
        <v>0</v>
      </c>
    </row>
    <row r="35" spans="1:5" s="109" customFormat="1" ht="12.75" customHeight="1">
      <c r="A35" s="106"/>
      <c r="B35" s="107" t="s">
        <v>326</v>
      </c>
      <c r="C35" s="677">
        <f>+'[4]3.mell. Bevétel'!$E35</f>
        <v>0</v>
      </c>
      <c r="D35" s="680"/>
      <c r="E35" s="677">
        <f t="shared" si="5"/>
        <v>0</v>
      </c>
    </row>
    <row r="36" spans="1:5" s="109" customFormat="1" ht="12.75" customHeight="1">
      <c r="A36" s="106"/>
      <c r="B36" s="107" t="s">
        <v>327</v>
      </c>
      <c r="C36" s="677">
        <f>+'[4]3.mell. Bevétel'!$E36</f>
        <v>0</v>
      </c>
      <c r="D36" s="680"/>
      <c r="E36" s="677">
        <f t="shared" si="5"/>
        <v>0</v>
      </c>
    </row>
    <row r="37" spans="1:5" ht="12.75" customHeight="1">
      <c r="A37" s="85" t="s">
        <v>208</v>
      </c>
      <c r="B37" s="67" t="s">
        <v>329</v>
      </c>
      <c r="C37" s="679">
        <f>+C26+C25+C24</f>
        <v>0</v>
      </c>
      <c r="D37" s="679">
        <f t="shared" ref="D37:E37" si="6">+D26+D25+D24</f>
        <v>300</v>
      </c>
      <c r="E37" s="679">
        <f t="shared" si="6"/>
        <v>300</v>
      </c>
    </row>
    <row r="38" spans="1:5" ht="12.75" customHeight="1">
      <c r="A38" s="74" t="s">
        <v>210</v>
      </c>
      <c r="B38" s="66" t="s">
        <v>209</v>
      </c>
      <c r="C38" s="677"/>
      <c r="D38" s="677"/>
      <c r="E38" s="677"/>
    </row>
    <row r="39" spans="1:5" ht="12.75" customHeight="1">
      <c r="A39" s="74" t="s">
        <v>212</v>
      </c>
      <c r="B39" s="66" t="s">
        <v>211</v>
      </c>
      <c r="C39" s="677"/>
      <c r="D39" s="677"/>
      <c r="E39" s="677"/>
    </row>
    <row r="40" spans="1:5" s="96" customFormat="1" ht="12.75" customHeight="1">
      <c r="A40" s="85" t="s">
        <v>213</v>
      </c>
      <c r="B40" s="67" t="s">
        <v>332</v>
      </c>
      <c r="C40" s="679">
        <f>SUM(C38:C39)</f>
        <v>0</v>
      </c>
      <c r="D40" s="679">
        <f t="shared" ref="D40:E40" si="7">SUM(D38:D39)</f>
        <v>0</v>
      </c>
      <c r="E40" s="679">
        <f t="shared" si="7"/>
        <v>0</v>
      </c>
    </row>
    <row r="41" spans="1:5" ht="12.75" customHeight="1">
      <c r="A41" s="74" t="s">
        <v>215</v>
      </c>
      <c r="B41" s="66" t="s">
        <v>214</v>
      </c>
      <c r="C41" s="677"/>
      <c r="D41" s="677"/>
      <c r="E41" s="677"/>
    </row>
    <row r="42" spans="1:5" ht="12.75" customHeight="1">
      <c r="A42" s="74" t="s">
        <v>217</v>
      </c>
      <c r="B42" s="66" t="s">
        <v>216</v>
      </c>
      <c r="C42" s="677"/>
      <c r="D42" s="677"/>
      <c r="E42" s="677"/>
    </row>
    <row r="43" spans="1:5" ht="12.75" customHeight="1">
      <c r="A43" s="85" t="s">
        <v>219</v>
      </c>
      <c r="B43" s="67" t="s">
        <v>218</v>
      </c>
      <c r="C43" s="679">
        <f>+C44+C45+C46</f>
        <v>147800</v>
      </c>
      <c r="D43" s="679">
        <f t="shared" ref="D43:E43" si="8">+D44+D45+D46</f>
        <v>0</v>
      </c>
      <c r="E43" s="679">
        <f t="shared" si="8"/>
        <v>147800</v>
      </c>
    </row>
    <row r="44" spans="1:5" ht="12.75" customHeight="1">
      <c r="A44" s="74"/>
      <c r="B44" s="107" t="s">
        <v>381</v>
      </c>
      <c r="C44" s="677">
        <f>+'[4]3.mell. Bevétel'!$E44</f>
        <v>19000</v>
      </c>
      <c r="D44" s="677"/>
      <c r="E44" s="677">
        <f>+C44+D44</f>
        <v>19000</v>
      </c>
    </row>
    <row r="45" spans="1:5" ht="12.75" customHeight="1">
      <c r="A45" s="74"/>
      <c r="B45" s="107" t="s">
        <v>382</v>
      </c>
      <c r="C45" s="677">
        <f>+'[4]3.mell. Bevétel'!$E45</f>
        <v>76900</v>
      </c>
      <c r="D45" s="677"/>
      <c r="E45" s="677">
        <f t="shared" ref="E45:E51" si="9">+C45+D45</f>
        <v>76900</v>
      </c>
    </row>
    <row r="46" spans="1:5" ht="12.75" customHeight="1">
      <c r="A46" s="74"/>
      <c r="B46" s="107" t="s">
        <v>383</v>
      </c>
      <c r="C46" s="677">
        <f>+'[4]3.mell. Bevétel'!$E46</f>
        <v>51900</v>
      </c>
      <c r="D46" s="677"/>
      <c r="E46" s="677">
        <f t="shared" si="9"/>
        <v>51900</v>
      </c>
    </row>
    <row r="47" spans="1:5" s="92" customFormat="1" ht="12.75" customHeight="1">
      <c r="A47" s="651" t="s">
        <v>221</v>
      </c>
      <c r="B47" s="67" t="s">
        <v>220</v>
      </c>
      <c r="C47" s="679">
        <v>115000</v>
      </c>
      <c r="D47" s="679"/>
      <c r="E47" s="677">
        <f t="shared" si="9"/>
        <v>115000</v>
      </c>
    </row>
    <row r="48" spans="1:5" ht="12.75" customHeight="1">
      <c r="A48" s="74" t="s">
        <v>223</v>
      </c>
      <c r="B48" s="66" t="s">
        <v>222</v>
      </c>
      <c r="C48" s="677">
        <f>+'[4]3.mell. Bevétel'!$E48</f>
        <v>0</v>
      </c>
      <c r="D48" s="677"/>
      <c r="E48" s="677">
        <f t="shared" si="9"/>
        <v>0</v>
      </c>
    </row>
    <row r="49" spans="1:5" ht="12.75" customHeight="1">
      <c r="A49" s="74" t="s">
        <v>225</v>
      </c>
      <c r="B49" s="66" t="s">
        <v>224</v>
      </c>
      <c r="C49" s="677">
        <f>+'[4]3.mell. Bevétel'!$E49</f>
        <v>0</v>
      </c>
      <c r="D49" s="677"/>
      <c r="E49" s="677">
        <f t="shared" si="9"/>
        <v>0</v>
      </c>
    </row>
    <row r="50" spans="1:5" ht="12.75" customHeight="1">
      <c r="A50" s="74" t="s">
        <v>227</v>
      </c>
      <c r="B50" s="66" t="s">
        <v>226</v>
      </c>
      <c r="C50" s="677">
        <f>+'[4]3.mell. Bevétel'!$E50</f>
        <v>18000</v>
      </c>
      <c r="D50" s="677"/>
      <c r="E50" s="677">
        <f t="shared" si="9"/>
        <v>18000</v>
      </c>
    </row>
    <row r="51" spans="1:5" ht="12.75" customHeight="1">
      <c r="A51" s="74" t="s">
        <v>229</v>
      </c>
      <c r="B51" s="66" t="s">
        <v>228</v>
      </c>
      <c r="C51" s="677">
        <f>+'[4]3.mell. Bevétel'!$E51</f>
        <v>2000</v>
      </c>
      <c r="D51" s="677"/>
      <c r="E51" s="677">
        <f t="shared" si="9"/>
        <v>2000</v>
      </c>
    </row>
    <row r="52" spans="1:5" ht="12.75" customHeight="1">
      <c r="A52" s="85" t="s">
        <v>230</v>
      </c>
      <c r="B52" s="67" t="s">
        <v>333</v>
      </c>
      <c r="C52" s="679">
        <f>+C51+C50+C49+C48+C47</f>
        <v>135000</v>
      </c>
      <c r="D52" s="679">
        <f t="shared" ref="D52:E52" si="10">+D51+D50+D49+D48+D47</f>
        <v>0</v>
      </c>
      <c r="E52" s="679">
        <f t="shared" si="10"/>
        <v>135000</v>
      </c>
    </row>
    <row r="53" spans="1:5" ht="12.75" customHeight="1">
      <c r="A53" s="85" t="s">
        <v>232</v>
      </c>
      <c r="B53" s="67" t="s">
        <v>231</v>
      </c>
      <c r="C53" s="679">
        <f>+'[4]3.mell. Bevétel'!$E53</f>
        <v>1700</v>
      </c>
      <c r="D53" s="677"/>
      <c r="E53" s="677">
        <f>+C53+D53</f>
        <v>1700</v>
      </c>
    </row>
    <row r="54" spans="1:5" ht="12.75" customHeight="1">
      <c r="A54" s="85" t="s">
        <v>233</v>
      </c>
      <c r="B54" s="67" t="s">
        <v>334</v>
      </c>
      <c r="C54" s="679">
        <f>+C53+C52+C40+C41+C42+C43</f>
        <v>284500</v>
      </c>
      <c r="D54" s="679">
        <f t="shared" ref="D54:E54" si="11">+D53+D52+D40+D41+D42+D43</f>
        <v>0</v>
      </c>
      <c r="E54" s="679">
        <f t="shared" si="11"/>
        <v>284500</v>
      </c>
    </row>
    <row r="55" spans="1:5" ht="12.75" customHeight="1">
      <c r="A55" s="74" t="s">
        <v>235</v>
      </c>
      <c r="B55" s="66" t="s">
        <v>234</v>
      </c>
      <c r="C55" s="677">
        <f>+'[4]3.mell. Bevétel'!$E55</f>
        <v>0</v>
      </c>
      <c r="D55" s="677"/>
      <c r="E55" s="677">
        <f>+C55+D55</f>
        <v>0</v>
      </c>
    </row>
    <row r="56" spans="1:5" ht="12.75" customHeight="1">
      <c r="A56" s="74" t="s">
        <v>237</v>
      </c>
      <c r="B56" s="66" t="s">
        <v>236</v>
      </c>
      <c r="C56" s="677">
        <f>+'[4]3.mell. Bevétel'!$E56</f>
        <v>2495</v>
      </c>
      <c r="D56" s="677">
        <f>1248+807</f>
        <v>2055</v>
      </c>
      <c r="E56" s="677">
        <f t="shared" ref="E56:E64" si="12">+C56+D56</f>
        <v>4550</v>
      </c>
    </row>
    <row r="57" spans="1:5" ht="12.75" customHeight="1">
      <c r="A57" s="74" t="s">
        <v>239</v>
      </c>
      <c r="B57" s="66" t="s">
        <v>238</v>
      </c>
      <c r="C57" s="677">
        <f>+'[4]3.mell. Bevétel'!$E57</f>
        <v>2800</v>
      </c>
      <c r="D57" s="677"/>
      <c r="E57" s="677">
        <f t="shared" si="12"/>
        <v>2800</v>
      </c>
    </row>
    <row r="58" spans="1:5" ht="12.75" customHeight="1">
      <c r="A58" s="74" t="s">
        <v>241</v>
      </c>
      <c r="B58" s="66" t="s">
        <v>240</v>
      </c>
      <c r="C58" s="677">
        <f>+'[4]3.mell. Bevétel'!$E58</f>
        <v>17343</v>
      </c>
      <c r="D58" s="677">
        <v>1597</v>
      </c>
      <c r="E58" s="677">
        <f t="shared" si="12"/>
        <v>18940</v>
      </c>
    </row>
    <row r="59" spans="1:5" ht="12.75" customHeight="1">
      <c r="A59" s="74" t="s">
        <v>243</v>
      </c>
      <c r="B59" s="66" t="s">
        <v>242</v>
      </c>
      <c r="C59" s="677">
        <f>+'[4]3.mell. Bevétel'!$E59</f>
        <v>0</v>
      </c>
      <c r="D59" s="677"/>
      <c r="E59" s="677">
        <f t="shared" si="12"/>
        <v>0</v>
      </c>
    </row>
    <row r="60" spans="1:5" ht="12.75" customHeight="1">
      <c r="A60" s="74" t="s">
        <v>245</v>
      </c>
      <c r="B60" s="66" t="s">
        <v>244</v>
      </c>
      <c r="C60" s="677">
        <f>+'[4]3.mell. Bevétel'!$E60</f>
        <v>5631</v>
      </c>
      <c r="D60" s="677"/>
      <c r="E60" s="677">
        <f t="shared" si="12"/>
        <v>5631</v>
      </c>
    </row>
    <row r="61" spans="1:5" ht="12.75" customHeight="1">
      <c r="A61" s="74" t="s">
        <v>247</v>
      </c>
      <c r="B61" s="66" t="s">
        <v>246</v>
      </c>
      <c r="C61" s="677">
        <f>+'[4]3.mell. Bevétel'!$E61</f>
        <v>4846</v>
      </c>
      <c r="D61" s="677"/>
      <c r="E61" s="677">
        <f t="shared" si="12"/>
        <v>4846</v>
      </c>
    </row>
    <row r="62" spans="1:5" ht="12.75" customHeight="1">
      <c r="A62" s="74" t="s">
        <v>249</v>
      </c>
      <c r="B62" s="66" t="s">
        <v>248</v>
      </c>
      <c r="C62" s="677">
        <f>+'[4]3.mell. Bevétel'!$E62</f>
        <v>0</v>
      </c>
      <c r="D62" s="677"/>
      <c r="E62" s="677">
        <f t="shared" si="12"/>
        <v>0</v>
      </c>
    </row>
    <row r="63" spans="1:5" ht="12.75" customHeight="1">
      <c r="A63" s="74" t="s">
        <v>251</v>
      </c>
      <c r="B63" s="66" t="s">
        <v>250</v>
      </c>
      <c r="C63" s="677">
        <f>+'[4]3.mell. Bevétel'!$E63</f>
        <v>0</v>
      </c>
      <c r="D63" s="677"/>
      <c r="E63" s="677">
        <f t="shared" si="12"/>
        <v>0</v>
      </c>
    </row>
    <row r="64" spans="1:5" ht="12.75" customHeight="1">
      <c r="A64" s="74" t="s">
        <v>713</v>
      </c>
      <c r="B64" s="66" t="s">
        <v>252</v>
      </c>
      <c r="C64" s="677">
        <f>+'[4]3.mell. Bevétel'!$E64</f>
        <v>0</v>
      </c>
      <c r="D64" s="677">
        <f>310+100</f>
        <v>410</v>
      </c>
      <c r="E64" s="677">
        <f t="shared" si="12"/>
        <v>410</v>
      </c>
    </row>
    <row r="65" spans="1:5" ht="12.75" customHeight="1">
      <c r="A65" s="85" t="s">
        <v>253</v>
      </c>
      <c r="B65" s="67" t="s">
        <v>278</v>
      </c>
      <c r="C65" s="679">
        <f>SUM(C55:C64)</f>
        <v>33115</v>
      </c>
      <c r="D65" s="679">
        <f t="shared" ref="D65:E65" si="13">SUM(D55:D64)</f>
        <v>4062</v>
      </c>
      <c r="E65" s="679">
        <f t="shared" si="13"/>
        <v>37177</v>
      </c>
    </row>
    <row r="66" spans="1:5" ht="12.75" customHeight="1">
      <c r="A66" s="85" t="s">
        <v>254</v>
      </c>
      <c r="B66" s="67" t="s">
        <v>277</v>
      </c>
      <c r="C66" s="679">
        <v>21000</v>
      </c>
      <c r="D66" s="679">
        <v>28605</v>
      </c>
      <c r="E66" s="679">
        <f>+C66+D66</f>
        <v>49605</v>
      </c>
    </row>
    <row r="67" spans="1:5" ht="12.75" customHeight="1">
      <c r="A67" s="74" t="s">
        <v>717</v>
      </c>
      <c r="B67" s="66" t="s">
        <v>533</v>
      </c>
      <c r="C67" s="677">
        <f>+'[4]3.mell. Bevétel'!$E67</f>
        <v>15000</v>
      </c>
      <c r="D67" s="677">
        <v>2500</v>
      </c>
      <c r="E67" s="677">
        <f>+C67+D67</f>
        <v>17500</v>
      </c>
    </row>
    <row r="68" spans="1:5" ht="12.75" customHeight="1">
      <c r="A68" s="74" t="s">
        <v>716</v>
      </c>
      <c r="B68" s="66" t="s">
        <v>255</v>
      </c>
      <c r="C68" s="677">
        <f>+'[4]3.mell. Bevétel'!$E68</f>
        <v>42</v>
      </c>
      <c r="D68" s="677">
        <v>1483</v>
      </c>
      <c r="E68" s="677">
        <f>+C68+D68</f>
        <v>1525</v>
      </c>
    </row>
    <row r="69" spans="1:5" ht="12.75" customHeight="1">
      <c r="A69" s="85" t="s">
        <v>257</v>
      </c>
      <c r="B69" s="67" t="s">
        <v>276</v>
      </c>
      <c r="C69" s="679">
        <f>+C68+C67</f>
        <v>15042</v>
      </c>
      <c r="D69" s="679">
        <f t="shared" ref="D69:E69" si="14">+D68+D67</f>
        <v>3983</v>
      </c>
      <c r="E69" s="679">
        <f t="shared" si="14"/>
        <v>19025</v>
      </c>
    </row>
    <row r="70" spans="1:5" ht="12.75" customHeight="1">
      <c r="A70" s="74" t="s">
        <v>718</v>
      </c>
      <c r="B70" s="66" t="s">
        <v>258</v>
      </c>
      <c r="C70" s="677">
        <f>+'[4]3.mell. Bevétel'!$E70</f>
        <v>0</v>
      </c>
      <c r="D70" s="677"/>
      <c r="E70" s="677"/>
    </row>
    <row r="71" spans="1:5" ht="12.75" customHeight="1">
      <c r="A71" s="85" t="s">
        <v>260</v>
      </c>
      <c r="B71" s="67" t="s">
        <v>281</v>
      </c>
      <c r="C71" s="679">
        <f>+C70</f>
        <v>0</v>
      </c>
      <c r="D71" s="679">
        <f t="shared" ref="D71:E71" si="15">+D70</f>
        <v>0</v>
      </c>
      <c r="E71" s="679">
        <f t="shared" si="15"/>
        <v>0</v>
      </c>
    </row>
    <row r="72" spans="1:5" ht="12.75" customHeight="1">
      <c r="A72" s="85" t="s">
        <v>261</v>
      </c>
      <c r="B72" s="67" t="s">
        <v>274</v>
      </c>
      <c r="C72" s="679">
        <f>+C71+C69+C66+C65+C54+C37+C23</f>
        <v>990560</v>
      </c>
      <c r="D72" s="679">
        <f t="shared" ref="D72:E72" si="16">+D71+D69+D66+D65+D54+D37+D23</f>
        <v>53162</v>
      </c>
      <c r="E72" s="679">
        <f t="shared" si="16"/>
        <v>1043722</v>
      </c>
    </row>
    <row r="73" spans="1:5" ht="12.75" customHeight="1">
      <c r="A73" s="525" t="s">
        <v>600</v>
      </c>
      <c r="B73" s="66" t="s">
        <v>601</v>
      </c>
      <c r="C73" s="677">
        <f>+'[4]3.mell. Bevétel'!$E73</f>
        <v>0</v>
      </c>
      <c r="D73" s="677"/>
      <c r="E73" s="677"/>
    </row>
    <row r="74" spans="1:5" s="92" customFormat="1" ht="12.75" customHeight="1">
      <c r="A74" s="70" t="s">
        <v>603</v>
      </c>
      <c r="B74" s="67" t="s">
        <v>602</v>
      </c>
      <c r="C74" s="679">
        <f t="shared" ref="C74:E74" si="17">+C73</f>
        <v>0</v>
      </c>
      <c r="D74" s="679">
        <f t="shared" si="17"/>
        <v>0</v>
      </c>
      <c r="E74" s="679">
        <f t="shared" si="17"/>
        <v>0</v>
      </c>
    </row>
    <row r="75" spans="1:5">
      <c r="A75" s="83" t="s">
        <v>271</v>
      </c>
      <c r="B75" s="66" t="s">
        <v>270</v>
      </c>
      <c r="C75" s="681">
        <f>+C76+C77</f>
        <v>411758</v>
      </c>
      <c r="D75" s="681">
        <f t="shared" ref="D75:E75" si="18">+D76+D77</f>
        <v>0</v>
      </c>
      <c r="E75" s="681">
        <f t="shared" si="18"/>
        <v>411758</v>
      </c>
    </row>
    <row r="76" spans="1:5" s="109" customFormat="1">
      <c r="A76" s="236"/>
      <c r="B76" s="214" t="s">
        <v>410</v>
      </c>
      <c r="C76" s="680">
        <f>+'[4]3.mell. Bevétel'!$E76</f>
        <v>55952</v>
      </c>
      <c r="D76" s="680"/>
      <c r="E76" s="680">
        <f>+C76+D76</f>
        <v>55952</v>
      </c>
    </row>
    <row r="77" spans="1:5" s="109" customFormat="1">
      <c r="A77" s="236"/>
      <c r="B77" s="214" t="s">
        <v>411</v>
      </c>
      <c r="C77" s="680">
        <f>+'[4]3.mell. Bevétel'!$E77</f>
        <v>355806</v>
      </c>
      <c r="D77" s="680"/>
      <c r="E77" s="680">
        <f>+C77+D77</f>
        <v>355806</v>
      </c>
    </row>
    <row r="78" spans="1:5">
      <c r="A78" s="84" t="s">
        <v>272</v>
      </c>
      <c r="B78" s="84" t="s">
        <v>335</v>
      </c>
      <c r="C78" s="679">
        <f>+C75</f>
        <v>411758</v>
      </c>
      <c r="D78" s="679">
        <f t="shared" ref="D78:E78" si="19">+D75</f>
        <v>0</v>
      </c>
      <c r="E78" s="679">
        <f t="shared" si="19"/>
        <v>411758</v>
      </c>
    </row>
    <row r="79" spans="1:5">
      <c r="A79" s="84" t="s">
        <v>273</v>
      </c>
      <c r="B79" s="70" t="s">
        <v>336</v>
      </c>
      <c r="C79" s="679">
        <f>+C78+C74</f>
        <v>411758</v>
      </c>
      <c r="D79" s="679">
        <f t="shared" ref="D79:E79" si="20">+D78+D74</f>
        <v>0</v>
      </c>
      <c r="E79" s="679">
        <f t="shared" si="20"/>
        <v>411758</v>
      </c>
    </row>
  </sheetData>
  <mergeCells count="5">
    <mergeCell ref="A1:E1"/>
    <mergeCell ref="A3:A4"/>
    <mergeCell ref="B3:B4"/>
    <mergeCell ref="C3:E3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errors="blank" r:id="rId1"/>
  <headerFooter>
    <oddHeader>&amp;C&amp;"Times New Roman,Félkövér"&amp;14Martonvásár Város Önkormányzatának bevételei 2016.&amp;12
&amp;"Times New Roman,Dőlt"(intézmények nélkül)&amp;R&amp;"Times New Roman,Normál"3.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workbookViewId="0">
      <selection activeCell="D39" sqref="D39"/>
    </sheetView>
  </sheetViews>
  <sheetFormatPr defaultColWidth="9.109375" defaultRowHeight="13.8"/>
  <cols>
    <col min="1" max="1" width="43.44140625" style="682" customWidth="1"/>
    <col min="2" max="2" width="15.44140625" style="682" customWidth="1"/>
    <col min="3" max="3" width="13" style="682" customWidth="1"/>
    <col min="4" max="4" width="14.44140625" style="682" customWidth="1"/>
    <col min="5" max="16384" width="9.109375" style="682"/>
  </cols>
  <sheetData>
    <row r="1" spans="1:4" ht="14.4" thickBot="1">
      <c r="D1" s="716" t="s">
        <v>722</v>
      </c>
    </row>
    <row r="2" spans="1:4">
      <c r="A2" s="961" t="s">
        <v>552</v>
      </c>
      <c r="B2" s="962"/>
      <c r="C2" s="963"/>
      <c r="D2" s="964"/>
    </row>
    <row r="3" spans="1:4">
      <c r="A3" s="683"/>
      <c r="B3" s="684"/>
      <c r="C3" s="685"/>
      <c r="D3" s="686"/>
    </row>
    <row r="4" spans="1:4" s="691" customFormat="1" ht="27.75" customHeight="1">
      <c r="A4" s="687" t="s">
        <v>280</v>
      </c>
      <c r="B4" s="688" t="s">
        <v>749</v>
      </c>
      <c r="C4" s="689" t="s">
        <v>748</v>
      </c>
      <c r="D4" s="690" t="s">
        <v>913</v>
      </c>
    </row>
    <row r="5" spans="1:4">
      <c r="A5" s="692" t="s">
        <v>733</v>
      </c>
      <c r="B5" s="693">
        <v>15000000</v>
      </c>
      <c r="C5" s="694"/>
      <c r="D5" s="698">
        <f t="shared" ref="D5:D13" si="0">+B5+C5</f>
        <v>15000000</v>
      </c>
    </row>
    <row r="6" spans="1:4">
      <c r="A6" s="936" t="s">
        <v>1154</v>
      </c>
      <c r="B6" s="937">
        <v>1080000</v>
      </c>
      <c r="C6" s="694"/>
      <c r="D6" s="698">
        <f t="shared" si="0"/>
        <v>1080000</v>
      </c>
    </row>
    <row r="7" spans="1:4">
      <c r="A7" s="936" t="s">
        <v>1155</v>
      </c>
      <c r="B7" s="937">
        <v>12000000</v>
      </c>
      <c r="C7" s="694"/>
      <c r="D7" s="698">
        <f t="shared" si="0"/>
        <v>12000000</v>
      </c>
    </row>
    <row r="8" spans="1:4">
      <c r="A8" s="936" t="s">
        <v>1156</v>
      </c>
      <c r="B8" s="937">
        <f>5000000+179000</f>
        <v>5179000</v>
      </c>
      <c r="C8" s="694">
        <v>9524950</v>
      </c>
      <c r="D8" s="698">
        <f t="shared" si="0"/>
        <v>14703950</v>
      </c>
    </row>
    <row r="9" spans="1:4">
      <c r="A9" s="936" t="s">
        <v>1157</v>
      </c>
      <c r="B9" s="937">
        <v>13100000</v>
      </c>
      <c r="C9" s="694">
        <v>863600</v>
      </c>
      <c r="D9" s="698">
        <f t="shared" si="0"/>
        <v>13963600</v>
      </c>
    </row>
    <row r="10" spans="1:4">
      <c r="A10" s="938" t="s">
        <v>1158</v>
      </c>
      <c r="B10" s="939">
        <v>800000</v>
      </c>
      <c r="C10" s="694"/>
      <c r="D10" s="698">
        <f t="shared" si="0"/>
        <v>800000</v>
      </c>
    </row>
    <row r="11" spans="1:4">
      <c r="A11" s="938" t="s">
        <v>1159</v>
      </c>
      <c r="B11" s="939">
        <v>250000</v>
      </c>
      <c r="C11" s="694"/>
      <c r="D11" s="698">
        <f t="shared" si="0"/>
        <v>250000</v>
      </c>
    </row>
    <row r="12" spans="1:4">
      <c r="A12" s="940" t="s">
        <v>1163</v>
      </c>
      <c r="B12" s="941">
        <v>4177000</v>
      </c>
      <c r="C12" s="694"/>
      <c r="D12" s="698">
        <f t="shared" si="0"/>
        <v>4177000</v>
      </c>
    </row>
    <row r="13" spans="1:4">
      <c r="A13" s="767" t="s">
        <v>1160</v>
      </c>
      <c r="B13" s="697">
        <v>600000</v>
      </c>
      <c r="C13" s="694"/>
      <c r="D13" s="698">
        <f t="shared" si="0"/>
        <v>600000</v>
      </c>
    </row>
    <row r="14" spans="1:4">
      <c r="A14" s="767" t="s">
        <v>1161</v>
      </c>
      <c r="B14" s="765">
        <v>888000</v>
      </c>
      <c r="C14" s="694"/>
      <c r="D14" s="698">
        <f t="shared" ref="D14:D19" si="1">+B14+C14</f>
        <v>888000</v>
      </c>
    </row>
    <row r="15" spans="1:4">
      <c r="A15" s="767" t="s">
        <v>1162</v>
      </c>
      <c r="B15" s="775">
        <v>289000</v>
      </c>
      <c r="C15" s="694"/>
      <c r="D15" s="698">
        <f t="shared" si="1"/>
        <v>289000</v>
      </c>
    </row>
    <row r="16" spans="1:4">
      <c r="A16" s="767" t="s">
        <v>1164</v>
      </c>
      <c r="B16" s="765"/>
      <c r="C16" s="694">
        <v>5822583</v>
      </c>
      <c r="D16" s="698">
        <f t="shared" ref="D16:D17" si="2">+B16+C16</f>
        <v>5822583</v>
      </c>
    </row>
    <row r="17" spans="1:4">
      <c r="A17" s="767"/>
      <c r="B17" s="693"/>
      <c r="C17" s="694"/>
      <c r="D17" s="698">
        <f t="shared" si="2"/>
        <v>0</v>
      </c>
    </row>
    <row r="18" spans="1:4">
      <c r="A18" s="767"/>
      <c r="B18" s="765"/>
      <c r="C18" s="694"/>
      <c r="D18" s="698">
        <f t="shared" si="1"/>
        <v>0</v>
      </c>
    </row>
    <row r="19" spans="1:4">
      <c r="A19" s="767"/>
      <c r="B19" s="693"/>
      <c r="C19" s="694"/>
      <c r="D19" s="698">
        <f t="shared" si="1"/>
        <v>0</v>
      </c>
    </row>
    <row r="20" spans="1:4">
      <c r="A20" s="767"/>
      <c r="B20" s="693"/>
      <c r="C20" s="694"/>
      <c r="D20" s="698"/>
    </row>
    <row r="21" spans="1:4" ht="14.4" thickBot="1">
      <c r="A21" s="699" t="s">
        <v>178</v>
      </c>
      <c r="B21" s="700">
        <f>SUM(B5:B20)</f>
        <v>53363000</v>
      </c>
      <c r="C21" s="700">
        <f>SUM(C5:C20)</f>
        <v>16211133</v>
      </c>
      <c r="D21" s="717">
        <f>SUM(D5:D20)</f>
        <v>69574133</v>
      </c>
    </row>
    <row r="22" spans="1:4">
      <c r="A22" s="701"/>
      <c r="B22" s="701"/>
      <c r="C22" s="702"/>
      <c r="D22" s="702"/>
    </row>
    <row r="23" spans="1:4" ht="14.4" thickBot="1">
      <c r="A23" s="703"/>
      <c r="B23" s="703"/>
      <c r="C23" s="703"/>
      <c r="D23" s="704"/>
    </row>
    <row r="24" spans="1:4">
      <c r="A24" s="961" t="s">
        <v>553</v>
      </c>
      <c r="B24" s="962"/>
      <c r="C24" s="963"/>
      <c r="D24" s="964"/>
    </row>
    <row r="25" spans="1:4">
      <c r="A25" s="683"/>
      <c r="B25" s="684"/>
      <c r="C25" s="685"/>
      <c r="D25" s="686"/>
    </row>
    <row r="26" spans="1:4" ht="26.4">
      <c r="A26" s="687" t="s">
        <v>280</v>
      </c>
      <c r="B26" s="688" t="s">
        <v>749</v>
      </c>
      <c r="C26" s="689" t="s">
        <v>748</v>
      </c>
      <c r="D26" s="690" t="s">
        <v>913</v>
      </c>
    </row>
    <row r="27" spans="1:4" s="691" customFormat="1" ht="27.75" customHeight="1">
      <c r="A27" s="683" t="s">
        <v>1166</v>
      </c>
      <c r="B27" s="705"/>
      <c r="C27" s="706">
        <v>300000</v>
      </c>
      <c r="D27" s="695">
        <f>+B27+C27</f>
        <v>300000</v>
      </c>
    </row>
    <row r="28" spans="1:4">
      <c r="A28" s="683"/>
      <c r="B28" s="705"/>
      <c r="C28" s="706"/>
      <c r="D28" s="695"/>
    </row>
    <row r="29" spans="1:4">
      <c r="A29" s="683"/>
      <c r="B29" s="705"/>
      <c r="C29" s="706"/>
      <c r="D29" s="695"/>
    </row>
    <row r="30" spans="1:4">
      <c r="A30" s="683"/>
      <c r="B30" s="705"/>
      <c r="C30" s="706"/>
      <c r="D30" s="695"/>
    </row>
    <row r="31" spans="1:4" ht="14.4" thickBot="1">
      <c r="A31" s="699" t="s">
        <v>178</v>
      </c>
      <c r="B31" s="700">
        <f>SUM(B27:B30)</f>
        <v>0</v>
      </c>
      <c r="C31" s="700">
        <f>SUM(C27:C30)</f>
        <v>300000</v>
      </c>
      <c r="D31" s="717">
        <f>SUM(D27:D30)</f>
        <v>300000</v>
      </c>
    </row>
    <row r="32" spans="1:4">
      <c r="A32" s="707"/>
      <c r="B32" s="707"/>
      <c r="C32" s="708"/>
      <c r="D32" s="708"/>
    </row>
    <row r="33" spans="1:4" ht="14.4" thickBot="1">
      <c r="A33" s="703"/>
      <c r="B33" s="703"/>
      <c r="C33" s="703"/>
      <c r="D33" s="704"/>
    </row>
    <row r="34" spans="1:4">
      <c r="A34" s="965" t="s">
        <v>554</v>
      </c>
      <c r="B34" s="966"/>
      <c r="C34" s="966"/>
      <c r="D34" s="967"/>
    </row>
    <row r="35" spans="1:4">
      <c r="A35" s="709"/>
      <c r="B35" s="710"/>
      <c r="C35" s="710"/>
      <c r="D35" s="711"/>
    </row>
    <row r="36" spans="1:4" ht="26.4">
      <c r="A36" s="687" t="s">
        <v>280</v>
      </c>
      <c r="B36" s="688" t="s">
        <v>749</v>
      </c>
      <c r="C36" s="689" t="s">
        <v>748</v>
      </c>
      <c r="D36" s="690" t="s">
        <v>913</v>
      </c>
    </row>
    <row r="37" spans="1:4" s="691" customFormat="1" ht="27.75" customHeight="1">
      <c r="A37" s="683" t="s">
        <v>534</v>
      </c>
      <c r="B37" s="712">
        <v>42500</v>
      </c>
      <c r="C37" s="713"/>
      <c r="D37" s="718">
        <f>+B37+C37</f>
        <v>42500</v>
      </c>
    </row>
    <row r="38" spans="1:4" s="691" customFormat="1" ht="27.75" customHeight="1">
      <c r="A38" s="683" t="s">
        <v>1165</v>
      </c>
      <c r="B38" s="712"/>
      <c r="C38" s="713">
        <v>1483421</v>
      </c>
      <c r="D38" s="718">
        <f>+B38+C38</f>
        <v>1483421</v>
      </c>
    </row>
    <row r="39" spans="1:4" s="691" customFormat="1" ht="27.75" customHeight="1">
      <c r="A39" s="683" t="s">
        <v>1172</v>
      </c>
      <c r="B39" s="712"/>
      <c r="C39" s="713">
        <v>2500000</v>
      </c>
      <c r="D39" s="718">
        <f>+B39+C39</f>
        <v>2500000</v>
      </c>
    </row>
    <row r="40" spans="1:4">
      <c r="A40" s="683"/>
      <c r="B40" s="712"/>
      <c r="C40" s="713"/>
      <c r="D40" s="718"/>
    </row>
    <row r="41" spans="1:4" ht="14.4" thickBot="1">
      <c r="A41" s="699" t="s">
        <v>178</v>
      </c>
      <c r="B41" s="714">
        <f>SUM(B37:B40)</f>
        <v>42500</v>
      </c>
      <c r="C41" s="714">
        <f>SUM(C37:C40)</f>
        <v>3983421</v>
      </c>
      <c r="D41" s="719">
        <f>SUM(D37:D40)</f>
        <v>4025921</v>
      </c>
    </row>
    <row r="42" spans="1:4" ht="14.4" thickBot="1">
      <c r="A42" s="703"/>
      <c r="B42" s="703"/>
      <c r="C42" s="703"/>
      <c r="D42" s="703"/>
    </row>
    <row r="43" spans="1:4">
      <c r="A43" s="965" t="s">
        <v>555</v>
      </c>
      <c r="B43" s="966"/>
      <c r="C43" s="966"/>
      <c r="D43" s="967"/>
    </row>
    <row r="44" spans="1:4">
      <c r="A44" s="709"/>
      <c r="B44" s="710"/>
      <c r="C44" s="710"/>
      <c r="D44" s="711"/>
    </row>
    <row r="45" spans="1:4" ht="26.4">
      <c r="A45" s="687" t="s">
        <v>280</v>
      </c>
      <c r="B45" s="688" t="s">
        <v>749</v>
      </c>
      <c r="C45" s="689" t="s">
        <v>748</v>
      </c>
      <c r="D45" s="690" t="s">
        <v>913</v>
      </c>
    </row>
    <row r="46" spans="1:4" s="691" customFormat="1" ht="27.75" customHeight="1">
      <c r="A46" s="715"/>
      <c r="B46" s="712"/>
      <c r="C46" s="713"/>
      <c r="D46" s="718"/>
    </row>
    <row r="47" spans="1:4">
      <c r="A47" s="683"/>
      <c r="B47" s="712"/>
      <c r="C47" s="713"/>
      <c r="D47" s="718"/>
    </row>
    <row r="48" spans="1:4">
      <c r="A48" s="683"/>
      <c r="B48" s="712"/>
      <c r="C48" s="713"/>
      <c r="D48" s="718"/>
    </row>
    <row r="49" spans="1:4">
      <c r="A49" s="683"/>
      <c r="B49" s="712"/>
      <c r="C49" s="713"/>
      <c r="D49" s="718"/>
    </row>
    <row r="50" spans="1:4" ht="14.4" thickBot="1">
      <c r="A50" s="699" t="s">
        <v>178</v>
      </c>
      <c r="B50" s="714">
        <f>SUM(B46:B49)</f>
        <v>0</v>
      </c>
      <c r="C50" s="714">
        <f t="shared" ref="C50:D50" si="3">SUM(C46:C49)</f>
        <v>0</v>
      </c>
      <c r="D50" s="719">
        <f t="shared" si="3"/>
        <v>0</v>
      </c>
    </row>
    <row r="51" spans="1:4">
      <c r="A51" s="703"/>
      <c r="B51" s="703"/>
      <c r="C51" s="703"/>
      <c r="D51" s="703"/>
    </row>
    <row r="52" spans="1:4">
      <c r="A52" s="703"/>
      <c r="B52" s="703"/>
      <c r="C52" s="703"/>
      <c r="D52" s="703"/>
    </row>
  </sheetData>
  <mergeCells count="4">
    <mergeCell ref="A2:D2"/>
    <mergeCell ref="A24:D24"/>
    <mergeCell ref="A34:D34"/>
    <mergeCell ref="A43:D4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véglegesen átvett pénzeszközeinek részletezése    &amp;R&amp;"Times New Roman,Félkövér"&amp;12
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workbookViewId="0">
      <selection activeCell="C18" sqref="C18"/>
    </sheetView>
  </sheetViews>
  <sheetFormatPr defaultColWidth="9.109375" defaultRowHeight="13.2"/>
  <cols>
    <col min="1" max="1" width="39.88671875" style="721" customWidth="1"/>
    <col min="2" max="2" width="13.109375" style="721" customWidth="1"/>
    <col min="3" max="3" width="14.6640625" style="721" customWidth="1"/>
    <col min="4" max="4" width="13.109375" style="721" customWidth="1"/>
    <col min="5" max="16384" width="9.109375" style="721"/>
  </cols>
  <sheetData>
    <row r="1" spans="1:4" ht="13.5" customHeight="1" thickBot="1">
      <c r="A1" s="720"/>
      <c r="B1" s="720"/>
      <c r="C1" s="968" t="s">
        <v>722</v>
      </c>
      <c r="D1" s="968"/>
    </row>
    <row r="2" spans="1:4" s="724" customFormat="1" ht="26.4">
      <c r="A2" s="562" t="s">
        <v>280</v>
      </c>
      <c r="B2" s="722" t="s">
        <v>751</v>
      </c>
      <c r="C2" s="723" t="s">
        <v>750</v>
      </c>
      <c r="D2" s="733" t="s">
        <v>914</v>
      </c>
    </row>
    <row r="3" spans="1:4">
      <c r="A3" s="696" t="s">
        <v>556</v>
      </c>
      <c r="B3" s="697">
        <f>+'[4]3.b mell. Működési bevételek'!$D3</f>
        <v>1495300</v>
      </c>
      <c r="C3" s="725"/>
      <c r="D3" s="734">
        <f>+B3+C3</f>
        <v>1495300</v>
      </c>
    </row>
    <row r="4" spans="1:4">
      <c r="A4" s="696" t="s">
        <v>624</v>
      </c>
      <c r="B4" s="697">
        <f>+'[4]3.b mell. Működési bevételek'!$D4</f>
        <v>1000000</v>
      </c>
      <c r="C4" s="725"/>
      <c r="D4" s="734">
        <f t="shared" ref="D4:D26" si="0">+B4+C4</f>
        <v>1000000</v>
      </c>
    </row>
    <row r="5" spans="1:4">
      <c r="A5" s="696" t="s">
        <v>557</v>
      </c>
      <c r="B5" s="697">
        <f>+'[4]3.b mell. Működési bevételek'!$D5</f>
        <v>15150000</v>
      </c>
      <c r="C5" s="725">
        <v>1248122</v>
      </c>
      <c r="D5" s="734">
        <f t="shared" si="0"/>
        <v>16398122</v>
      </c>
    </row>
    <row r="6" spans="1:4">
      <c r="A6" s="696" t="s">
        <v>617</v>
      </c>
      <c r="B6" s="697">
        <f>+'[4]3.b mell. Működési bevételek'!$D6</f>
        <v>4847000</v>
      </c>
      <c r="C6" s="725"/>
      <c r="D6" s="734">
        <f t="shared" si="0"/>
        <v>4847000</v>
      </c>
    </row>
    <row r="7" spans="1:4" ht="15" customHeight="1">
      <c r="A7" s="696" t="s">
        <v>535</v>
      </c>
      <c r="B7" s="697">
        <f>+'[4]3.b mell. Működési bevételek'!$D7</f>
        <v>2800000</v>
      </c>
      <c r="C7" s="725"/>
      <c r="D7" s="734">
        <f t="shared" si="0"/>
        <v>2800000</v>
      </c>
    </row>
    <row r="8" spans="1:4">
      <c r="A8" s="696" t="s">
        <v>1167</v>
      </c>
      <c r="B8" s="697"/>
      <c r="C8" s="725">
        <v>806752</v>
      </c>
      <c r="D8" s="734">
        <f t="shared" ref="D8:D10" si="1">+B8+C8</f>
        <v>806752</v>
      </c>
    </row>
    <row r="9" spans="1:4">
      <c r="A9" s="696" t="s">
        <v>1093</v>
      </c>
      <c r="B9" s="697"/>
      <c r="C9" s="725">
        <v>309837</v>
      </c>
      <c r="D9" s="734">
        <f t="shared" ref="D9" si="2">+B9+C9</f>
        <v>309837</v>
      </c>
    </row>
    <row r="10" spans="1:4">
      <c r="A10" s="696" t="s">
        <v>1168</v>
      </c>
      <c r="B10" s="697"/>
      <c r="C10" s="725">
        <v>100000</v>
      </c>
      <c r="D10" s="734">
        <f t="shared" si="1"/>
        <v>100000</v>
      </c>
    </row>
    <row r="11" spans="1:4">
      <c r="A11" s="696" t="s">
        <v>536</v>
      </c>
      <c r="B11" s="697">
        <f>+'[4]3.b mell. Működési bevételek'!$D8</f>
        <v>0</v>
      </c>
      <c r="C11" s="725"/>
      <c r="D11" s="734">
        <f t="shared" si="0"/>
        <v>0</v>
      </c>
    </row>
    <row r="12" spans="1:4">
      <c r="A12" s="696" t="s">
        <v>607</v>
      </c>
      <c r="B12" s="697">
        <f>+'[4]3.b mell. Működési bevételek'!$D9</f>
        <v>2192000</v>
      </c>
      <c r="C12" s="725">
        <v>1597200</v>
      </c>
      <c r="D12" s="734">
        <f t="shared" si="0"/>
        <v>3789200</v>
      </c>
    </row>
    <row r="13" spans="1:4">
      <c r="A13" s="696" t="s">
        <v>558</v>
      </c>
      <c r="B13" s="697">
        <f>+'[4]3.b mell. Működési bevételek'!$D10</f>
        <v>5631000</v>
      </c>
      <c r="C13" s="725"/>
      <c r="D13" s="734">
        <f t="shared" si="0"/>
        <v>5631000</v>
      </c>
    </row>
    <row r="14" spans="1:4">
      <c r="A14" s="696" t="s">
        <v>1174</v>
      </c>
      <c r="B14" s="697"/>
      <c r="C14" s="725">
        <f>448000+10000</f>
        <v>458000</v>
      </c>
      <c r="D14" s="734">
        <f t="shared" si="0"/>
        <v>458000</v>
      </c>
    </row>
    <row r="15" spans="1:4">
      <c r="A15" s="696" t="s">
        <v>629</v>
      </c>
      <c r="B15" s="697">
        <f>+'[4]3.b mell. Működési bevételek'!$D11</f>
        <v>388750</v>
      </c>
      <c r="C15" s="725">
        <v>216000</v>
      </c>
      <c r="D15" s="734">
        <f t="shared" si="0"/>
        <v>604750</v>
      </c>
    </row>
    <row r="16" spans="1:4">
      <c r="A16" s="696" t="s">
        <v>873</v>
      </c>
      <c r="B16" s="697">
        <f>+'[4]3.b mell. Működési bevételek'!$D12</f>
        <v>52800</v>
      </c>
      <c r="C16" s="725"/>
      <c r="D16" s="734">
        <f t="shared" si="0"/>
        <v>52800</v>
      </c>
    </row>
    <row r="17" spans="1:4">
      <c r="A17" s="696" t="s">
        <v>874</v>
      </c>
      <c r="B17" s="697">
        <f>+'[4]3.b mell. Működési bevételek'!$D13</f>
        <v>40000</v>
      </c>
      <c r="C17" s="725">
        <v>7000</v>
      </c>
      <c r="D17" s="734">
        <f t="shared" si="0"/>
        <v>47000</v>
      </c>
    </row>
    <row r="18" spans="1:4">
      <c r="A18" s="696" t="s">
        <v>875</v>
      </c>
      <c r="B18" s="697">
        <f>+'[4]3.b mell. Működési bevételek'!$D14</f>
        <v>123200</v>
      </c>
      <c r="C18" s="725">
        <v>49000</v>
      </c>
      <c r="D18" s="734">
        <f t="shared" ref="D18" si="3">+B18+C18</f>
        <v>172200</v>
      </c>
    </row>
    <row r="19" spans="1:4">
      <c r="A19" s="696" t="s">
        <v>876</v>
      </c>
      <c r="B19" s="697">
        <f>+'[4]3.b mell. Működési bevételek'!$D15</f>
        <v>100000</v>
      </c>
      <c r="C19" s="725">
        <v>61000</v>
      </c>
      <c r="D19" s="734">
        <f t="shared" si="0"/>
        <v>161000</v>
      </c>
    </row>
    <row r="20" spans="1:4">
      <c r="A20" s="696" t="s">
        <v>877</v>
      </c>
      <c r="B20" s="697">
        <f>+'[4]3.b mell. Működési bevételek'!$D16</f>
        <v>1000000</v>
      </c>
      <c r="C20" s="726"/>
      <c r="D20" s="734">
        <f t="shared" si="0"/>
        <v>1000000</v>
      </c>
    </row>
    <row r="21" spans="1:4">
      <c r="A21" s="696" t="s">
        <v>878</v>
      </c>
      <c r="B21" s="697">
        <f>+'[4]3.b mell. Működési bevételek'!$D17</f>
        <v>162780</v>
      </c>
      <c r="C21" s="726">
        <v>254000</v>
      </c>
      <c r="D21" s="734">
        <f t="shared" si="0"/>
        <v>416780</v>
      </c>
    </row>
    <row r="22" spans="1:4">
      <c r="A22" s="696" t="s">
        <v>879</v>
      </c>
      <c r="B22" s="697">
        <f>+'[4]3.b mell. Működési bevételek'!$D18</f>
        <v>765178</v>
      </c>
      <c r="C22" s="726">
        <v>46000</v>
      </c>
      <c r="D22" s="734">
        <f t="shared" si="0"/>
        <v>811178</v>
      </c>
    </row>
    <row r="23" spans="1:4">
      <c r="A23" s="696" t="s">
        <v>883</v>
      </c>
      <c r="B23" s="697">
        <f>+'[4]3.b mell. Működési bevételek'!$D19</f>
        <v>156456</v>
      </c>
      <c r="C23" s="726">
        <v>1020000</v>
      </c>
      <c r="D23" s="734">
        <f t="shared" si="0"/>
        <v>1176456</v>
      </c>
    </row>
    <row r="24" spans="1:4">
      <c r="A24" s="696" t="s">
        <v>880</v>
      </c>
      <c r="B24" s="697">
        <f>+'[4]3.b mell. Működési bevételek'!$D20</f>
        <v>40000</v>
      </c>
      <c r="C24" s="726"/>
      <c r="D24" s="734">
        <f t="shared" ref="D24" si="4">+B24+C24</f>
        <v>40000</v>
      </c>
    </row>
    <row r="25" spans="1:4">
      <c r="A25" s="696" t="s">
        <v>881</v>
      </c>
      <c r="B25" s="697">
        <f>+'[4]3.b mell. Működési bevételek'!$D21</f>
        <v>348800</v>
      </c>
      <c r="C25" s="726"/>
      <c r="D25" s="734">
        <f t="shared" si="0"/>
        <v>348800</v>
      </c>
    </row>
    <row r="26" spans="1:4">
      <c r="A26" s="696" t="s">
        <v>882</v>
      </c>
      <c r="B26" s="697">
        <f>+'[4]3.b mell. Működési bevételek'!$D22</f>
        <v>338000</v>
      </c>
      <c r="C26" s="726"/>
      <c r="D26" s="734">
        <f t="shared" si="0"/>
        <v>338000</v>
      </c>
    </row>
    <row r="27" spans="1:4">
      <c r="A27" s="696"/>
      <c r="B27" s="735"/>
      <c r="C27" s="726"/>
      <c r="D27" s="734"/>
    </row>
    <row r="28" spans="1:4">
      <c r="A28" s="696"/>
      <c r="B28" s="697"/>
      <c r="C28" s="726"/>
      <c r="D28" s="736"/>
    </row>
    <row r="29" spans="1:4">
      <c r="A29" s="696"/>
      <c r="B29" s="697"/>
      <c r="C29" s="726"/>
      <c r="D29" s="736"/>
    </row>
    <row r="30" spans="1:4">
      <c r="A30" s="696"/>
      <c r="B30" s="727"/>
      <c r="C30" s="726"/>
      <c r="D30" s="736"/>
    </row>
    <row r="31" spans="1:4" ht="13.8" thickBot="1">
      <c r="A31" s="728" t="s">
        <v>537</v>
      </c>
      <c r="B31" s="729">
        <f>SUM(B3:B30)</f>
        <v>36631264</v>
      </c>
      <c r="C31" s="730">
        <f>SUM(C3:C30)</f>
        <v>6172911</v>
      </c>
      <c r="D31" s="737">
        <f>SUM(D3:D30)</f>
        <v>42804175</v>
      </c>
    </row>
    <row r="33" spans="1:4" ht="13.8" thickBot="1"/>
    <row r="34" spans="1:4">
      <c r="A34" s="738" t="s">
        <v>752</v>
      </c>
      <c r="B34" s="741">
        <v>21000000</v>
      </c>
      <c r="C34" s="945">
        <v>9000000</v>
      </c>
      <c r="D34" s="739">
        <f>+B34+C34</f>
        <v>30000000</v>
      </c>
    </row>
    <row r="35" spans="1:4">
      <c r="A35" s="696" t="s">
        <v>1169</v>
      </c>
      <c r="B35" s="697"/>
      <c r="C35" s="726">
        <v>11900000</v>
      </c>
      <c r="D35" s="736">
        <f>+B35+C35</f>
        <v>11900000</v>
      </c>
    </row>
    <row r="36" spans="1:4">
      <c r="A36" s="942" t="s">
        <v>1170</v>
      </c>
      <c r="B36" s="943"/>
      <c r="C36" s="946">
        <v>7500000</v>
      </c>
      <c r="D36" s="736">
        <f>+B36+C36</f>
        <v>7500000</v>
      </c>
    </row>
    <row r="37" spans="1:4">
      <c r="A37" s="696" t="s">
        <v>1171</v>
      </c>
      <c r="B37" s="697"/>
      <c r="C37" s="726">
        <v>205000</v>
      </c>
      <c r="D37" s="944">
        <f>+B37+C37</f>
        <v>205000</v>
      </c>
    </row>
    <row r="38" spans="1:4">
      <c r="A38" s="731"/>
      <c r="B38" s="742"/>
      <c r="C38" s="732"/>
      <c r="D38" s="740"/>
    </row>
    <row r="39" spans="1:4" ht="13.8" thickBot="1">
      <c r="A39" s="728" t="s">
        <v>538</v>
      </c>
      <c r="B39" s="729">
        <f>SUM(B34:B38)</f>
        <v>21000000</v>
      </c>
      <c r="C39" s="729">
        <f>SUM(C34:C38)</f>
        <v>28605000</v>
      </c>
      <c r="D39" s="737">
        <f>SUM(D34:D38)</f>
        <v>49605000</v>
      </c>
    </row>
    <row r="45" spans="1:4">
      <c r="A45" s="721" t="s">
        <v>539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intézményi bevételeinek részletezése    &amp;R&amp;"Times New Roman,Félkövér"&amp;10
 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activeCell="D3" sqref="D3"/>
    </sheetView>
  </sheetViews>
  <sheetFormatPr defaultColWidth="9.109375" defaultRowHeight="13.2"/>
  <cols>
    <col min="1" max="1" width="39.33203125" style="549" customWidth="1"/>
    <col min="2" max="2" width="15.109375" style="549" customWidth="1"/>
    <col min="3" max="3" width="16.6640625" style="549" customWidth="1"/>
    <col min="4" max="4" width="15.6640625" style="549" customWidth="1"/>
    <col min="5" max="16384" width="9.109375" style="549"/>
  </cols>
  <sheetData>
    <row r="1" spans="1:4" ht="15.75" customHeight="1" thickBot="1">
      <c r="D1" s="663" t="s">
        <v>722</v>
      </c>
    </row>
    <row r="2" spans="1:4" s="561" customFormat="1" ht="26.4">
      <c r="A2" s="562" t="s">
        <v>280</v>
      </c>
      <c r="B2" s="722" t="s">
        <v>751</v>
      </c>
      <c r="C2" s="723" t="s">
        <v>750</v>
      </c>
      <c r="D2" s="733" t="s">
        <v>914</v>
      </c>
    </row>
    <row r="3" spans="1:4">
      <c r="A3" s="550" t="s">
        <v>540</v>
      </c>
      <c r="B3" s="551">
        <v>19000000</v>
      </c>
      <c r="C3" s="552"/>
      <c r="D3" s="743">
        <f>+B3+C33</f>
        <v>19000000</v>
      </c>
    </row>
    <row r="4" spans="1:4">
      <c r="A4" s="550" t="s">
        <v>541</v>
      </c>
      <c r="B4" s="551">
        <v>76900000</v>
      </c>
      <c r="C4" s="552"/>
      <c r="D4" s="743">
        <f t="shared" ref="D4:D7" si="0">+B4+C34</f>
        <v>76900000</v>
      </c>
    </row>
    <row r="5" spans="1:4">
      <c r="A5" s="550" t="s">
        <v>542</v>
      </c>
      <c r="B5" s="551">
        <v>51900000</v>
      </c>
      <c r="C5" s="552"/>
      <c r="D5" s="743">
        <f t="shared" si="0"/>
        <v>51900000</v>
      </c>
    </row>
    <row r="6" spans="1:4">
      <c r="A6" s="550" t="s">
        <v>543</v>
      </c>
      <c r="B6" s="551"/>
      <c r="C6" s="552"/>
      <c r="D6" s="743">
        <f>+B6+C36</f>
        <v>0</v>
      </c>
    </row>
    <row r="7" spans="1:4">
      <c r="A7" s="550" t="s">
        <v>544</v>
      </c>
      <c r="B7" s="551">
        <v>115000000</v>
      </c>
      <c r="C7" s="552"/>
      <c r="D7" s="743">
        <f t="shared" si="0"/>
        <v>115000000</v>
      </c>
    </row>
    <row r="8" spans="1:4">
      <c r="A8" s="556" t="s">
        <v>545</v>
      </c>
      <c r="B8" s="557">
        <f>SUM(B3:B7)</f>
        <v>262800000</v>
      </c>
      <c r="C8" s="558">
        <f t="shared" ref="C8:D8" si="1">SUM(C3:C7)</f>
        <v>0</v>
      </c>
      <c r="D8" s="744">
        <f t="shared" si="1"/>
        <v>262800000</v>
      </c>
    </row>
    <row r="9" spans="1:4">
      <c r="A9" s="550"/>
      <c r="B9" s="551"/>
      <c r="C9" s="552"/>
      <c r="D9" s="743"/>
    </row>
    <row r="10" spans="1:4">
      <c r="A10" s="550" t="s">
        <v>546</v>
      </c>
      <c r="B10" s="551">
        <v>18000000</v>
      </c>
      <c r="C10" s="552"/>
      <c r="D10" s="743">
        <f>+B10+C10</f>
        <v>18000000</v>
      </c>
    </row>
    <row r="11" spans="1:4">
      <c r="A11" s="556" t="s">
        <v>547</v>
      </c>
      <c r="B11" s="557">
        <f>+B10</f>
        <v>18000000</v>
      </c>
      <c r="C11" s="558">
        <f t="shared" ref="C11:D11" si="2">+C10</f>
        <v>0</v>
      </c>
      <c r="D11" s="744">
        <f t="shared" si="2"/>
        <v>18000000</v>
      </c>
    </row>
    <row r="12" spans="1:4">
      <c r="A12" s="550"/>
      <c r="B12" s="551"/>
      <c r="C12" s="552"/>
      <c r="D12" s="743"/>
    </row>
    <row r="13" spans="1:4">
      <c r="A13" s="550" t="s">
        <v>559</v>
      </c>
      <c r="B13" s="551">
        <v>1700000</v>
      </c>
      <c r="C13" s="552"/>
      <c r="D13" s="743">
        <f>+B13+C13</f>
        <v>1700000</v>
      </c>
    </row>
    <row r="14" spans="1:4" ht="13.5" customHeight="1">
      <c r="A14" s="550" t="s">
        <v>548</v>
      </c>
      <c r="B14" s="551">
        <v>2000000</v>
      </c>
      <c r="C14" s="552"/>
      <c r="D14" s="743">
        <f>+B14+C14</f>
        <v>2000000</v>
      </c>
    </row>
    <row r="15" spans="1:4" ht="13.5" customHeight="1">
      <c r="A15" s="550" t="s">
        <v>549</v>
      </c>
      <c r="B15" s="551"/>
      <c r="C15" s="552"/>
      <c r="D15" s="743"/>
    </row>
    <row r="16" spans="1:4">
      <c r="A16" s="556" t="s">
        <v>550</v>
      </c>
      <c r="B16" s="557">
        <f>SUM(B13:B15)</f>
        <v>3700000</v>
      </c>
      <c r="C16" s="558">
        <f t="shared" ref="C16:D16" si="3">SUM(C13:C15)</f>
        <v>0</v>
      </c>
      <c r="D16" s="744">
        <f t="shared" si="3"/>
        <v>3700000</v>
      </c>
    </row>
    <row r="17" spans="1:4">
      <c r="A17" s="550"/>
      <c r="B17" s="551"/>
      <c r="C17" s="552"/>
      <c r="D17" s="743"/>
    </row>
    <row r="18" spans="1:4" ht="13.8" thickBot="1">
      <c r="A18" s="553" t="s">
        <v>551</v>
      </c>
      <c r="B18" s="554">
        <f>+B16+B11+B8</f>
        <v>284500000</v>
      </c>
      <c r="C18" s="555">
        <f t="shared" ref="C18:D18" si="4">+C16+C11+C8</f>
        <v>0</v>
      </c>
      <c r="D18" s="745">
        <f t="shared" si="4"/>
        <v>284500000</v>
      </c>
    </row>
    <row r="19" spans="1:4">
      <c r="D19" s="559"/>
    </row>
    <row r="20" spans="1:4">
      <c r="D20" s="559"/>
    </row>
    <row r="21" spans="1:4">
      <c r="D21" s="559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közhatalmi bevételeinek részletezése    &amp;R&amp;"Times New Roman,Félkövér"&amp;10
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zoomScale="80" zoomScaleNormal="80" zoomScalePageLayoutView="70" workbookViewId="0">
      <selection activeCell="E44" sqref="E44"/>
    </sheetView>
  </sheetViews>
  <sheetFormatPr defaultColWidth="9.109375" defaultRowHeight="13.2"/>
  <cols>
    <col min="1" max="1" width="36.6640625" style="479" customWidth="1"/>
    <col min="2" max="4" width="12.6640625" style="481" customWidth="1"/>
    <col min="5" max="7" width="14.33203125" style="479" customWidth="1"/>
    <col min="8" max="10" width="14.33203125" style="480" customWidth="1"/>
    <col min="11" max="16384" width="9.109375" style="479"/>
  </cols>
  <sheetData>
    <row r="1" spans="1:10" ht="53.25" customHeight="1">
      <c r="A1" s="969" t="s">
        <v>560</v>
      </c>
      <c r="B1" s="971" t="s">
        <v>678</v>
      </c>
      <c r="C1" s="971"/>
      <c r="D1" s="972"/>
      <c r="E1" s="971" t="s">
        <v>679</v>
      </c>
      <c r="F1" s="971"/>
      <c r="G1" s="971"/>
      <c r="H1" s="973" t="s">
        <v>279</v>
      </c>
      <c r="I1" s="974"/>
      <c r="J1" s="975"/>
    </row>
    <row r="2" spans="1:10" s="480" customFormat="1" ht="39.75" customHeight="1">
      <c r="A2" s="970"/>
      <c r="B2" s="486" t="s">
        <v>869</v>
      </c>
      <c r="C2" s="486" t="s">
        <v>745</v>
      </c>
      <c r="D2" s="486" t="s">
        <v>915</v>
      </c>
      <c r="E2" s="486" t="s">
        <v>869</v>
      </c>
      <c r="F2" s="487" t="s">
        <v>745</v>
      </c>
      <c r="G2" s="486" t="s">
        <v>915</v>
      </c>
      <c r="H2" s="846" t="s">
        <v>869</v>
      </c>
      <c r="I2" s="846" t="s">
        <v>745</v>
      </c>
      <c r="J2" s="846" t="s">
        <v>915</v>
      </c>
    </row>
    <row r="3" spans="1:10" ht="16.5" customHeight="1">
      <c r="A3" s="488" t="s">
        <v>561</v>
      </c>
      <c r="B3" s="489">
        <v>100256200</v>
      </c>
      <c r="C3" s="489"/>
      <c r="D3" s="489">
        <f>+B3+C3</f>
        <v>100256200</v>
      </c>
      <c r="E3" s="490">
        <v>0</v>
      </c>
      <c r="F3" s="490"/>
      <c r="G3" s="490">
        <f>+E3+F3</f>
        <v>0</v>
      </c>
      <c r="H3" s="619">
        <f>+B3+E3</f>
        <v>100256200</v>
      </c>
      <c r="I3" s="619">
        <f>+C3+F3</f>
        <v>0</v>
      </c>
      <c r="J3" s="619">
        <f>+D3+G3</f>
        <v>100256200</v>
      </c>
    </row>
    <row r="4" spans="1:10" ht="16.5" customHeight="1">
      <c r="A4" s="491" t="s">
        <v>562</v>
      </c>
      <c r="B4" s="492">
        <v>26278582</v>
      </c>
      <c r="C4" s="492"/>
      <c r="D4" s="489">
        <f t="shared" ref="D4:D12" si="0">+B4+C4</f>
        <v>26278582</v>
      </c>
      <c r="E4" s="493">
        <v>0</v>
      </c>
      <c r="F4" s="493"/>
      <c r="G4" s="493">
        <f t="shared" ref="G4:G12" si="1">+E4+F4</f>
        <v>0</v>
      </c>
      <c r="H4" s="619">
        <f t="shared" ref="H4:J43" si="2">+B4+E4</f>
        <v>26278582</v>
      </c>
      <c r="I4" s="619">
        <f t="shared" si="2"/>
        <v>0</v>
      </c>
      <c r="J4" s="619">
        <f t="shared" si="2"/>
        <v>26278582</v>
      </c>
    </row>
    <row r="5" spans="1:10" s="524" customFormat="1" ht="16.5" customHeight="1">
      <c r="A5" s="521" t="s">
        <v>595</v>
      </c>
      <c r="B5" s="522">
        <v>7858520</v>
      </c>
      <c r="C5" s="522"/>
      <c r="D5" s="489">
        <f t="shared" si="0"/>
        <v>7858520</v>
      </c>
      <c r="E5" s="523">
        <v>0</v>
      </c>
      <c r="F5" s="523"/>
      <c r="G5" s="493">
        <f t="shared" si="1"/>
        <v>0</v>
      </c>
      <c r="H5" s="619">
        <f t="shared" si="2"/>
        <v>7858520</v>
      </c>
      <c r="I5" s="619">
        <f t="shared" si="2"/>
        <v>0</v>
      </c>
      <c r="J5" s="619">
        <f t="shared" si="2"/>
        <v>7858520</v>
      </c>
    </row>
    <row r="6" spans="1:10" s="524" customFormat="1" ht="16.5" customHeight="1">
      <c r="A6" s="521" t="s">
        <v>597</v>
      </c>
      <c r="B6" s="522">
        <v>10624000</v>
      </c>
      <c r="C6" s="522"/>
      <c r="D6" s="489">
        <f t="shared" si="0"/>
        <v>10624000</v>
      </c>
      <c r="E6" s="523">
        <v>0</v>
      </c>
      <c r="F6" s="523"/>
      <c r="G6" s="493">
        <f t="shared" si="1"/>
        <v>0</v>
      </c>
      <c r="H6" s="619">
        <f t="shared" si="2"/>
        <v>10624000</v>
      </c>
      <c r="I6" s="619">
        <f t="shared" si="2"/>
        <v>0</v>
      </c>
      <c r="J6" s="619">
        <f t="shared" si="2"/>
        <v>10624000</v>
      </c>
    </row>
    <row r="7" spans="1:10" s="524" customFormat="1" ht="16.5" customHeight="1">
      <c r="A7" s="521" t="s">
        <v>598</v>
      </c>
      <c r="B7" s="522">
        <v>1539942</v>
      </c>
      <c r="C7" s="522"/>
      <c r="D7" s="492">
        <f t="shared" si="0"/>
        <v>1539942</v>
      </c>
      <c r="E7" s="523">
        <v>0</v>
      </c>
      <c r="F7" s="523"/>
      <c r="G7" s="493">
        <f t="shared" si="1"/>
        <v>0</v>
      </c>
      <c r="H7" s="619">
        <f t="shared" si="2"/>
        <v>1539942</v>
      </c>
      <c r="I7" s="619">
        <f t="shared" si="2"/>
        <v>0</v>
      </c>
      <c r="J7" s="619">
        <f t="shared" si="2"/>
        <v>1539942</v>
      </c>
    </row>
    <row r="8" spans="1:10" s="524" customFormat="1" ht="16.5" customHeight="1">
      <c r="A8" s="521" t="s">
        <v>596</v>
      </c>
      <c r="B8" s="522">
        <v>6256120</v>
      </c>
      <c r="C8" s="522"/>
      <c r="D8" s="492">
        <f t="shared" si="0"/>
        <v>6256120</v>
      </c>
      <c r="E8" s="523">
        <v>0</v>
      </c>
      <c r="F8" s="523"/>
      <c r="G8" s="493">
        <f t="shared" si="1"/>
        <v>0</v>
      </c>
      <c r="H8" s="619">
        <f t="shared" si="2"/>
        <v>6256120</v>
      </c>
      <c r="I8" s="619">
        <f t="shared" si="2"/>
        <v>0</v>
      </c>
      <c r="J8" s="619">
        <f t="shared" si="2"/>
        <v>6256120</v>
      </c>
    </row>
    <row r="9" spans="1:10" ht="26.25" customHeight="1">
      <c r="A9" s="659" t="s">
        <v>563</v>
      </c>
      <c r="B9" s="660">
        <v>-21439942</v>
      </c>
      <c r="C9" s="660"/>
      <c r="D9" s="492">
        <f t="shared" si="0"/>
        <v>-21439942</v>
      </c>
      <c r="E9" s="661">
        <v>0</v>
      </c>
      <c r="F9" s="661"/>
      <c r="G9" s="493">
        <f t="shared" si="1"/>
        <v>0</v>
      </c>
      <c r="H9" s="662">
        <f t="shared" si="2"/>
        <v>-21439942</v>
      </c>
      <c r="I9" s="662">
        <f t="shared" si="2"/>
        <v>0</v>
      </c>
      <c r="J9" s="662">
        <f t="shared" si="2"/>
        <v>-21439942</v>
      </c>
    </row>
    <row r="10" spans="1:10" ht="16.5" customHeight="1">
      <c r="A10" s="494" t="s">
        <v>564</v>
      </c>
      <c r="B10" s="495">
        <v>15214500</v>
      </c>
      <c r="C10" s="495"/>
      <c r="D10" s="495">
        <f t="shared" si="0"/>
        <v>15214500</v>
      </c>
      <c r="E10" s="496">
        <v>0</v>
      </c>
      <c r="F10" s="496"/>
      <c r="G10" s="496">
        <f t="shared" si="1"/>
        <v>0</v>
      </c>
      <c r="H10" s="619">
        <f t="shared" si="2"/>
        <v>15214500</v>
      </c>
      <c r="I10" s="619">
        <f t="shared" si="2"/>
        <v>0</v>
      </c>
      <c r="J10" s="619">
        <f t="shared" si="2"/>
        <v>15214500</v>
      </c>
    </row>
    <row r="11" spans="1:10" s="480" customFormat="1" ht="16.5" customHeight="1">
      <c r="A11" s="497" t="s">
        <v>581</v>
      </c>
      <c r="B11" s="498">
        <v>10850</v>
      </c>
      <c r="C11" s="498"/>
      <c r="D11" s="498">
        <f t="shared" si="0"/>
        <v>10850</v>
      </c>
      <c r="E11" s="499">
        <v>0</v>
      </c>
      <c r="F11" s="499"/>
      <c r="G11" s="499">
        <f t="shared" si="1"/>
        <v>0</v>
      </c>
      <c r="H11" s="619">
        <f t="shared" si="2"/>
        <v>10850</v>
      </c>
      <c r="I11" s="619">
        <f t="shared" si="2"/>
        <v>0</v>
      </c>
      <c r="J11" s="619">
        <f t="shared" si="2"/>
        <v>10850</v>
      </c>
    </row>
    <row r="12" spans="1:10" s="480" customFormat="1" ht="16.5" customHeight="1" thickBot="1">
      <c r="A12" s="627" t="s">
        <v>583</v>
      </c>
      <c r="B12" s="628">
        <v>897600</v>
      </c>
      <c r="C12" s="628"/>
      <c r="D12" s="628">
        <f t="shared" si="0"/>
        <v>897600</v>
      </c>
      <c r="E12" s="629">
        <v>0</v>
      </c>
      <c r="F12" s="629"/>
      <c r="G12" s="629">
        <f t="shared" si="1"/>
        <v>0</v>
      </c>
      <c r="H12" s="620">
        <f t="shared" si="2"/>
        <v>897600</v>
      </c>
      <c r="I12" s="620">
        <f t="shared" si="2"/>
        <v>0</v>
      </c>
      <c r="J12" s="620">
        <f t="shared" si="2"/>
        <v>897600</v>
      </c>
    </row>
    <row r="13" spans="1:10" s="480" customFormat="1" ht="13.8" thickBot="1">
      <c r="A13" s="621" t="s">
        <v>566</v>
      </c>
      <c r="B13" s="516">
        <f>+B3+B4+B9+B10+B11+B12</f>
        <v>121217790</v>
      </c>
      <c r="C13" s="516"/>
      <c r="D13" s="516">
        <f t="shared" ref="D13:J13" si="3">+D3+D4+D9+D10+D11+D12</f>
        <v>121217790</v>
      </c>
      <c r="E13" s="516">
        <f t="shared" ref="E13" si="4">+E3+E4+E9+E10+E11+E12</f>
        <v>0</v>
      </c>
      <c r="F13" s="517"/>
      <c r="G13" s="517">
        <f t="shared" si="3"/>
        <v>0</v>
      </c>
      <c r="H13" s="630">
        <f t="shared" ref="H13:I13" si="5">+H3+H4+H9+H10+H11+H12</f>
        <v>121217790</v>
      </c>
      <c r="I13" s="630">
        <f t="shared" si="5"/>
        <v>0</v>
      </c>
      <c r="J13" s="630">
        <f t="shared" si="3"/>
        <v>121217790</v>
      </c>
    </row>
    <row r="14" spans="1:10" ht="16.5" customHeight="1">
      <c r="A14" s="503" t="s">
        <v>680</v>
      </c>
      <c r="B14" s="489">
        <v>64332800</v>
      </c>
      <c r="C14" s="489"/>
      <c r="D14" s="489">
        <f t="shared" ref="D14:D15" si="6">+B14+C14</f>
        <v>64332800</v>
      </c>
      <c r="E14" s="490">
        <v>69215200</v>
      </c>
      <c r="F14" s="490"/>
      <c r="G14" s="490">
        <f t="shared" ref="G14:G15" si="7">+E14+F14</f>
        <v>69215200</v>
      </c>
      <c r="H14" s="619">
        <f t="shared" si="2"/>
        <v>133548000</v>
      </c>
      <c r="I14" s="619">
        <f t="shared" si="2"/>
        <v>0</v>
      </c>
      <c r="J14" s="619">
        <f t="shared" si="2"/>
        <v>133548000</v>
      </c>
    </row>
    <row r="15" spans="1:10" ht="16.5" customHeight="1">
      <c r="A15" s="504" t="s">
        <v>628</v>
      </c>
      <c r="B15" s="495">
        <v>29438000</v>
      </c>
      <c r="C15" s="495"/>
      <c r="D15" s="495">
        <f t="shared" si="6"/>
        <v>29438000</v>
      </c>
      <c r="E15" s="496">
        <v>35038400</v>
      </c>
      <c r="F15" s="496"/>
      <c r="G15" s="496">
        <f t="shared" si="7"/>
        <v>35038400</v>
      </c>
      <c r="H15" s="620">
        <f t="shared" si="2"/>
        <v>64476400</v>
      </c>
      <c r="I15" s="620">
        <f t="shared" si="2"/>
        <v>0</v>
      </c>
      <c r="J15" s="620">
        <f t="shared" si="2"/>
        <v>64476400</v>
      </c>
    </row>
    <row r="16" spans="1:10" s="480" customFormat="1" ht="16.5" customHeight="1">
      <c r="A16" s="652" t="s">
        <v>567</v>
      </c>
      <c r="B16" s="501">
        <f>SUM(B14:B15)</f>
        <v>93770800</v>
      </c>
      <c r="C16" s="501"/>
      <c r="D16" s="501">
        <f>SUM(D14:D15)</f>
        <v>93770800</v>
      </c>
      <c r="E16" s="501">
        <v>104253600</v>
      </c>
      <c r="F16" s="502"/>
      <c r="G16" s="502">
        <v>104253600</v>
      </c>
      <c r="H16" s="847">
        <f t="shared" si="2"/>
        <v>198024400</v>
      </c>
      <c r="I16" s="847">
        <f t="shared" si="2"/>
        <v>0</v>
      </c>
      <c r="J16" s="847">
        <f t="shared" si="2"/>
        <v>198024400</v>
      </c>
    </row>
    <row r="17" spans="1:10" s="480" customFormat="1" ht="16.5" customHeight="1">
      <c r="A17" s="652" t="s">
        <v>568</v>
      </c>
      <c r="B17" s="501">
        <v>717500</v>
      </c>
      <c r="C17" s="501"/>
      <c r="D17" s="501">
        <f>+B17+C17</f>
        <v>717500</v>
      </c>
      <c r="E17" s="502">
        <v>854000</v>
      </c>
      <c r="F17" s="502"/>
      <c r="G17" s="502">
        <f>+E17+F17</f>
        <v>854000</v>
      </c>
      <c r="H17" s="847">
        <f t="shared" si="2"/>
        <v>1571500</v>
      </c>
      <c r="I17" s="847">
        <f t="shared" si="2"/>
        <v>0</v>
      </c>
      <c r="J17" s="847">
        <f t="shared" si="2"/>
        <v>1571500</v>
      </c>
    </row>
    <row r="18" spans="1:10" s="480" customFormat="1" ht="33.75" customHeight="1">
      <c r="A18" s="658" t="s">
        <v>589</v>
      </c>
      <c r="B18" s="501">
        <v>1856000</v>
      </c>
      <c r="C18" s="501"/>
      <c r="D18" s="501">
        <f>+B18+C18</f>
        <v>1856000</v>
      </c>
      <c r="E18" s="502">
        <v>1920000</v>
      </c>
      <c r="F18" s="502"/>
      <c r="G18" s="502">
        <f>+E18+F18</f>
        <v>1920000</v>
      </c>
      <c r="H18" s="847">
        <f t="shared" si="2"/>
        <v>3776000</v>
      </c>
      <c r="I18" s="847">
        <f t="shared" si="2"/>
        <v>0</v>
      </c>
      <c r="J18" s="847">
        <f t="shared" si="2"/>
        <v>3776000</v>
      </c>
    </row>
    <row r="19" spans="1:10" ht="16.5" customHeight="1">
      <c r="A19" s="503" t="s">
        <v>627</v>
      </c>
      <c r="B19" s="489">
        <v>16800000</v>
      </c>
      <c r="C19" s="489"/>
      <c r="D19" s="489">
        <f t="shared" ref="D19:D20" si="8">+B19+C19</f>
        <v>16800000</v>
      </c>
      <c r="E19" s="490">
        <v>18000000</v>
      </c>
      <c r="F19" s="490"/>
      <c r="G19" s="490">
        <f>+E19+F19</f>
        <v>18000000</v>
      </c>
      <c r="H19" s="619">
        <f t="shared" si="2"/>
        <v>34800000</v>
      </c>
      <c r="I19" s="619">
        <f t="shared" si="2"/>
        <v>0</v>
      </c>
      <c r="J19" s="619">
        <f t="shared" si="2"/>
        <v>34800000</v>
      </c>
    </row>
    <row r="20" spans="1:10" ht="16.5" customHeight="1">
      <c r="A20" s="504" t="s">
        <v>628</v>
      </c>
      <c r="B20" s="495">
        <v>8400000</v>
      </c>
      <c r="C20" s="495"/>
      <c r="D20" s="495">
        <f t="shared" si="8"/>
        <v>8400000</v>
      </c>
      <c r="E20" s="496">
        <v>9000000</v>
      </c>
      <c r="F20" s="496"/>
      <c r="G20" s="496">
        <f>+E20+F20</f>
        <v>9000000</v>
      </c>
      <c r="H20" s="620">
        <f t="shared" si="2"/>
        <v>17400000</v>
      </c>
      <c r="I20" s="620">
        <f t="shared" si="2"/>
        <v>0</v>
      </c>
      <c r="J20" s="620">
        <f t="shared" si="2"/>
        <v>17400000</v>
      </c>
    </row>
    <row r="21" spans="1:10" s="480" customFormat="1" ht="29.25" customHeight="1">
      <c r="A21" s="653" t="s">
        <v>569</v>
      </c>
      <c r="B21" s="501">
        <f t="shared" ref="B21" si="9">SUM(B19:B20)</f>
        <v>25200000</v>
      </c>
      <c r="C21" s="501"/>
      <c r="D21" s="501">
        <f t="shared" ref="D21:G21" si="10">SUM(D19:D20)</f>
        <v>25200000</v>
      </c>
      <c r="E21" s="501">
        <f t="shared" ref="E21" si="11">SUM(E19:E20)</f>
        <v>27000000</v>
      </c>
      <c r="F21" s="502"/>
      <c r="G21" s="502">
        <f t="shared" si="10"/>
        <v>27000000</v>
      </c>
      <c r="H21" s="847">
        <f t="shared" si="2"/>
        <v>52200000</v>
      </c>
      <c r="I21" s="847">
        <f t="shared" si="2"/>
        <v>0</v>
      </c>
      <c r="J21" s="847">
        <f t="shared" si="2"/>
        <v>52200000</v>
      </c>
    </row>
    <row r="22" spans="1:10" ht="16.5" customHeight="1">
      <c r="A22" s="503" t="s">
        <v>627</v>
      </c>
      <c r="B22" s="489">
        <v>12960000</v>
      </c>
      <c r="C22" s="489"/>
      <c r="D22" s="489">
        <f t="shared" ref="D22:D23" si="12">+B22+C22</f>
        <v>12960000</v>
      </c>
      <c r="E22" s="490">
        <v>14293333</v>
      </c>
      <c r="F22" s="490"/>
      <c r="G22" s="490">
        <f>+E22+F22</f>
        <v>14293333</v>
      </c>
      <c r="H22" s="619">
        <f t="shared" si="2"/>
        <v>27253333</v>
      </c>
      <c r="I22" s="619">
        <f t="shared" si="2"/>
        <v>0</v>
      </c>
      <c r="J22" s="619">
        <f t="shared" si="2"/>
        <v>27253333</v>
      </c>
    </row>
    <row r="23" spans="1:10" ht="16.5" customHeight="1">
      <c r="A23" s="504" t="s">
        <v>628</v>
      </c>
      <c r="B23" s="495">
        <v>6053333</v>
      </c>
      <c r="C23" s="495"/>
      <c r="D23" s="495">
        <f t="shared" si="12"/>
        <v>6053333</v>
      </c>
      <c r="E23" s="496">
        <v>7280000</v>
      </c>
      <c r="F23" s="496"/>
      <c r="G23" s="496">
        <f>+E23+F23</f>
        <v>7280000</v>
      </c>
      <c r="H23" s="620">
        <f t="shared" si="2"/>
        <v>13333333</v>
      </c>
      <c r="I23" s="620">
        <f t="shared" si="2"/>
        <v>0</v>
      </c>
      <c r="J23" s="620">
        <f t="shared" si="2"/>
        <v>13333333</v>
      </c>
    </row>
    <row r="24" spans="1:10" s="480" customFormat="1" ht="16.5" customHeight="1">
      <c r="A24" s="652" t="s">
        <v>570</v>
      </c>
      <c r="B24" s="501">
        <f t="shared" ref="B24" si="13">+B22+B23</f>
        <v>19013333</v>
      </c>
      <c r="C24" s="501"/>
      <c r="D24" s="501">
        <f t="shared" ref="D24:G24" si="14">+D22+D23</f>
        <v>19013333</v>
      </c>
      <c r="E24" s="501">
        <f t="shared" ref="E24" si="15">+E22+E23</f>
        <v>21573333</v>
      </c>
      <c r="F24" s="502"/>
      <c r="G24" s="502">
        <f t="shared" si="14"/>
        <v>21573333</v>
      </c>
      <c r="H24" s="847">
        <f t="shared" si="2"/>
        <v>40586666</v>
      </c>
      <c r="I24" s="847">
        <f t="shared" si="2"/>
        <v>0</v>
      </c>
      <c r="J24" s="847">
        <f t="shared" si="2"/>
        <v>40586666</v>
      </c>
    </row>
    <row r="25" spans="1:10" ht="16.5" customHeight="1">
      <c r="A25" s="505" t="s">
        <v>571</v>
      </c>
      <c r="B25" s="506">
        <v>28252439</v>
      </c>
      <c r="C25" s="506"/>
      <c r="D25" s="506">
        <f t="shared" ref="D25:D26" si="16">+B25+C25</f>
        <v>28252439</v>
      </c>
      <c r="E25" s="507">
        <v>1841641</v>
      </c>
      <c r="F25" s="507"/>
      <c r="G25" s="507">
        <f>+E25+F25</f>
        <v>1841641</v>
      </c>
      <c r="H25" s="619">
        <f t="shared" si="2"/>
        <v>30094080</v>
      </c>
      <c r="I25" s="619">
        <f t="shared" si="2"/>
        <v>0</v>
      </c>
      <c r="J25" s="619">
        <f t="shared" si="2"/>
        <v>30094080</v>
      </c>
    </row>
    <row r="26" spans="1:10" ht="16.5" customHeight="1">
      <c r="A26" s="508" t="s">
        <v>572</v>
      </c>
      <c r="B26" s="509">
        <v>37009287</v>
      </c>
      <c r="C26" s="509"/>
      <c r="D26" s="509">
        <f t="shared" si="16"/>
        <v>37009287</v>
      </c>
      <c r="E26" s="510">
        <v>2044587</v>
      </c>
      <c r="F26" s="510"/>
      <c r="G26" s="510">
        <v>2044587</v>
      </c>
      <c r="H26" s="620">
        <f t="shared" si="2"/>
        <v>39053874</v>
      </c>
      <c r="I26" s="620">
        <f t="shared" si="2"/>
        <v>0</v>
      </c>
      <c r="J26" s="620">
        <f t="shared" si="2"/>
        <v>39053874</v>
      </c>
    </row>
    <row r="27" spans="1:10" s="480" customFormat="1" ht="16.5" customHeight="1" thickBot="1">
      <c r="A27" s="654" t="s">
        <v>573</v>
      </c>
      <c r="B27" s="655">
        <f t="shared" ref="B27" si="17">SUM(B25:B26)</f>
        <v>65261726</v>
      </c>
      <c r="C27" s="655"/>
      <c r="D27" s="655">
        <f t="shared" ref="D27" si="18">SUM(D25:D26)</f>
        <v>65261726</v>
      </c>
      <c r="E27" s="655">
        <f t="shared" ref="E27" si="19">SUM(E25:E26)</f>
        <v>3886228</v>
      </c>
      <c r="F27" s="656"/>
      <c r="G27" s="512">
        <f>+E27+F27</f>
        <v>3886228</v>
      </c>
      <c r="H27" s="848">
        <f t="shared" si="2"/>
        <v>69147954</v>
      </c>
      <c r="I27" s="848">
        <f t="shared" si="2"/>
        <v>0</v>
      </c>
      <c r="J27" s="848">
        <f t="shared" si="2"/>
        <v>69147954</v>
      </c>
    </row>
    <row r="28" spans="1:10" ht="16.5" customHeight="1" thickBot="1">
      <c r="A28" s="621" t="s">
        <v>574</v>
      </c>
      <c r="B28" s="516">
        <f>+B27+B24+B21+B18+B17+B16</f>
        <v>205819359</v>
      </c>
      <c r="C28" s="516"/>
      <c r="D28" s="516">
        <f>+D27+D24+D21+D18+D17+D16</f>
        <v>205819359</v>
      </c>
      <c r="E28" s="516">
        <f t="shared" ref="E28" si="20">+E27+E24+E21+E18+E17+E16</f>
        <v>159487161</v>
      </c>
      <c r="F28" s="517"/>
      <c r="G28" s="517">
        <f t="shared" ref="G28" si="21">+G27+G24+G21+G18+G17+G16</f>
        <v>159487161</v>
      </c>
      <c r="H28" s="622">
        <f t="shared" si="2"/>
        <v>365306520</v>
      </c>
      <c r="I28" s="622">
        <f t="shared" si="2"/>
        <v>0</v>
      </c>
      <c r="J28" s="622">
        <f t="shared" si="2"/>
        <v>365306520</v>
      </c>
    </row>
    <row r="29" spans="1:10" ht="16.5" customHeight="1">
      <c r="A29" s="513" t="s">
        <v>686</v>
      </c>
      <c r="B29" s="489"/>
      <c r="C29" s="489"/>
      <c r="D29" s="489"/>
      <c r="E29" s="849">
        <v>15000000</v>
      </c>
      <c r="F29" s="850"/>
      <c r="G29" s="490">
        <f t="shared" ref="G29:G36" si="22">+E29+F29</f>
        <v>15000000</v>
      </c>
      <c r="H29" s="619">
        <f t="shared" si="2"/>
        <v>15000000</v>
      </c>
      <c r="I29" s="619">
        <f t="shared" si="2"/>
        <v>0</v>
      </c>
      <c r="J29" s="619">
        <f t="shared" si="2"/>
        <v>15000000</v>
      </c>
    </row>
    <row r="30" spans="1:10" ht="16.5" customHeight="1">
      <c r="A30" s="513" t="s">
        <v>687</v>
      </c>
      <c r="B30" s="489"/>
      <c r="C30" s="489"/>
      <c r="D30" s="489"/>
      <c r="E30" s="489">
        <v>9900000</v>
      </c>
      <c r="F30" s="845"/>
      <c r="G30" s="490">
        <f t="shared" si="22"/>
        <v>9900000</v>
      </c>
      <c r="H30" s="619">
        <f t="shared" si="2"/>
        <v>9900000</v>
      </c>
      <c r="I30" s="619">
        <f t="shared" si="2"/>
        <v>0</v>
      </c>
      <c r="J30" s="619">
        <f t="shared" si="2"/>
        <v>9900000</v>
      </c>
    </row>
    <row r="31" spans="1:10" ht="16.5" customHeight="1">
      <c r="A31" s="513" t="s">
        <v>688</v>
      </c>
      <c r="B31" s="657"/>
      <c r="C31" s="489"/>
      <c r="D31" s="657"/>
      <c r="E31" s="490">
        <v>996480</v>
      </c>
      <c r="F31" s="490"/>
      <c r="G31" s="490">
        <f t="shared" si="22"/>
        <v>996480</v>
      </c>
      <c r="H31" s="619">
        <f t="shared" si="2"/>
        <v>996480</v>
      </c>
      <c r="I31" s="619">
        <f t="shared" si="2"/>
        <v>0</v>
      </c>
      <c r="J31" s="619">
        <f t="shared" si="2"/>
        <v>996480</v>
      </c>
    </row>
    <row r="32" spans="1:10" ht="16.5" customHeight="1">
      <c r="A32" s="491" t="s">
        <v>575</v>
      </c>
      <c r="B32" s="492"/>
      <c r="C32" s="492"/>
      <c r="D32" s="492"/>
      <c r="E32" s="493">
        <v>20358000</v>
      </c>
      <c r="F32" s="493"/>
      <c r="G32" s="493">
        <f t="shared" si="22"/>
        <v>20358000</v>
      </c>
      <c r="H32" s="619">
        <f t="shared" si="2"/>
        <v>20358000</v>
      </c>
      <c r="I32" s="619">
        <f t="shared" si="2"/>
        <v>0</v>
      </c>
      <c r="J32" s="619">
        <f t="shared" si="2"/>
        <v>20358000</v>
      </c>
    </row>
    <row r="33" spans="1:10" ht="16.5" customHeight="1">
      <c r="A33" s="491" t="s">
        <v>576</v>
      </c>
      <c r="B33" s="492"/>
      <c r="C33" s="492"/>
      <c r="D33" s="492"/>
      <c r="E33" s="493">
        <v>1144500</v>
      </c>
      <c r="F33" s="493"/>
      <c r="G33" s="493">
        <f t="shared" si="22"/>
        <v>1144500</v>
      </c>
      <c r="H33" s="619">
        <f t="shared" si="2"/>
        <v>1144500</v>
      </c>
      <c r="I33" s="619">
        <f t="shared" si="2"/>
        <v>0</v>
      </c>
      <c r="J33" s="619">
        <f t="shared" si="2"/>
        <v>1144500</v>
      </c>
    </row>
    <row r="34" spans="1:10" ht="16.5" customHeight="1">
      <c r="A34" s="491" t="s">
        <v>577</v>
      </c>
      <c r="B34" s="492"/>
      <c r="C34" s="492"/>
      <c r="D34" s="492"/>
      <c r="E34" s="493">
        <v>2500000</v>
      </c>
      <c r="F34" s="493"/>
      <c r="G34" s="493">
        <f t="shared" si="22"/>
        <v>2500000</v>
      </c>
      <c r="H34" s="619">
        <f t="shared" si="2"/>
        <v>2500000</v>
      </c>
      <c r="I34" s="619">
        <f t="shared" si="2"/>
        <v>0</v>
      </c>
      <c r="J34" s="619">
        <f t="shared" si="2"/>
        <v>2500000</v>
      </c>
    </row>
    <row r="35" spans="1:10" ht="16.5" customHeight="1">
      <c r="A35" s="491" t="s">
        <v>578</v>
      </c>
      <c r="B35" s="492"/>
      <c r="C35" s="492"/>
      <c r="D35" s="492"/>
      <c r="E35" s="493">
        <v>1743300</v>
      </c>
      <c r="F35" s="493"/>
      <c r="G35" s="493">
        <f t="shared" si="22"/>
        <v>1743300</v>
      </c>
      <c r="H35" s="851">
        <f t="shared" si="2"/>
        <v>1743300</v>
      </c>
      <c r="I35" s="851">
        <f t="shared" si="2"/>
        <v>0</v>
      </c>
      <c r="J35" s="851">
        <f t="shared" si="2"/>
        <v>1743300</v>
      </c>
    </row>
    <row r="36" spans="1:10" ht="16.5" customHeight="1">
      <c r="A36" s="633" t="s">
        <v>689</v>
      </c>
      <c r="B36" s="511"/>
      <c r="C36" s="511"/>
      <c r="D36" s="511"/>
      <c r="E36" s="512">
        <v>8940000</v>
      </c>
      <c r="F36" s="512"/>
      <c r="G36" s="512">
        <f t="shared" si="22"/>
        <v>8940000</v>
      </c>
      <c r="H36" s="620">
        <f t="shared" si="2"/>
        <v>8940000</v>
      </c>
      <c r="I36" s="620">
        <f t="shared" si="2"/>
        <v>0</v>
      </c>
      <c r="J36" s="620">
        <f t="shared" si="2"/>
        <v>8940000</v>
      </c>
    </row>
    <row r="37" spans="1:10" s="480" customFormat="1" ht="16.5" customHeight="1">
      <c r="A37" s="514" t="s">
        <v>579</v>
      </c>
      <c r="B37" s="501">
        <v>0</v>
      </c>
      <c r="C37" s="501"/>
      <c r="D37" s="501">
        <f t="shared" ref="D37:D41" si="23">+B37+C37</f>
        <v>0</v>
      </c>
      <c r="E37" s="502">
        <f>SUM(E29:E36)</f>
        <v>60582280</v>
      </c>
      <c r="F37" s="502"/>
      <c r="G37" s="502">
        <f>SUM(G29:G36)</f>
        <v>60582280</v>
      </c>
      <c r="H37" s="847">
        <f t="shared" si="2"/>
        <v>60582280</v>
      </c>
      <c r="I37" s="847">
        <f t="shared" si="2"/>
        <v>0</v>
      </c>
      <c r="J37" s="847">
        <f t="shared" si="2"/>
        <v>60582280</v>
      </c>
    </row>
    <row r="38" spans="1:10" s="480" customFormat="1" ht="16.5" customHeight="1">
      <c r="A38" s="514" t="s">
        <v>685</v>
      </c>
      <c r="B38" s="501">
        <v>66120</v>
      </c>
      <c r="C38" s="501"/>
      <c r="D38" s="501">
        <f t="shared" si="23"/>
        <v>66120</v>
      </c>
      <c r="E38" s="502"/>
      <c r="F38" s="502"/>
      <c r="G38" s="502"/>
      <c r="H38" s="847">
        <f t="shared" ref="H38" si="24">+B38+E38</f>
        <v>66120</v>
      </c>
      <c r="I38" s="847">
        <f t="shared" ref="I38" si="25">+C38+F38</f>
        <v>0</v>
      </c>
      <c r="J38" s="847">
        <f t="shared" ref="J38" si="26">+D38+G38</f>
        <v>66120</v>
      </c>
    </row>
    <row r="39" spans="1:10" s="480" customFormat="1" ht="29.25" customHeight="1">
      <c r="A39" s="500" t="s">
        <v>565</v>
      </c>
      <c r="B39" s="501">
        <v>30965683</v>
      </c>
      <c r="C39" s="501"/>
      <c r="D39" s="501">
        <f t="shared" si="23"/>
        <v>30965683</v>
      </c>
      <c r="E39" s="502"/>
      <c r="F39" s="502"/>
      <c r="G39" s="502"/>
      <c r="H39" s="847">
        <f t="shared" si="2"/>
        <v>30965683</v>
      </c>
      <c r="I39" s="847">
        <f t="shared" si="2"/>
        <v>0</v>
      </c>
      <c r="J39" s="847">
        <f t="shared" si="2"/>
        <v>30965683</v>
      </c>
    </row>
    <row r="40" spans="1:10" s="480" customFormat="1" ht="16.5" customHeight="1">
      <c r="A40" s="500" t="s">
        <v>580</v>
      </c>
      <c r="B40" s="501">
        <v>6423900</v>
      </c>
      <c r="C40" s="501"/>
      <c r="D40" s="501">
        <f t="shared" si="23"/>
        <v>6423900</v>
      </c>
      <c r="E40" s="502"/>
      <c r="F40" s="502"/>
      <c r="G40" s="502"/>
      <c r="H40" s="847">
        <f t="shared" si="2"/>
        <v>6423900</v>
      </c>
      <c r="I40" s="847">
        <f t="shared" si="2"/>
        <v>0</v>
      </c>
      <c r="J40" s="847">
        <f t="shared" si="2"/>
        <v>6423900</v>
      </c>
    </row>
    <row r="41" spans="1:10" s="480" customFormat="1" ht="16.5" customHeight="1">
      <c r="A41" s="500" t="s">
        <v>582</v>
      </c>
      <c r="B41" s="501">
        <v>5668000</v>
      </c>
      <c r="C41" s="501"/>
      <c r="D41" s="501">
        <f t="shared" si="23"/>
        <v>5668000</v>
      </c>
      <c r="E41" s="502"/>
      <c r="F41" s="502"/>
      <c r="G41" s="502"/>
      <c r="H41" s="847">
        <f t="shared" si="2"/>
        <v>5668000</v>
      </c>
      <c r="I41" s="847">
        <f t="shared" si="2"/>
        <v>0</v>
      </c>
      <c r="J41" s="847">
        <f t="shared" si="2"/>
        <v>5668000</v>
      </c>
    </row>
    <row r="42" spans="1:10" s="480" customFormat="1" ht="16.5" customHeight="1">
      <c r="A42" s="514" t="s">
        <v>584</v>
      </c>
      <c r="B42" s="501"/>
      <c r="C42" s="501"/>
      <c r="D42" s="501"/>
      <c r="E42" s="502"/>
      <c r="F42" s="502"/>
      <c r="G42" s="502"/>
      <c r="H42" s="847">
        <f t="shared" si="2"/>
        <v>0</v>
      </c>
      <c r="I42" s="847">
        <f t="shared" si="2"/>
        <v>0</v>
      </c>
      <c r="J42" s="847">
        <f t="shared" si="2"/>
        <v>0</v>
      </c>
    </row>
    <row r="43" spans="1:10" s="480" customFormat="1" ht="16.5" customHeight="1" thickBot="1">
      <c r="A43" s="623" t="s">
        <v>585</v>
      </c>
      <c r="B43" s="624">
        <f>+'[4]4.mell. Normatíva'!$D$43</f>
        <v>974143</v>
      </c>
      <c r="C43" s="624"/>
      <c r="D43" s="624">
        <f>+B43+C43</f>
        <v>974143</v>
      </c>
      <c r="E43" s="625">
        <f>+'[4]4.mell. Normatíva'!$G$43</f>
        <v>1615186</v>
      </c>
      <c r="F43" s="625"/>
      <c r="G43" s="625">
        <f>+E43+F43</f>
        <v>1615186</v>
      </c>
      <c r="H43" s="620">
        <f t="shared" si="2"/>
        <v>2589329</v>
      </c>
      <c r="I43" s="620">
        <f t="shared" si="2"/>
        <v>0</v>
      </c>
      <c r="J43" s="620">
        <f t="shared" si="2"/>
        <v>2589329</v>
      </c>
    </row>
    <row r="44" spans="1:10" s="480" customFormat="1" ht="16.5" customHeight="1" thickBot="1">
      <c r="A44" s="515" t="s">
        <v>586</v>
      </c>
      <c r="B44" s="516">
        <f>+B41+B40+B39+B28+B13+B38+B37+B43+B42</f>
        <v>371134995</v>
      </c>
      <c r="C44" s="516">
        <f t="shared" ref="C44:J44" si="27">+C41+C40+C39+C28+C13+C38+C37+C43+C42</f>
        <v>0</v>
      </c>
      <c r="D44" s="516">
        <f t="shared" si="27"/>
        <v>371134995</v>
      </c>
      <c r="E44" s="517">
        <f t="shared" si="27"/>
        <v>221684627</v>
      </c>
      <c r="F44" s="517">
        <f t="shared" si="27"/>
        <v>0</v>
      </c>
      <c r="G44" s="517">
        <f t="shared" si="27"/>
        <v>221684627</v>
      </c>
      <c r="H44" s="630">
        <f t="shared" si="27"/>
        <v>592819622</v>
      </c>
      <c r="I44" s="630">
        <f t="shared" si="27"/>
        <v>0</v>
      </c>
      <c r="J44" s="630">
        <f t="shared" si="27"/>
        <v>592819622</v>
      </c>
    </row>
    <row r="45" spans="1:10" ht="13.2" hidden="1" customHeight="1"/>
    <row r="46" spans="1:10" ht="13.2" hidden="1" customHeight="1"/>
    <row r="47" spans="1:10" ht="13.2" hidden="1" customHeight="1">
      <c r="E47" s="482"/>
      <c r="F47" s="483"/>
      <c r="G47" s="483"/>
    </row>
    <row r="48" spans="1:10" ht="25.5" hidden="1" customHeight="1">
      <c r="E48" s="601"/>
      <c r="F48" s="484"/>
      <c r="G48" s="484"/>
    </row>
    <row r="49" spans="1:10" ht="13.2" hidden="1" customHeight="1"/>
    <row r="50" spans="1:10" ht="13.2" hidden="1" customHeight="1"/>
    <row r="51" spans="1:10" ht="13.2" hidden="1" customHeight="1"/>
    <row r="52" spans="1:10" ht="13.2" hidden="1" customHeight="1"/>
    <row r="53" spans="1:10" ht="13.2" hidden="1" customHeight="1">
      <c r="E53" s="482"/>
      <c r="F53" s="483"/>
      <c r="G53" s="483"/>
    </row>
    <row r="54" spans="1:10" ht="12.75" hidden="1" customHeight="1">
      <c r="E54" s="601"/>
      <c r="F54" s="484"/>
      <c r="G54" s="484"/>
    </row>
    <row r="55" spans="1:10" ht="13.2" hidden="1" customHeight="1"/>
    <row r="56" spans="1:10" ht="13.2" hidden="1" customHeight="1"/>
    <row r="57" spans="1:10" ht="13.2" hidden="1" customHeight="1"/>
    <row r="58" spans="1:10" ht="13.2" hidden="1" customHeight="1"/>
    <row r="59" spans="1:10" ht="13.2" hidden="1" customHeight="1"/>
    <row r="60" spans="1:10" ht="13.2" hidden="1" customHeight="1"/>
    <row r="61" spans="1:10" ht="13.2" hidden="1" customHeight="1"/>
    <row r="62" spans="1:10" ht="13.2" hidden="1" customHeight="1">
      <c r="A62" s="479" t="s">
        <v>590</v>
      </c>
    </row>
    <row r="63" spans="1:10" ht="26.4" hidden="1" customHeight="1">
      <c r="B63" s="481" t="s">
        <v>591</v>
      </c>
      <c r="D63" s="481" t="s">
        <v>592</v>
      </c>
      <c r="E63" s="485" t="s">
        <v>593</v>
      </c>
      <c r="F63" s="485"/>
      <c r="G63" s="485"/>
      <c r="H63" s="480" t="s">
        <v>594</v>
      </c>
      <c r="J63" s="480" t="s">
        <v>594</v>
      </c>
    </row>
    <row r="64" spans="1:10" ht="13.2" hidden="1" customHeight="1">
      <c r="B64" s="481">
        <v>19</v>
      </c>
      <c r="D64" s="481">
        <v>26</v>
      </c>
      <c r="E64" s="479">
        <v>2</v>
      </c>
      <c r="H64" s="480">
        <f>+C64+E64</f>
        <v>2</v>
      </c>
      <c r="J64" s="480">
        <f>+E64+G64</f>
        <v>2</v>
      </c>
    </row>
    <row r="65" ht="13.2" hidden="1" customHeight="1"/>
    <row r="66" ht="13.2" hidden="1" customHeight="1"/>
    <row r="67" ht="13.2" hidden="1" customHeight="1"/>
    <row r="68" ht="13.2" hidden="1" customHeight="1"/>
  </sheetData>
  <mergeCells count="4">
    <mergeCell ref="A1:A2"/>
    <mergeCell ref="B1:D1"/>
    <mergeCell ref="E1:G1"/>
    <mergeCell ref="H1:J1"/>
  </mergeCells>
  <printOptions horizontalCentered="1"/>
  <pageMargins left="0.70866141732283472" right="0.70866141732283472" top="0.9055118110236221" bottom="0.74803149606299213" header="0.39370078740157483" footer="0.31496062992125984"/>
  <pageSetup paperSize="9" scale="56" orientation="landscape" r:id="rId1"/>
  <headerFooter>
    <oddHeader>&amp;C&amp;"Times New Roman,Félkövér"&amp;14MARTONVÁSÁR VÁROS ÖNKORMÁNYZATA &amp;"Times New Roman,Normál"NORMATÍV TÁMOGATÁSOK KIMUTATÁSA      &amp;R&amp;"Times New Roman,Félkövér"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D30"/>
  <sheetViews>
    <sheetView zoomScale="90" zoomScaleNormal="90" workbookViewId="0">
      <pane xSplit="3" ySplit="2" topLeftCell="D3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E18" sqref="E18"/>
    </sheetView>
  </sheetViews>
  <sheetFormatPr defaultColWidth="9.109375" defaultRowHeight="14.4"/>
  <cols>
    <col min="1" max="1" width="6.33203125" style="465" customWidth="1"/>
    <col min="2" max="2" width="7.109375" style="217" customWidth="1"/>
    <col min="3" max="3" width="22" style="217" customWidth="1"/>
    <col min="4" max="4" width="8.88671875" style="68" customWidth="1"/>
    <col min="5" max="5" width="8.5546875" style="68" customWidth="1"/>
    <col min="6" max="6" width="9" style="68" customWidth="1"/>
    <col min="7" max="27" width="8.5546875" style="68" customWidth="1"/>
    <col min="28" max="29" width="9.109375" style="467"/>
    <col min="30" max="30" width="9.109375" style="1"/>
    <col min="31" max="16384" width="9.109375" style="19"/>
  </cols>
  <sheetData>
    <row r="1" spans="1:29" s="34" customFormat="1" ht="12.75" customHeight="1">
      <c r="A1" s="991" t="s">
        <v>0</v>
      </c>
      <c r="B1" s="993" t="s">
        <v>180</v>
      </c>
      <c r="C1" s="994"/>
      <c r="D1" s="997" t="s">
        <v>178</v>
      </c>
      <c r="E1" s="998"/>
      <c r="F1" s="998"/>
      <c r="G1" s="997" t="s">
        <v>262</v>
      </c>
      <c r="H1" s="998"/>
      <c r="I1" s="999"/>
      <c r="J1" s="1000" t="s">
        <v>525</v>
      </c>
      <c r="K1" s="998"/>
      <c r="L1" s="1001"/>
      <c r="M1" s="997" t="s">
        <v>526</v>
      </c>
      <c r="N1" s="998"/>
      <c r="O1" s="999"/>
      <c r="P1" s="997" t="s">
        <v>527</v>
      </c>
      <c r="Q1" s="998"/>
      <c r="R1" s="999"/>
      <c r="S1" s="997" t="s">
        <v>263</v>
      </c>
      <c r="T1" s="998"/>
      <c r="U1" s="999"/>
      <c r="V1" s="997" t="s">
        <v>528</v>
      </c>
      <c r="W1" s="998"/>
      <c r="X1" s="999"/>
      <c r="Y1" s="1000" t="s">
        <v>264</v>
      </c>
      <c r="Z1" s="998"/>
      <c r="AA1" s="999"/>
      <c r="AB1" s="457"/>
      <c r="AC1" s="457"/>
    </row>
    <row r="2" spans="1:29" s="18" customFormat="1" ht="27" thickBot="1">
      <c r="A2" s="992"/>
      <c r="B2" s="995"/>
      <c r="C2" s="996"/>
      <c r="D2" s="468" t="s">
        <v>753</v>
      </c>
      <c r="E2" s="468" t="s">
        <v>745</v>
      </c>
      <c r="F2" s="875" t="s">
        <v>916</v>
      </c>
      <c r="G2" s="923" t="s">
        <v>753</v>
      </c>
      <c r="H2" s="468" t="s">
        <v>745</v>
      </c>
      <c r="I2" s="875" t="s">
        <v>916</v>
      </c>
      <c r="J2" s="923" t="s">
        <v>753</v>
      </c>
      <c r="K2" s="468" t="s">
        <v>745</v>
      </c>
      <c r="L2" s="875" t="s">
        <v>916</v>
      </c>
      <c r="M2" s="923" t="s">
        <v>753</v>
      </c>
      <c r="N2" s="468" t="s">
        <v>745</v>
      </c>
      <c r="O2" s="875" t="s">
        <v>916</v>
      </c>
      <c r="P2" s="923" t="s">
        <v>753</v>
      </c>
      <c r="Q2" s="468" t="s">
        <v>745</v>
      </c>
      <c r="R2" s="875" t="s">
        <v>916</v>
      </c>
      <c r="S2" s="923" t="s">
        <v>753</v>
      </c>
      <c r="T2" s="468" t="s">
        <v>745</v>
      </c>
      <c r="U2" s="875" t="s">
        <v>916</v>
      </c>
      <c r="V2" s="923" t="s">
        <v>753</v>
      </c>
      <c r="W2" s="468" t="s">
        <v>745</v>
      </c>
      <c r="X2" s="875" t="s">
        <v>916</v>
      </c>
      <c r="Y2" s="923" t="s">
        <v>753</v>
      </c>
      <c r="Z2" s="468" t="s">
        <v>745</v>
      </c>
      <c r="AA2" s="875" t="s">
        <v>916</v>
      </c>
      <c r="AB2" s="466"/>
      <c r="AC2" s="466"/>
    </row>
    <row r="3" spans="1:29" s="47" customFormat="1" ht="13.2">
      <c r="A3" s="563" t="s">
        <v>27</v>
      </c>
      <c r="B3" s="976" t="s">
        <v>175</v>
      </c>
      <c r="C3" s="977"/>
      <c r="D3" s="570">
        <f>+G3+J3+M3+P3+S3+V3+Y3</f>
        <v>19349</v>
      </c>
      <c r="E3" s="571">
        <f t="shared" ref="E3:F5" si="0">+H3+K3+N3+Q3+T3+W3+Z3</f>
        <v>435</v>
      </c>
      <c r="F3" s="571">
        <f t="shared" si="0"/>
        <v>19784</v>
      </c>
      <c r="G3" s="570">
        <f>+'5.a. mell. Jogalkotás'!D5</f>
        <v>0</v>
      </c>
      <c r="H3" s="571">
        <f>+'5.a. mell. Jogalkotás'!E5</f>
        <v>0</v>
      </c>
      <c r="I3" s="572">
        <f>+'5.a. mell. Jogalkotás'!F5</f>
        <v>0</v>
      </c>
      <c r="J3" s="573"/>
      <c r="K3" s="571"/>
      <c r="L3" s="574"/>
      <c r="M3" s="570">
        <f>+'5.c. mell. VF Eu forrásból'!D5</f>
        <v>0</v>
      </c>
      <c r="N3" s="571">
        <f>+'5.c. mell. VF Eu forrásból'!E5</f>
        <v>0</v>
      </c>
      <c r="O3" s="572">
        <f>+'5.c. mell. VF Eu forrásból'!F5</f>
        <v>0</v>
      </c>
      <c r="P3" s="570">
        <f>+'5.d. mell. Védőnő, EÜ'!D5</f>
        <v>8199</v>
      </c>
      <c r="Q3" s="571">
        <f>+'5.d. mell. Védőnő, EÜ'!E5</f>
        <v>435</v>
      </c>
      <c r="R3" s="572">
        <f>+'5.d. mell. Védőnő, EÜ'!F5</f>
        <v>8634</v>
      </c>
      <c r="S3" s="570"/>
      <c r="T3" s="571"/>
      <c r="U3" s="572"/>
      <c r="V3" s="570"/>
      <c r="W3" s="571"/>
      <c r="X3" s="572"/>
      <c r="Y3" s="573">
        <f>+'5.g. mell. Egyéb tev.'!D6</f>
        <v>11150</v>
      </c>
      <c r="Z3" s="571">
        <f>+'5.g. mell. Egyéb tev.'!E6</f>
        <v>0</v>
      </c>
      <c r="AA3" s="572">
        <f>+'5.g. mell. Egyéb tev.'!F6</f>
        <v>11150</v>
      </c>
      <c r="AB3" s="345"/>
      <c r="AC3" s="345"/>
    </row>
    <row r="4" spans="1:29" s="47" customFormat="1" ht="12.75" customHeight="1">
      <c r="A4" s="564" t="s">
        <v>34</v>
      </c>
      <c r="B4" s="980" t="s">
        <v>174</v>
      </c>
      <c r="C4" s="981"/>
      <c r="D4" s="570">
        <f t="shared" ref="D4:D5" si="1">+G4+J4+M4+P4+S4+V4+Y4</f>
        <v>19840</v>
      </c>
      <c r="E4" s="575">
        <f t="shared" si="0"/>
        <v>2255</v>
      </c>
      <c r="F4" s="575">
        <f t="shared" si="0"/>
        <v>22095</v>
      </c>
      <c r="G4" s="576">
        <f>+'5.a. mell. Jogalkotás'!D6</f>
        <v>17783</v>
      </c>
      <c r="H4" s="575">
        <f>+'5.a. mell. Jogalkotás'!E6</f>
        <v>1728</v>
      </c>
      <c r="I4" s="577">
        <f>+'5.a. mell. Jogalkotás'!F6</f>
        <v>19511</v>
      </c>
      <c r="J4" s="578"/>
      <c r="K4" s="575"/>
      <c r="L4" s="579"/>
      <c r="M4" s="576">
        <f>+'5.c. mell. VF Eu forrásból'!D6</f>
        <v>0</v>
      </c>
      <c r="N4" s="575">
        <f>+'5.c. mell. VF Eu forrásból'!E6</f>
        <v>0</v>
      </c>
      <c r="O4" s="577">
        <f>+'5.c. mell. VF Eu forrásból'!F6</f>
        <v>0</v>
      </c>
      <c r="P4" s="576">
        <f>+'5.d. mell. Védőnő, EÜ'!D6</f>
        <v>2057</v>
      </c>
      <c r="Q4" s="575">
        <f>+'5.d. mell. Védőnő, EÜ'!E6</f>
        <v>246</v>
      </c>
      <c r="R4" s="577">
        <f>+'5.d. mell. Védőnő, EÜ'!F6</f>
        <v>2303</v>
      </c>
      <c r="S4" s="576"/>
      <c r="T4" s="575"/>
      <c r="U4" s="577"/>
      <c r="V4" s="576"/>
      <c r="W4" s="575"/>
      <c r="X4" s="577"/>
      <c r="Y4" s="578">
        <f>+'5.g. mell. Egyéb tev.'!D7</f>
        <v>0</v>
      </c>
      <c r="Z4" s="575">
        <f>+'5.g. mell. Egyéb tev.'!E7</f>
        <v>281</v>
      </c>
      <c r="AA4" s="577">
        <f>+'5.g. mell. Egyéb tev.'!F7</f>
        <v>281</v>
      </c>
      <c r="AB4" s="345"/>
      <c r="AC4" s="345"/>
    </row>
    <row r="5" spans="1:29" s="47" customFormat="1" ht="12.75" customHeight="1">
      <c r="A5" s="565" t="s">
        <v>35</v>
      </c>
      <c r="B5" s="978" t="s">
        <v>173</v>
      </c>
      <c r="C5" s="979"/>
      <c r="D5" s="570">
        <f t="shared" si="1"/>
        <v>39189</v>
      </c>
      <c r="E5" s="575">
        <f t="shared" si="0"/>
        <v>2690</v>
      </c>
      <c r="F5" s="575">
        <f t="shared" si="0"/>
        <v>41879</v>
      </c>
      <c r="G5" s="576">
        <f>+G3+G4</f>
        <v>17783</v>
      </c>
      <c r="H5" s="575">
        <f t="shared" ref="H5:I5" si="2">+H3+H4</f>
        <v>1728</v>
      </c>
      <c r="I5" s="577">
        <f t="shared" si="2"/>
        <v>19511</v>
      </c>
      <c r="J5" s="578"/>
      <c r="K5" s="575"/>
      <c r="L5" s="579"/>
      <c r="M5" s="576">
        <f>+M3+M4</f>
        <v>0</v>
      </c>
      <c r="N5" s="575">
        <f t="shared" ref="N5:O5" si="3">+N3+N4</f>
        <v>0</v>
      </c>
      <c r="O5" s="577">
        <f t="shared" si="3"/>
        <v>0</v>
      </c>
      <c r="P5" s="576">
        <f>+P3+P4</f>
        <v>10256</v>
      </c>
      <c r="Q5" s="575">
        <f t="shared" ref="Q5:R5" si="4">+Q3+Q4</f>
        <v>681</v>
      </c>
      <c r="R5" s="577">
        <f t="shared" si="4"/>
        <v>10937</v>
      </c>
      <c r="S5" s="576"/>
      <c r="T5" s="575"/>
      <c r="U5" s="577"/>
      <c r="V5" s="576"/>
      <c r="W5" s="575"/>
      <c r="X5" s="577"/>
      <c r="Y5" s="578">
        <f>+'5.g. mell. Egyéb tev.'!D8</f>
        <v>11150</v>
      </c>
      <c r="Z5" s="575">
        <f>+'5.g. mell. Egyéb tev.'!E8</f>
        <v>281</v>
      </c>
      <c r="AA5" s="577">
        <f>+'5.g. mell. Egyéb tev.'!F8</f>
        <v>11431</v>
      </c>
      <c r="AB5" s="345"/>
      <c r="AC5" s="345"/>
    </row>
    <row r="6" spans="1:29">
      <c r="A6" s="200"/>
      <c r="B6" s="568"/>
      <c r="C6" s="469"/>
      <c r="D6" s="580"/>
      <c r="E6" s="746"/>
      <c r="F6" s="746"/>
      <c r="G6" s="582"/>
      <c r="H6" s="581"/>
      <c r="I6" s="583"/>
      <c r="J6" s="581"/>
      <c r="K6" s="581"/>
      <c r="L6" s="581"/>
      <c r="M6" s="582"/>
      <c r="N6" s="581"/>
      <c r="O6" s="583"/>
      <c r="P6" s="582"/>
      <c r="Q6" s="581"/>
      <c r="R6" s="583"/>
      <c r="S6" s="582"/>
      <c r="T6" s="581"/>
      <c r="U6" s="583"/>
      <c r="V6" s="582"/>
      <c r="W6" s="581"/>
      <c r="X6" s="583"/>
      <c r="Y6" s="581"/>
      <c r="Z6" s="581"/>
      <c r="AA6" s="583"/>
    </row>
    <row r="7" spans="1:29" s="47" customFormat="1" ht="12.75" customHeight="1">
      <c r="A7" s="565" t="s">
        <v>36</v>
      </c>
      <c r="B7" s="978" t="s">
        <v>172</v>
      </c>
      <c r="C7" s="979"/>
      <c r="D7" s="576">
        <f>+G7+J7+M7+P7+S7+V7+Y7</f>
        <v>10697</v>
      </c>
      <c r="E7" s="575">
        <f t="shared" ref="E7:F7" si="5">+H7+K7+N7+Q7+T7+W7+Z7</f>
        <v>525</v>
      </c>
      <c r="F7" s="575">
        <f t="shared" si="5"/>
        <v>11222</v>
      </c>
      <c r="G7" s="576">
        <f>+'5.a. mell. Jogalkotás'!D9</f>
        <v>4904</v>
      </c>
      <c r="H7" s="575">
        <f>+'5.a. mell. Jogalkotás'!E9</f>
        <v>298</v>
      </c>
      <c r="I7" s="577">
        <f>+'5.a. mell. Jogalkotás'!F9</f>
        <v>5202</v>
      </c>
      <c r="J7" s="578"/>
      <c r="K7" s="575"/>
      <c r="L7" s="579"/>
      <c r="M7" s="576">
        <f>+'5.c. mell. VF Eu forrásból'!D9</f>
        <v>0</v>
      </c>
      <c r="N7" s="575">
        <f>+'5.c. mell. VF Eu forrásból'!E9</f>
        <v>0</v>
      </c>
      <c r="O7" s="577">
        <f>+'5.c. mell. VF Eu forrásból'!F9</f>
        <v>0</v>
      </c>
      <c r="P7" s="576">
        <f>+'5.d. mell. Védőnő, EÜ'!D9</f>
        <v>2788</v>
      </c>
      <c r="Q7" s="575">
        <f>+'5.d. mell. Védőnő, EÜ'!E9</f>
        <v>183</v>
      </c>
      <c r="R7" s="577">
        <f>+'5.d. mell. Védőnő, EÜ'!F9</f>
        <v>2971</v>
      </c>
      <c r="S7" s="576"/>
      <c r="T7" s="575"/>
      <c r="U7" s="577"/>
      <c r="V7" s="576"/>
      <c r="W7" s="575"/>
      <c r="X7" s="577"/>
      <c r="Y7" s="578">
        <f>+'5.g. mell. Egyéb tev.'!D10</f>
        <v>3005</v>
      </c>
      <c r="Z7" s="575">
        <f>+'5.g. mell. Egyéb tev.'!E10</f>
        <v>44</v>
      </c>
      <c r="AA7" s="577">
        <f>+'5.g. mell. Egyéb tev.'!F10</f>
        <v>3049</v>
      </c>
      <c r="AB7" s="345"/>
      <c r="AC7" s="345"/>
    </row>
    <row r="8" spans="1:29">
      <c r="A8" s="200"/>
      <c r="B8" s="569"/>
      <c r="C8" s="470"/>
      <c r="D8" s="580"/>
      <c r="E8" s="746"/>
      <c r="F8" s="746"/>
      <c r="G8" s="582"/>
      <c r="H8" s="581"/>
      <c r="I8" s="583"/>
      <c r="J8" s="581"/>
      <c r="K8" s="581"/>
      <c r="L8" s="581"/>
      <c r="M8" s="582"/>
      <c r="N8" s="581"/>
      <c r="O8" s="583"/>
      <c r="P8" s="582"/>
      <c r="Q8" s="581"/>
      <c r="R8" s="583"/>
      <c r="S8" s="582"/>
      <c r="T8" s="581"/>
      <c r="U8" s="583"/>
      <c r="V8" s="582"/>
      <c r="W8" s="581"/>
      <c r="X8" s="583"/>
      <c r="Y8" s="581"/>
      <c r="Z8" s="581"/>
      <c r="AA8" s="583"/>
    </row>
    <row r="9" spans="1:29" s="47" customFormat="1" ht="12.75" customHeight="1">
      <c r="A9" s="564" t="s">
        <v>48</v>
      </c>
      <c r="B9" s="980" t="s">
        <v>171</v>
      </c>
      <c r="C9" s="981"/>
      <c r="D9" s="576">
        <f>+G9+J9+M9+P9+S9+V9+Y9</f>
        <v>1440</v>
      </c>
      <c r="E9" s="575">
        <f t="shared" ref="E9:F14" si="6">+H9+K9+N9+Q9+T9+W9+Z9</f>
        <v>1591</v>
      </c>
      <c r="F9" s="575">
        <f t="shared" si="6"/>
        <v>3031</v>
      </c>
      <c r="G9" s="585">
        <f>+'5.a. mell. Jogalkotás'!D14</f>
        <v>250</v>
      </c>
      <c r="H9" s="584">
        <f>+'5.a. mell. Jogalkotás'!E14</f>
        <v>262</v>
      </c>
      <c r="I9" s="586">
        <f>+'5.a. mell. Jogalkotás'!F14</f>
        <v>512</v>
      </c>
      <c r="J9" s="587">
        <f>+'5.b. mell. VF saját forrásból'!D14</f>
        <v>0</v>
      </c>
      <c r="K9" s="584">
        <f>+'5.b. mell. VF saját forrásból'!E14</f>
        <v>0</v>
      </c>
      <c r="L9" s="588">
        <f>+'5.b. mell. VF saját forrásból'!F14</f>
        <v>0</v>
      </c>
      <c r="M9" s="585">
        <f>+'5.c. mell. VF Eu forrásból'!D14</f>
        <v>0</v>
      </c>
      <c r="N9" s="584">
        <f>+'5.c. mell. VF Eu forrásból'!E14</f>
        <v>0</v>
      </c>
      <c r="O9" s="586">
        <f>+'5.c. mell. VF Eu forrásból'!F14</f>
        <v>0</v>
      </c>
      <c r="P9" s="585">
        <f>+'5.d. mell. Védőnő, EÜ'!D14</f>
        <v>400</v>
      </c>
      <c r="Q9" s="584">
        <f>+'5.d. mell. Védőnő, EÜ'!E14</f>
        <v>0</v>
      </c>
      <c r="R9" s="586">
        <f>+'5.d. mell. Védőnő, EÜ'!F14</f>
        <v>400</v>
      </c>
      <c r="S9" s="585"/>
      <c r="T9" s="584"/>
      <c r="U9" s="586"/>
      <c r="V9" s="585"/>
      <c r="W9" s="584"/>
      <c r="X9" s="586"/>
      <c r="Y9" s="587">
        <f>+'5.g. mell. Egyéb tev.'!D15</f>
        <v>790</v>
      </c>
      <c r="Z9" s="584">
        <f>+'5.g. mell. Egyéb tev.'!E15</f>
        <v>1329</v>
      </c>
      <c r="AA9" s="586">
        <f>+'5.g. mell. Egyéb tev.'!F15</f>
        <v>2119</v>
      </c>
      <c r="AB9" s="345"/>
      <c r="AC9" s="345"/>
    </row>
    <row r="10" spans="1:29" s="47" customFormat="1" ht="12.75" customHeight="1">
      <c r="A10" s="564" t="s">
        <v>53</v>
      </c>
      <c r="B10" s="980" t="s">
        <v>170</v>
      </c>
      <c r="C10" s="981"/>
      <c r="D10" s="576">
        <f t="shared" ref="D10:D12" si="7">+G10+J10+M10+P10+S10+V10+Y10</f>
        <v>3528</v>
      </c>
      <c r="E10" s="575">
        <f t="shared" si="6"/>
        <v>0</v>
      </c>
      <c r="F10" s="575">
        <f t="shared" si="6"/>
        <v>3528</v>
      </c>
      <c r="G10" s="585">
        <f>+'5.a. mell. Jogalkotás'!D17</f>
        <v>3288</v>
      </c>
      <c r="H10" s="584">
        <f>+'5.a. mell. Jogalkotás'!E17</f>
        <v>0</v>
      </c>
      <c r="I10" s="586">
        <f>+'5.a. mell. Jogalkotás'!F17</f>
        <v>3288</v>
      </c>
      <c r="J10" s="587">
        <f>+'5.b. mell. VF saját forrásból'!D17</f>
        <v>0</v>
      </c>
      <c r="K10" s="584">
        <f>+'5.b. mell. VF saját forrásból'!E17</f>
        <v>0</v>
      </c>
      <c r="L10" s="588">
        <f>+'5.b. mell. VF saját forrásból'!F17</f>
        <v>0</v>
      </c>
      <c r="M10" s="585">
        <f>+'5.c. mell. VF Eu forrásból'!D17</f>
        <v>0</v>
      </c>
      <c r="N10" s="584">
        <f>+'5.c. mell. VF Eu forrásból'!E17</f>
        <v>0</v>
      </c>
      <c r="O10" s="586">
        <f>+'5.c. mell. VF Eu forrásból'!F17</f>
        <v>0</v>
      </c>
      <c r="P10" s="585">
        <f>+'5.d. mell. Védőnő, EÜ'!D17</f>
        <v>240</v>
      </c>
      <c r="Q10" s="584">
        <f>+'5.d. mell. Védőnő, EÜ'!E17</f>
        <v>0</v>
      </c>
      <c r="R10" s="586">
        <f>+'5.d. mell. Védőnő, EÜ'!F17</f>
        <v>240</v>
      </c>
      <c r="S10" s="585"/>
      <c r="T10" s="584"/>
      <c r="U10" s="586"/>
      <c r="V10" s="585"/>
      <c r="W10" s="584"/>
      <c r="X10" s="586"/>
      <c r="Y10" s="587">
        <f>+'5.g. mell. Egyéb tev.'!D18</f>
        <v>0</v>
      </c>
      <c r="Z10" s="584">
        <f>+'5.g. mell. Egyéb tev.'!E18</f>
        <v>0</v>
      </c>
      <c r="AA10" s="586">
        <f>+'5.g. mell. Egyéb tev.'!F18</f>
        <v>0</v>
      </c>
      <c r="AB10" s="345"/>
      <c r="AC10" s="345"/>
    </row>
    <row r="11" spans="1:29" s="47" customFormat="1" ht="12.75" customHeight="1">
      <c r="A11" s="564" t="s">
        <v>67</v>
      </c>
      <c r="B11" s="980" t="s">
        <v>157</v>
      </c>
      <c r="C11" s="981"/>
      <c r="D11" s="576">
        <f t="shared" si="7"/>
        <v>62784</v>
      </c>
      <c r="E11" s="575">
        <f t="shared" si="6"/>
        <v>7971</v>
      </c>
      <c r="F11" s="575">
        <f t="shared" si="6"/>
        <v>70755</v>
      </c>
      <c r="G11" s="585">
        <f>+'5.a. mell. Jogalkotás'!D25</f>
        <v>6858</v>
      </c>
      <c r="H11" s="584">
        <f>+'5.a. mell. Jogalkotás'!E25</f>
        <v>2421</v>
      </c>
      <c r="I11" s="586">
        <f>+'5.a. mell. Jogalkotás'!F25</f>
        <v>9279</v>
      </c>
      <c r="J11" s="587">
        <f>+'5.b. mell. VF saját forrásból'!D25</f>
        <v>0</v>
      </c>
      <c r="K11" s="584">
        <f>+'5.b. mell. VF saját forrásból'!E25</f>
        <v>0</v>
      </c>
      <c r="L11" s="588">
        <f>+'5.b. mell. VF saját forrásból'!F25</f>
        <v>0</v>
      </c>
      <c r="M11" s="585">
        <f>+'5.c. mell. VF Eu forrásból'!D25</f>
        <v>0</v>
      </c>
      <c r="N11" s="584">
        <f>+'5.c. mell. VF Eu forrásból'!E25</f>
        <v>0</v>
      </c>
      <c r="O11" s="586">
        <f>+'5.c. mell. VF Eu forrásból'!F25</f>
        <v>0</v>
      </c>
      <c r="P11" s="585">
        <f>+'5.d. mell. Védőnő, EÜ'!D25</f>
        <v>1080</v>
      </c>
      <c r="Q11" s="584">
        <f>+'5.d. mell. Védőnő, EÜ'!E25</f>
        <v>0</v>
      </c>
      <c r="R11" s="586">
        <f>+'5.d. mell. Védőnő, EÜ'!F25</f>
        <v>1080</v>
      </c>
      <c r="S11" s="585"/>
      <c r="T11" s="584"/>
      <c r="U11" s="586"/>
      <c r="V11" s="585"/>
      <c r="W11" s="584"/>
      <c r="X11" s="586"/>
      <c r="Y11" s="587">
        <f>+'5.g. mell. Egyéb tev.'!D26</f>
        <v>54846</v>
      </c>
      <c r="Z11" s="584">
        <f>+'5.g. mell. Egyéb tev.'!E26</f>
        <v>5550</v>
      </c>
      <c r="AA11" s="586">
        <f>+'5.g. mell. Egyéb tev.'!F26</f>
        <v>60396</v>
      </c>
      <c r="AB11" s="345"/>
      <c r="AC11" s="345"/>
    </row>
    <row r="12" spans="1:29" s="47" customFormat="1" ht="12.75" customHeight="1">
      <c r="A12" s="564" t="s">
        <v>72</v>
      </c>
      <c r="B12" s="980" t="s">
        <v>156</v>
      </c>
      <c r="C12" s="981"/>
      <c r="D12" s="576">
        <f t="shared" si="7"/>
        <v>1530</v>
      </c>
      <c r="E12" s="575">
        <f t="shared" si="6"/>
        <v>-674</v>
      </c>
      <c r="F12" s="575">
        <f t="shared" si="6"/>
        <v>856</v>
      </c>
      <c r="G12" s="585">
        <f>+'5.a. mell. Jogalkotás'!D28</f>
        <v>1350</v>
      </c>
      <c r="H12" s="584">
        <f>+'5.a. mell. Jogalkotás'!E28</f>
        <v>-674</v>
      </c>
      <c r="I12" s="586">
        <f>+'5.a. mell. Jogalkotás'!F28</f>
        <v>676</v>
      </c>
      <c r="J12" s="587">
        <f>+'5.b. mell. VF saját forrásból'!D28</f>
        <v>0</v>
      </c>
      <c r="K12" s="584">
        <f>+'5.b. mell. VF saját forrásból'!E28</f>
        <v>0</v>
      </c>
      <c r="L12" s="588">
        <f>+'5.b. mell. VF saját forrásból'!F28</f>
        <v>0</v>
      </c>
      <c r="M12" s="585">
        <f>+'5.c. mell. VF Eu forrásból'!D28</f>
        <v>0</v>
      </c>
      <c r="N12" s="584">
        <f>+'5.c. mell. VF Eu forrásból'!E28</f>
        <v>0</v>
      </c>
      <c r="O12" s="586">
        <f>+'5.c. mell. VF Eu forrásból'!F28</f>
        <v>0</v>
      </c>
      <c r="P12" s="585">
        <f>+'5.d. mell. Védőnő, EÜ'!D28</f>
        <v>180</v>
      </c>
      <c r="Q12" s="584">
        <f>+'5.d. mell. Védőnő, EÜ'!E28</f>
        <v>0</v>
      </c>
      <c r="R12" s="586">
        <f>+'5.d. mell. Védőnő, EÜ'!F28</f>
        <v>180</v>
      </c>
      <c r="S12" s="585"/>
      <c r="T12" s="584"/>
      <c r="U12" s="586"/>
      <c r="V12" s="585"/>
      <c r="W12" s="584"/>
      <c r="X12" s="586"/>
      <c r="Y12" s="587">
        <f>+'5.g. mell. Egyéb tev.'!D29</f>
        <v>0</v>
      </c>
      <c r="Z12" s="584">
        <f>+'5.g. mell. Egyéb tev.'!E29</f>
        <v>0</v>
      </c>
      <c r="AA12" s="586">
        <f>+'5.g. mell. Egyéb tev.'!F29</f>
        <v>0</v>
      </c>
      <c r="AB12" s="345"/>
      <c r="AC12" s="345"/>
    </row>
    <row r="13" spans="1:29" s="47" customFormat="1" ht="28.5" customHeight="1">
      <c r="A13" s="564" t="s">
        <v>81</v>
      </c>
      <c r="B13" s="980" t="s">
        <v>153</v>
      </c>
      <c r="C13" s="981"/>
      <c r="D13" s="576">
        <f>+G13+J13+M13+P13+S13+V13+Y13</f>
        <v>35382</v>
      </c>
      <c r="E13" s="575">
        <f t="shared" si="6"/>
        <v>13053</v>
      </c>
      <c r="F13" s="575">
        <f t="shared" si="6"/>
        <v>48435</v>
      </c>
      <c r="G13" s="585">
        <f>+'5.a. mell. Jogalkotás'!D34</f>
        <v>12042</v>
      </c>
      <c r="H13" s="584">
        <f>+'5.a. mell. Jogalkotás'!E34</f>
        <v>291</v>
      </c>
      <c r="I13" s="586">
        <f>+'5.a. mell. Jogalkotás'!F34</f>
        <v>12333</v>
      </c>
      <c r="J13" s="587">
        <f>+'5.b. mell. VF saját forrásból'!D34</f>
        <v>0</v>
      </c>
      <c r="K13" s="584">
        <f>+'5.b. mell. VF saját forrásból'!E34</f>
        <v>2696</v>
      </c>
      <c r="L13" s="588">
        <f>+'5.b. mell. VF saját forrásból'!F34</f>
        <v>2696</v>
      </c>
      <c r="M13" s="585">
        <f>+'5.c. mell. VF Eu forrásból'!D34</f>
        <v>0</v>
      </c>
      <c r="N13" s="584">
        <f>+'5.c. mell. VF Eu forrásból'!E34</f>
        <v>0</v>
      </c>
      <c r="O13" s="586">
        <f>+'5.c. mell. VF Eu forrásból'!F34</f>
        <v>0</v>
      </c>
      <c r="P13" s="585">
        <f>+'5.d. mell. Védőnő, EÜ'!D34</f>
        <v>175</v>
      </c>
      <c r="Q13" s="584">
        <f>+'5.d. mell. Védőnő, EÜ'!E34</f>
        <v>0</v>
      </c>
      <c r="R13" s="586">
        <f>+'5.d. mell. Védőnő, EÜ'!F34</f>
        <v>175</v>
      </c>
      <c r="S13" s="585"/>
      <c r="T13" s="584"/>
      <c r="U13" s="586"/>
      <c r="V13" s="585"/>
      <c r="W13" s="584"/>
      <c r="X13" s="586"/>
      <c r="Y13" s="587">
        <f>+'5.g. mell. Egyéb tev.'!D35</f>
        <v>23165</v>
      </c>
      <c r="Z13" s="584">
        <f>+'5.g. mell. Egyéb tev.'!E35</f>
        <v>10066</v>
      </c>
      <c r="AA13" s="586">
        <f>+'5.g. mell. Egyéb tev.'!F35</f>
        <v>33231</v>
      </c>
      <c r="AB13" s="345"/>
      <c r="AC13" s="345"/>
    </row>
    <row r="14" spans="1:29" s="47" customFormat="1" ht="12.75" customHeight="1">
      <c r="A14" s="565" t="s">
        <v>82</v>
      </c>
      <c r="B14" s="978" t="s">
        <v>152</v>
      </c>
      <c r="C14" s="979"/>
      <c r="D14" s="576">
        <f>+G14+J14+M14+P14+S14+V14+Y14</f>
        <v>104664</v>
      </c>
      <c r="E14" s="575">
        <f t="shared" si="6"/>
        <v>21941</v>
      </c>
      <c r="F14" s="575">
        <f t="shared" si="6"/>
        <v>126605</v>
      </c>
      <c r="G14" s="576">
        <f>SUM(G9:G13)</f>
        <v>23788</v>
      </c>
      <c r="H14" s="575">
        <f t="shared" ref="H14:I14" si="8">SUM(H9:H13)</f>
        <v>2300</v>
      </c>
      <c r="I14" s="577">
        <f t="shared" si="8"/>
        <v>26088</v>
      </c>
      <c r="J14" s="578">
        <f>+'5.b. mell. VF saját forrásból'!D35</f>
        <v>0</v>
      </c>
      <c r="K14" s="575">
        <f>+'5.b. mell. VF saját forrásból'!E35</f>
        <v>2696</v>
      </c>
      <c r="L14" s="579">
        <f>+'5.b. mell. VF saját forrásból'!F35</f>
        <v>2696</v>
      </c>
      <c r="M14" s="576">
        <f>SUM(M9:M13)</f>
        <v>0</v>
      </c>
      <c r="N14" s="575">
        <f t="shared" ref="N14:O14" si="9">SUM(N9:N13)</f>
        <v>0</v>
      </c>
      <c r="O14" s="577">
        <f t="shared" si="9"/>
        <v>0</v>
      </c>
      <c r="P14" s="576">
        <f>SUM(P9:P13)</f>
        <v>2075</v>
      </c>
      <c r="Q14" s="575">
        <f t="shared" ref="Q14:R14" si="10">SUM(Q9:Q13)</f>
        <v>0</v>
      </c>
      <c r="R14" s="577">
        <f t="shared" si="10"/>
        <v>2075</v>
      </c>
      <c r="S14" s="576"/>
      <c r="T14" s="575"/>
      <c r="U14" s="577"/>
      <c r="V14" s="576"/>
      <c r="W14" s="575"/>
      <c r="X14" s="577"/>
      <c r="Y14" s="578">
        <f>SUM(Y9:Y13)</f>
        <v>78801</v>
      </c>
      <c r="Z14" s="575">
        <f t="shared" ref="Z14:AA14" si="11">SUM(Z9:Z13)</f>
        <v>16945</v>
      </c>
      <c r="AA14" s="577">
        <f t="shared" si="11"/>
        <v>95746</v>
      </c>
      <c r="AB14" s="345"/>
      <c r="AC14" s="345"/>
    </row>
    <row r="15" spans="1:29">
      <c r="A15" s="200"/>
      <c r="B15" s="568"/>
      <c r="C15" s="469"/>
      <c r="D15" s="580"/>
      <c r="E15" s="746"/>
      <c r="F15" s="746"/>
      <c r="G15" s="582"/>
      <c r="H15" s="581"/>
      <c r="I15" s="583"/>
      <c r="J15" s="581"/>
      <c r="K15" s="581"/>
      <c r="L15" s="581"/>
      <c r="M15" s="582"/>
      <c r="N15" s="581"/>
      <c r="O15" s="583"/>
      <c r="P15" s="582"/>
      <c r="Q15" s="581"/>
      <c r="R15" s="583"/>
      <c r="S15" s="582"/>
      <c r="T15" s="581"/>
      <c r="U15" s="583"/>
      <c r="V15" s="582"/>
      <c r="W15" s="581"/>
      <c r="X15" s="583"/>
      <c r="Y15" s="581"/>
      <c r="Z15" s="581"/>
      <c r="AA15" s="583"/>
    </row>
    <row r="16" spans="1:29" s="47" customFormat="1" ht="12.75" customHeight="1">
      <c r="A16" s="565" t="s">
        <v>95</v>
      </c>
      <c r="B16" s="985" t="s">
        <v>151</v>
      </c>
      <c r="C16" s="986"/>
      <c r="D16" s="576">
        <f>+G16+J16+M16+P16+S16+V16+Y16</f>
        <v>21620</v>
      </c>
      <c r="E16" s="575">
        <f t="shared" ref="E16:F16" si="12">+H16+K16+N16+Q16+T16+W16+Z16</f>
        <v>0</v>
      </c>
      <c r="F16" s="575">
        <f t="shared" si="12"/>
        <v>21620</v>
      </c>
      <c r="G16" s="576"/>
      <c r="H16" s="575"/>
      <c r="I16" s="577"/>
      <c r="J16" s="578"/>
      <c r="K16" s="575"/>
      <c r="L16" s="579"/>
      <c r="M16" s="576"/>
      <c r="N16" s="575"/>
      <c r="O16" s="577"/>
      <c r="P16" s="576"/>
      <c r="Q16" s="575"/>
      <c r="R16" s="577"/>
      <c r="S16" s="576">
        <f>+'5.e. mell. Szociális ellátások'!C7</f>
        <v>21620</v>
      </c>
      <c r="T16" s="575">
        <f>+'5.e. mell. Szociális ellátások'!D7</f>
        <v>0</v>
      </c>
      <c r="U16" s="577">
        <f>+'5.e. mell. Szociális ellátások'!E7</f>
        <v>21620</v>
      </c>
      <c r="V16" s="576"/>
      <c r="W16" s="575"/>
      <c r="X16" s="577"/>
      <c r="Y16" s="578"/>
      <c r="Z16" s="575"/>
      <c r="AA16" s="577"/>
      <c r="AB16" s="345"/>
      <c r="AC16" s="345"/>
    </row>
    <row r="17" spans="1:29">
      <c r="A17" s="200"/>
      <c r="B17" s="987"/>
      <c r="C17" s="988"/>
      <c r="D17" s="580"/>
      <c r="E17" s="746"/>
      <c r="F17" s="746"/>
      <c r="G17" s="582"/>
      <c r="H17" s="581"/>
      <c r="I17" s="583"/>
      <c r="J17" s="581"/>
      <c r="K17" s="581"/>
      <c r="L17" s="581"/>
      <c r="M17" s="582"/>
      <c r="N17" s="581"/>
      <c r="O17" s="583"/>
      <c r="P17" s="582"/>
      <c r="Q17" s="581"/>
      <c r="R17" s="583"/>
      <c r="S17" s="582"/>
      <c r="T17" s="581"/>
      <c r="U17" s="583"/>
      <c r="V17" s="582"/>
      <c r="W17" s="581"/>
      <c r="X17" s="583"/>
      <c r="Y17" s="581"/>
      <c r="Z17" s="581"/>
      <c r="AA17" s="583"/>
    </row>
    <row r="18" spans="1:29" s="47" customFormat="1" ht="12.75" customHeight="1">
      <c r="A18" s="565" t="s">
        <v>109</v>
      </c>
      <c r="B18" s="978" t="s">
        <v>164</v>
      </c>
      <c r="C18" s="979"/>
      <c r="D18" s="576">
        <f>+G18+J18+M18+P18+S18+V18+Y18</f>
        <v>724292</v>
      </c>
      <c r="E18" s="575">
        <f t="shared" ref="E18:F19" si="13">+H18+K18+N18+Q18+T18+W18+Z18</f>
        <v>-121958</v>
      </c>
      <c r="F18" s="575">
        <f t="shared" si="13"/>
        <v>602334</v>
      </c>
      <c r="G18" s="576"/>
      <c r="H18" s="575"/>
      <c r="I18" s="577"/>
      <c r="J18" s="578"/>
      <c r="K18" s="575"/>
      <c r="L18" s="579"/>
      <c r="M18" s="576"/>
      <c r="N18" s="575"/>
      <c r="O18" s="577"/>
      <c r="P18" s="576"/>
      <c r="Q18" s="575"/>
      <c r="R18" s="577"/>
      <c r="S18" s="576"/>
      <c r="T18" s="575"/>
      <c r="U18" s="577"/>
      <c r="V18" s="576">
        <f>+'5.f. mell. Átadott pénzeszk.'!C47+'5.f. mell. Átadott pénzeszk.'!F47</f>
        <v>369279</v>
      </c>
      <c r="W18" s="575">
        <f>+'5.f. mell. Átadott pénzeszk.'!D47+'5.f. mell. Átadott pénzeszk.'!G47</f>
        <v>19958</v>
      </c>
      <c r="X18" s="577">
        <f>+'5.f. mell. Átadott pénzeszk.'!E47+'5.f. mell. Átadott pénzeszk.'!H47</f>
        <v>389237</v>
      </c>
      <c r="Y18" s="578">
        <f>+'5.g. mell. Egyéb tev.'!D71</f>
        <v>355013</v>
      </c>
      <c r="Z18" s="575">
        <f>+'5.g. mell. Egyéb tev.'!E71</f>
        <v>-141916</v>
      </c>
      <c r="AA18" s="577">
        <f>+'5.g. mell. Egyéb tev.'!F71</f>
        <v>213097</v>
      </c>
      <c r="AB18" s="345"/>
      <c r="AC18" s="345"/>
    </row>
    <row r="19" spans="1:29" s="47" customFormat="1" ht="12.75" customHeight="1">
      <c r="A19" s="565"/>
      <c r="B19" s="980" t="s">
        <v>588</v>
      </c>
      <c r="C19" s="981"/>
      <c r="D19" s="576">
        <f>+G19+J19+M19+P19+S19+V19+Y19</f>
        <v>349666</v>
      </c>
      <c r="E19" s="575">
        <f t="shared" si="13"/>
        <v>-144937</v>
      </c>
      <c r="F19" s="575">
        <f t="shared" si="13"/>
        <v>204729</v>
      </c>
      <c r="G19" s="576"/>
      <c r="H19" s="575"/>
      <c r="I19" s="577"/>
      <c r="J19" s="578"/>
      <c r="K19" s="575"/>
      <c r="L19" s="579"/>
      <c r="M19" s="576"/>
      <c r="N19" s="575"/>
      <c r="O19" s="577"/>
      <c r="P19" s="576"/>
      <c r="Q19" s="575"/>
      <c r="R19" s="577"/>
      <c r="S19" s="576"/>
      <c r="T19" s="575"/>
      <c r="U19" s="577"/>
      <c r="V19" s="576"/>
      <c r="W19" s="575"/>
      <c r="X19" s="577"/>
      <c r="Y19" s="578">
        <f>+'5.g. mell. Egyéb tev.'!D63</f>
        <v>349666</v>
      </c>
      <c r="Z19" s="575">
        <f>+'5.g. mell. Egyéb tev.'!E63</f>
        <v>-144937</v>
      </c>
      <c r="AA19" s="577">
        <f>+'5.g. mell. Egyéb tev.'!F63</f>
        <v>204729</v>
      </c>
      <c r="AB19" s="345"/>
      <c r="AC19" s="345"/>
    </row>
    <row r="20" spans="1:29">
      <c r="A20" s="200"/>
      <c r="B20" s="568"/>
      <c r="C20" s="469"/>
      <c r="D20" s="580"/>
      <c r="E20" s="746"/>
      <c r="F20" s="746"/>
      <c r="G20" s="582"/>
      <c r="H20" s="581"/>
      <c r="I20" s="583"/>
      <c r="J20" s="581"/>
      <c r="K20" s="581"/>
      <c r="L20" s="581"/>
      <c r="M20" s="582"/>
      <c r="N20" s="581"/>
      <c r="O20" s="583"/>
      <c r="P20" s="582"/>
      <c r="Q20" s="581"/>
      <c r="R20" s="583"/>
      <c r="S20" s="582"/>
      <c r="T20" s="581"/>
      <c r="U20" s="583"/>
      <c r="V20" s="582"/>
      <c r="W20" s="581"/>
      <c r="X20" s="583"/>
      <c r="Y20" s="581"/>
      <c r="Z20" s="581"/>
      <c r="AA20" s="583"/>
    </row>
    <row r="21" spans="1:29" s="47" customFormat="1" ht="12.75" customHeight="1">
      <c r="A21" s="565" t="s">
        <v>124</v>
      </c>
      <c r="B21" s="978" t="s">
        <v>162</v>
      </c>
      <c r="C21" s="979"/>
      <c r="D21" s="576">
        <f>+G21+J21+M21+P21+S21+V21+Y21</f>
        <v>76609</v>
      </c>
      <c r="E21" s="575">
        <f t="shared" ref="E21:F21" si="14">+H21+K21+N21+Q21+T21+W21+Z21</f>
        <v>103483</v>
      </c>
      <c r="F21" s="575">
        <f t="shared" si="14"/>
        <v>180092</v>
      </c>
      <c r="G21" s="576"/>
      <c r="H21" s="575"/>
      <c r="I21" s="577"/>
      <c r="J21" s="578">
        <f>+'5.b. mell. VF saját forrásból'!D53</f>
        <v>76289</v>
      </c>
      <c r="K21" s="575">
        <f>+'5.b. mell. VF saját forrásból'!E53</f>
        <v>103483</v>
      </c>
      <c r="L21" s="579">
        <f>+'5.b. mell. VF saját forrásból'!F53</f>
        <v>179772</v>
      </c>
      <c r="M21" s="576">
        <f>+'5.c. mell. VF Eu forrásból'!D53</f>
        <v>0</v>
      </c>
      <c r="N21" s="575">
        <f>+'5.c. mell. VF Eu forrásból'!E53</f>
        <v>0</v>
      </c>
      <c r="O21" s="577">
        <f>+'5.c. mell. VF Eu forrásból'!F53</f>
        <v>0</v>
      </c>
      <c r="P21" s="576">
        <f>+'5.d. mell. Védőnő, EÜ'!D45</f>
        <v>320</v>
      </c>
      <c r="Q21" s="575">
        <f>+'5.d. mell. Védőnő, EÜ'!E45</f>
        <v>0</v>
      </c>
      <c r="R21" s="577">
        <f>+'5.d. mell. Védőnő, EÜ'!F45</f>
        <v>320</v>
      </c>
      <c r="S21" s="576"/>
      <c r="T21" s="575"/>
      <c r="U21" s="577"/>
      <c r="V21" s="576"/>
      <c r="W21" s="575"/>
      <c r="X21" s="577"/>
      <c r="Y21" s="578"/>
      <c r="Z21" s="575"/>
      <c r="AA21" s="577"/>
      <c r="AB21" s="345"/>
      <c r="AC21" s="345"/>
    </row>
    <row r="22" spans="1:29">
      <c r="A22" s="200"/>
      <c r="B22" s="568"/>
      <c r="C22" s="469"/>
      <c r="D22" s="580"/>
      <c r="E22" s="746"/>
      <c r="F22" s="746"/>
      <c r="G22" s="582"/>
      <c r="H22" s="581"/>
      <c r="I22" s="583"/>
      <c r="J22" s="581"/>
      <c r="K22" s="581"/>
      <c r="L22" s="581"/>
      <c r="M22" s="582"/>
      <c r="N22" s="581"/>
      <c r="O22" s="583"/>
      <c r="P22" s="582"/>
      <c r="Q22" s="581"/>
      <c r="R22" s="583"/>
      <c r="S22" s="582"/>
      <c r="T22" s="581"/>
      <c r="U22" s="583"/>
      <c r="V22" s="582"/>
      <c r="W22" s="581"/>
      <c r="X22" s="583"/>
      <c r="Y22" s="581"/>
      <c r="Z22" s="581"/>
      <c r="AA22" s="583"/>
    </row>
    <row r="23" spans="1:29" s="47" customFormat="1" ht="12.75" customHeight="1">
      <c r="A23" s="565" t="s">
        <v>133</v>
      </c>
      <c r="B23" s="978" t="s">
        <v>161</v>
      </c>
      <c r="C23" s="979"/>
      <c r="D23" s="576">
        <f>+G23+J23+M23+P23+S23+V23+Y23</f>
        <v>5663</v>
      </c>
      <c r="E23" s="575">
        <f t="shared" ref="E23:F23" si="15">+H23+K23+N23+Q23+T23+W23+Z23</f>
        <v>31826</v>
      </c>
      <c r="F23" s="575">
        <f t="shared" si="15"/>
        <v>37489</v>
      </c>
      <c r="G23" s="576"/>
      <c r="H23" s="575"/>
      <c r="I23" s="577"/>
      <c r="J23" s="578">
        <f>+'5.b. mell. VF saját forrásból'!D59</f>
        <v>5663</v>
      </c>
      <c r="K23" s="575">
        <f>+'5.b. mell. VF saját forrásból'!E59</f>
        <v>31826</v>
      </c>
      <c r="L23" s="579">
        <f>+'5.b. mell. VF saját forrásból'!F59</f>
        <v>37489</v>
      </c>
      <c r="M23" s="576">
        <f>+'5.c. mell. VF Eu forrásból'!D59</f>
        <v>0</v>
      </c>
      <c r="N23" s="575">
        <f>+'5.c. mell. VF Eu forrásból'!E59</f>
        <v>0</v>
      </c>
      <c r="O23" s="577">
        <f>+'5.c. mell. VF Eu forrásból'!F59</f>
        <v>0</v>
      </c>
      <c r="P23" s="576"/>
      <c r="Q23" s="575"/>
      <c r="R23" s="577"/>
      <c r="S23" s="576"/>
      <c r="T23" s="575"/>
      <c r="U23" s="577"/>
      <c r="V23" s="576"/>
      <c r="W23" s="575"/>
      <c r="X23" s="577"/>
      <c r="Y23" s="578"/>
      <c r="Z23" s="575"/>
      <c r="AA23" s="577"/>
      <c r="AB23" s="345"/>
      <c r="AC23" s="345"/>
    </row>
    <row r="24" spans="1:29">
      <c r="A24" s="200"/>
      <c r="B24" s="568"/>
      <c r="C24" s="469"/>
      <c r="D24" s="580"/>
      <c r="E24" s="746"/>
      <c r="F24" s="746"/>
      <c r="G24" s="582"/>
      <c r="H24" s="581"/>
      <c r="I24" s="583"/>
      <c r="J24" s="581"/>
      <c r="K24" s="581"/>
      <c r="L24" s="581"/>
      <c r="M24" s="582"/>
      <c r="N24" s="581"/>
      <c r="O24" s="583"/>
      <c r="P24" s="582"/>
      <c r="Q24" s="581"/>
      <c r="R24" s="583"/>
      <c r="S24" s="582"/>
      <c r="T24" s="581"/>
      <c r="U24" s="583"/>
      <c r="V24" s="582"/>
      <c r="W24" s="581"/>
      <c r="X24" s="583"/>
      <c r="Y24" s="581"/>
      <c r="Z24" s="581"/>
      <c r="AA24" s="583"/>
    </row>
    <row r="25" spans="1:29" s="47" customFormat="1" ht="12.75" customHeight="1">
      <c r="A25" s="565" t="s">
        <v>135</v>
      </c>
      <c r="B25" s="978" t="s">
        <v>159</v>
      </c>
      <c r="C25" s="979"/>
      <c r="D25" s="576">
        <f>+G25+J25+M25+P25+S25+V25+Y25</f>
        <v>12617</v>
      </c>
      <c r="E25" s="575">
        <f t="shared" ref="E25:F25" si="16">+H25+K25+N25+Q25+T25+W25+Z25</f>
        <v>0</v>
      </c>
      <c r="F25" s="575">
        <f t="shared" si="16"/>
        <v>12617</v>
      </c>
      <c r="G25" s="576"/>
      <c r="H25" s="575"/>
      <c r="I25" s="577"/>
      <c r="J25" s="578"/>
      <c r="K25" s="575"/>
      <c r="L25" s="579"/>
      <c r="M25" s="576"/>
      <c r="N25" s="575"/>
      <c r="O25" s="577"/>
      <c r="P25" s="576"/>
      <c r="Q25" s="575"/>
      <c r="R25" s="577"/>
      <c r="S25" s="576"/>
      <c r="T25" s="575"/>
      <c r="U25" s="577"/>
      <c r="V25" s="576">
        <f>+'5.f. mell. Átadott pénzeszk.'!I47</f>
        <v>12617</v>
      </c>
      <c r="W25" s="575">
        <f>+'5.f. mell. Átadott pénzeszk.'!J47</f>
        <v>0</v>
      </c>
      <c r="X25" s="577">
        <f>+'5.f. mell. Átadott pénzeszk.'!K47</f>
        <v>12617</v>
      </c>
      <c r="Y25" s="578"/>
      <c r="Z25" s="575"/>
      <c r="AA25" s="577"/>
      <c r="AB25" s="345"/>
      <c r="AC25" s="345"/>
    </row>
    <row r="26" spans="1:29">
      <c r="A26" s="200"/>
      <c r="B26" s="568"/>
      <c r="C26" s="469"/>
      <c r="D26" s="580"/>
      <c r="E26" s="746"/>
      <c r="F26" s="746"/>
      <c r="G26" s="582"/>
      <c r="H26" s="581"/>
      <c r="I26" s="583"/>
      <c r="J26" s="581"/>
      <c r="K26" s="581"/>
      <c r="L26" s="581"/>
      <c r="M26" s="582"/>
      <c r="N26" s="581"/>
      <c r="O26" s="583"/>
      <c r="P26" s="582"/>
      <c r="Q26" s="581"/>
      <c r="R26" s="583"/>
      <c r="S26" s="582"/>
      <c r="T26" s="581"/>
      <c r="U26" s="583"/>
      <c r="V26" s="582"/>
      <c r="W26" s="581"/>
      <c r="X26" s="583"/>
      <c r="Y26" s="581"/>
      <c r="Z26" s="581"/>
      <c r="AA26" s="583"/>
    </row>
    <row r="27" spans="1:29" s="47" customFormat="1" ht="12.75" customHeight="1">
      <c r="A27" s="566" t="s">
        <v>136</v>
      </c>
      <c r="B27" s="978" t="s">
        <v>158</v>
      </c>
      <c r="C27" s="979"/>
      <c r="D27" s="576">
        <f>+G27+J27+M27+P27+S27+V27+Y27</f>
        <v>995351</v>
      </c>
      <c r="E27" s="575">
        <f t="shared" ref="E27:F27" si="17">+H27+K27+N27+Q27+T27+W27+Z27</f>
        <v>38507</v>
      </c>
      <c r="F27" s="575">
        <f t="shared" si="17"/>
        <v>1033858</v>
      </c>
      <c r="G27" s="576">
        <f>+G25+G23+G21+G18+G16+G14+G7+G5</f>
        <v>46475</v>
      </c>
      <c r="H27" s="575">
        <f t="shared" ref="H27:AA27" si="18">+H25+H23+H21+H18+H16+H14+H7+H5</f>
        <v>4326</v>
      </c>
      <c r="I27" s="577">
        <f t="shared" si="18"/>
        <v>50801</v>
      </c>
      <c r="J27" s="578">
        <f t="shared" si="18"/>
        <v>81952</v>
      </c>
      <c r="K27" s="575">
        <f t="shared" ref="K27:L27" si="19">+K25+K23+K21+K18+K16+K14+K7+K5</f>
        <v>138005</v>
      </c>
      <c r="L27" s="579">
        <f t="shared" si="19"/>
        <v>219957</v>
      </c>
      <c r="M27" s="576">
        <f t="shared" si="18"/>
        <v>0</v>
      </c>
      <c r="N27" s="575">
        <f t="shared" si="18"/>
        <v>0</v>
      </c>
      <c r="O27" s="577">
        <f t="shared" si="18"/>
        <v>0</v>
      </c>
      <c r="P27" s="576">
        <f t="shared" si="18"/>
        <v>15439</v>
      </c>
      <c r="Q27" s="575">
        <f t="shared" si="18"/>
        <v>864</v>
      </c>
      <c r="R27" s="577">
        <f t="shared" si="18"/>
        <v>16303</v>
      </c>
      <c r="S27" s="576">
        <f t="shared" si="18"/>
        <v>21620</v>
      </c>
      <c r="T27" s="575">
        <f t="shared" si="18"/>
        <v>0</v>
      </c>
      <c r="U27" s="577">
        <f t="shared" si="18"/>
        <v>21620</v>
      </c>
      <c r="V27" s="576">
        <f t="shared" si="18"/>
        <v>381896</v>
      </c>
      <c r="W27" s="575">
        <f>+W25+W23+W21+W18+W16+W14+W7+W5</f>
        <v>19958</v>
      </c>
      <c r="X27" s="577">
        <f t="shared" si="18"/>
        <v>401854</v>
      </c>
      <c r="Y27" s="578">
        <f t="shared" si="18"/>
        <v>447969</v>
      </c>
      <c r="Z27" s="575">
        <f t="shared" si="18"/>
        <v>-124646</v>
      </c>
      <c r="AA27" s="577">
        <f t="shared" si="18"/>
        <v>323323</v>
      </c>
      <c r="AB27" s="345"/>
      <c r="AC27" s="345"/>
    </row>
    <row r="28" spans="1:29" ht="9.75" customHeight="1">
      <c r="A28" s="201"/>
      <c r="B28" s="569"/>
      <c r="C28" s="471"/>
      <c r="D28" s="580"/>
      <c r="E28" s="746"/>
      <c r="F28" s="746"/>
      <c r="G28" s="582"/>
      <c r="H28" s="581"/>
      <c r="I28" s="583"/>
      <c r="J28" s="581"/>
      <c r="K28" s="581"/>
      <c r="L28" s="581"/>
      <c r="M28" s="582"/>
      <c r="N28" s="581"/>
      <c r="O28" s="583"/>
      <c r="P28" s="582"/>
      <c r="Q28" s="581"/>
      <c r="R28" s="583"/>
      <c r="S28" s="582"/>
      <c r="T28" s="581"/>
      <c r="U28" s="583"/>
      <c r="V28" s="582"/>
      <c r="W28" s="581"/>
      <c r="X28" s="583"/>
      <c r="Y28" s="581"/>
      <c r="Z28" s="581"/>
      <c r="AA28" s="583"/>
    </row>
    <row r="29" spans="1:29" s="47" customFormat="1" ht="13.8" thickBot="1">
      <c r="A29" s="567" t="s">
        <v>269</v>
      </c>
      <c r="B29" s="989" t="s">
        <v>275</v>
      </c>
      <c r="C29" s="990"/>
      <c r="D29" s="589">
        <f>+G29+J29+M29+P29+S29+V29+Y29</f>
        <v>406967</v>
      </c>
      <c r="E29" s="590">
        <f t="shared" ref="E29:F29" si="20">+H29+K29+N29+Q29+T29+W29+Z29</f>
        <v>14655</v>
      </c>
      <c r="F29" s="590">
        <f t="shared" si="20"/>
        <v>421622</v>
      </c>
      <c r="G29" s="591"/>
      <c r="H29" s="592"/>
      <c r="I29" s="593"/>
      <c r="J29" s="594"/>
      <c r="K29" s="590"/>
      <c r="L29" s="595"/>
      <c r="M29" s="589"/>
      <c r="N29" s="590"/>
      <c r="O29" s="593"/>
      <c r="P29" s="589"/>
      <c r="Q29" s="590"/>
      <c r="R29" s="593"/>
      <c r="S29" s="589"/>
      <c r="T29" s="590"/>
      <c r="U29" s="593"/>
      <c r="V29" s="589"/>
      <c r="W29" s="590"/>
      <c r="X29" s="593"/>
      <c r="Y29" s="594">
        <f>+'5.g. mell. Egyéb tev.'!AE102</f>
        <v>406967</v>
      </c>
      <c r="Z29" s="590">
        <f>+'5.g. mell. Egyéb tev.'!AF102</f>
        <v>14655</v>
      </c>
      <c r="AA29" s="593">
        <f>+'5.g. mell. Egyéb tev.'!AG102</f>
        <v>421622</v>
      </c>
      <c r="AB29" s="345"/>
      <c r="AC29" s="345"/>
    </row>
    <row r="30" spans="1:29" s="47" customFormat="1" ht="18.75" customHeight="1" thickBot="1">
      <c r="A30" s="982" t="s">
        <v>630</v>
      </c>
      <c r="B30" s="983"/>
      <c r="C30" s="984"/>
      <c r="D30" s="596">
        <f t="shared" ref="D30:AA30" si="21">+D29+D27</f>
        <v>1402318</v>
      </c>
      <c r="E30" s="596">
        <f t="shared" ref="E30:F30" si="22">+E29+E27</f>
        <v>53162</v>
      </c>
      <c r="F30" s="596">
        <f t="shared" si="22"/>
        <v>1455480</v>
      </c>
      <c r="G30" s="596">
        <f t="shared" si="21"/>
        <v>46475</v>
      </c>
      <c r="H30" s="596">
        <f t="shared" si="21"/>
        <v>4326</v>
      </c>
      <c r="I30" s="596">
        <f t="shared" si="21"/>
        <v>50801</v>
      </c>
      <c r="J30" s="596">
        <f t="shared" si="21"/>
        <v>81952</v>
      </c>
      <c r="K30" s="596">
        <f t="shared" ref="K30:L30" si="23">+K29+K27</f>
        <v>138005</v>
      </c>
      <c r="L30" s="596">
        <f t="shared" si="23"/>
        <v>219957</v>
      </c>
      <c r="M30" s="596">
        <f t="shared" si="21"/>
        <v>0</v>
      </c>
      <c r="N30" s="596">
        <f t="shared" si="21"/>
        <v>0</v>
      </c>
      <c r="O30" s="596">
        <f t="shared" si="21"/>
        <v>0</v>
      </c>
      <c r="P30" s="596">
        <f t="shared" si="21"/>
        <v>15439</v>
      </c>
      <c r="Q30" s="596">
        <f t="shared" si="21"/>
        <v>864</v>
      </c>
      <c r="R30" s="596">
        <f t="shared" si="21"/>
        <v>16303</v>
      </c>
      <c r="S30" s="596">
        <f t="shared" si="21"/>
        <v>21620</v>
      </c>
      <c r="T30" s="596">
        <f t="shared" si="21"/>
        <v>0</v>
      </c>
      <c r="U30" s="596">
        <f t="shared" si="21"/>
        <v>21620</v>
      </c>
      <c r="V30" s="596">
        <f t="shared" si="21"/>
        <v>381896</v>
      </c>
      <c r="W30" s="596">
        <f t="shared" si="21"/>
        <v>19958</v>
      </c>
      <c r="X30" s="596">
        <f t="shared" si="21"/>
        <v>401854</v>
      </c>
      <c r="Y30" s="596">
        <f t="shared" si="21"/>
        <v>854936</v>
      </c>
      <c r="Z30" s="596">
        <f t="shared" si="21"/>
        <v>-109991</v>
      </c>
      <c r="AA30" s="596">
        <f t="shared" si="21"/>
        <v>744945</v>
      </c>
      <c r="AB30" s="345"/>
      <c r="AC30" s="345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1" orientation="landscape" r:id="rId1"/>
  <headerFooter>
    <oddHeader>&amp;C&amp;"Times New Roman,Félkövér"&amp;12Martonvásár Város Önkormányzatának kiadásai 2016.
&amp;"Times New Roman,Dőlt"(intézmények nélkül)&amp;R&amp;"Times New Roman,Félkövér"&amp;12 5.melléklet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16</vt:i4>
      </vt:variant>
    </vt:vector>
  </HeadingPairs>
  <TitlesOfParts>
    <vt:vector size="47" baseType="lpstr">
      <vt:lpstr>Tart.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mód. Óvoda </vt:lpstr>
      <vt:lpstr>12.d Tételes mód. BBK</vt:lpstr>
      <vt:lpstr>12.e Konszolidált módosítás</vt:lpstr>
      <vt:lpstr>Munka1</vt:lpstr>
      <vt:lpstr>'12.a Tételes mód ÖNK'!Nyomtatási_cím</vt:lpstr>
      <vt:lpstr>'12.b Tételes mód PH'!Nyomtatási_cím</vt:lpstr>
      <vt:lpstr>'12.d Tételes mód. BBK'!Nyomtatási_cím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'12.c Tételes mód. Óvoda '!Nyomtatási_terület</vt:lpstr>
      <vt:lpstr>'12.d Tételes mód. BBK'!Nyomtatási_terület</vt:lpstr>
      <vt:lpstr>'2.mell. Mérleg'!Nyomtatási_terület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Judit</cp:lastModifiedBy>
  <cp:lastPrinted>2016-11-22T14:10:24Z</cp:lastPrinted>
  <dcterms:created xsi:type="dcterms:W3CDTF">2014-01-29T08:39:20Z</dcterms:created>
  <dcterms:modified xsi:type="dcterms:W3CDTF">2016-11-22T14:18:19Z</dcterms:modified>
</cp:coreProperties>
</file>