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5600" firstSheet="6" activeTab="13"/>
  </bookViews>
  <sheets>
    <sheet name="1.sz.mell." sheetId="19" r:id="rId1"/>
    <sheet name="2.sz.mell." sheetId="2" r:id="rId2"/>
    <sheet name="3.sz.mell." sheetId="3" r:id="rId3"/>
    <sheet name="4.sz.mell." sheetId="23" r:id="rId4"/>
    <sheet name="4a.sz.mell." sheetId="24" r:id="rId5"/>
    <sheet name="5.sz.mell." sheetId="18" r:id="rId6"/>
    <sheet name="6.sz.mell." sheetId="5" r:id="rId7"/>
    <sheet name="7.sz.mell." sheetId="6" r:id="rId8"/>
    <sheet name="8.sz.mell." sheetId="10" r:id="rId9"/>
    <sheet name="9.sz.mell." sheetId="12" r:id="rId10"/>
    <sheet name="10. sz.mell." sheetId="14" r:id="rId11"/>
    <sheet name="11.sz.mell." sheetId="15" r:id="rId12"/>
    <sheet name="12.sz.m." sheetId="17" r:id="rId13"/>
    <sheet name="13.sz.m." sheetId="21" r:id="rId14"/>
  </sheets>
  <definedNames>
    <definedName name="_xlnm.Print_Titles" localSheetId="0">'1.sz.mell.'!$1:$1</definedName>
    <definedName name="_xlnm.Print_Titles" localSheetId="1">'2.sz.mell.'!$1:$1</definedName>
    <definedName name="_xlnm.Print_Area" localSheetId="0">'1.sz.mell.'!$A$1:$D$123</definedName>
    <definedName name="_xlnm.Print_Area" localSheetId="10">'10. sz.mell.'!$A$1:$AA$25</definedName>
    <definedName name="_xlnm.Print_Area" localSheetId="11">'11.sz.mell.'!$A$1:$E$32</definedName>
    <definedName name="_xlnm.Print_Area" localSheetId="12">'12.sz.m.'!$A$1:$G$35</definedName>
    <definedName name="_xlnm.Print_Area" localSheetId="13">'13.sz.m.'!$A$1:$I$40</definedName>
    <definedName name="_xlnm.Print_Area" localSheetId="1">'2.sz.mell.'!$A$1:$F$47</definedName>
    <definedName name="_xlnm.Print_Area" localSheetId="2">'3.sz.mell.'!$A$1:$V$26</definedName>
    <definedName name="_xlnm.Print_Area" localSheetId="3">'4.sz.mell.'!$A$1:$AA$61</definedName>
    <definedName name="_xlnm.Print_Area" localSheetId="4">'4a.sz.mell.'!$A$1:$Q$61</definedName>
    <definedName name="_xlnm.Print_Area" localSheetId="5">'5.sz.mell.'!$A$1:$E$48</definedName>
    <definedName name="_xlnm.Print_Area" localSheetId="6">'6.sz.mell.'!$A$1:$D$22</definedName>
    <definedName name="_xlnm.Print_Area" localSheetId="7">'7.sz.mell.'!$A$1:$E$43</definedName>
    <definedName name="_xlnm.Print_Area" localSheetId="9">'9.sz.mell.'!$A$1:$D$13</definedName>
  </definedNames>
  <calcPr calcId="125725"/>
</workbook>
</file>

<file path=xl/calcChain.xml><?xml version="1.0" encoding="utf-8"?>
<calcChain xmlns="http://schemas.openxmlformats.org/spreadsheetml/2006/main">
  <c r="Y16" i="14"/>
  <c r="Y14"/>
  <c r="Y6"/>
  <c r="S9"/>
  <c r="D19" i="5"/>
  <c r="E35" i="18"/>
  <c r="E33"/>
  <c r="E24"/>
  <c r="D57" i="19"/>
  <c r="D17"/>
  <c r="F16" i="17" l="1"/>
  <c r="F15"/>
  <c r="E27" i="15"/>
  <c r="E16"/>
  <c r="Y22" i="14"/>
  <c r="Y21"/>
  <c r="Y18"/>
  <c r="Y17"/>
  <c r="Y15"/>
  <c r="D10" i="12"/>
  <c r="E33" i="6"/>
  <c r="D82" i="19"/>
  <c r="G27" i="15" s="1"/>
  <c r="Y30" i="23"/>
  <c r="K31"/>
  <c r="E86" i="19"/>
  <c r="E24"/>
  <c r="D53"/>
  <c r="D24"/>
  <c r="Y53" i="23"/>
  <c r="Y54"/>
  <c r="X53"/>
  <c r="F24" i="19" l="1"/>
  <c r="D52" i="2"/>
  <c r="D52" i="3"/>
  <c r="D52" i="5"/>
  <c r="D55" i="6"/>
  <c r="E57" s="1"/>
  <c r="D52" i="12"/>
  <c r="D52" i="14"/>
  <c r="D54" i="15"/>
  <c r="E56" s="1"/>
  <c r="D52" i="21"/>
  <c r="E54" i="2"/>
  <c r="E54" i="3"/>
  <c r="E54" i="5"/>
  <c r="E54" i="12"/>
  <c r="E54" i="14"/>
  <c r="E54" i="21"/>
  <c r="Q64" i="19"/>
  <c r="Q63" i="2"/>
  <c r="Q63" i="3"/>
  <c r="Q64" i="23"/>
  <c r="Q63" i="5"/>
  <c r="Q66" i="6"/>
  <c r="Q63" i="12"/>
  <c r="Q63" i="14"/>
  <c r="Q65" i="15"/>
  <c r="Q63" i="21"/>
  <c r="I20" l="1"/>
  <c r="H20"/>
  <c r="G20"/>
  <c r="F20"/>
  <c r="E20"/>
  <c r="D20"/>
  <c r="C21" l="1"/>
  <c r="F28"/>
  <c r="G28"/>
  <c r="H28"/>
  <c r="I28"/>
  <c r="E28"/>
  <c r="E16"/>
  <c r="F16"/>
  <c r="G16"/>
  <c r="H16"/>
  <c r="I16"/>
  <c r="Z20" i="14"/>
  <c r="AA20"/>
  <c r="W22"/>
  <c r="S21"/>
  <c r="W18"/>
  <c r="U18"/>
  <c r="W16"/>
  <c r="U16"/>
  <c r="W15"/>
  <c r="U15"/>
  <c r="W14"/>
  <c r="U14"/>
  <c r="U8"/>
  <c r="U6"/>
  <c r="E35" i="6"/>
  <c r="E14"/>
  <c r="I12" i="3"/>
  <c r="J12"/>
  <c r="O25"/>
  <c r="F36" i="2"/>
  <c r="C53" i="19" l="1"/>
  <c r="D41"/>
  <c r="R60" i="23" l="1"/>
  <c r="S60"/>
  <c r="P24" i="3" s="1"/>
  <c r="R51" i="23"/>
  <c r="S51"/>
  <c r="P23" i="3" s="1"/>
  <c r="T51" i="23"/>
  <c r="R48"/>
  <c r="S48"/>
  <c r="P22" i="3" s="1"/>
  <c r="T48" i="23"/>
  <c r="R46"/>
  <c r="S46"/>
  <c r="P21" i="3" s="1"/>
  <c r="R40" i="23"/>
  <c r="S40"/>
  <c r="T40"/>
  <c r="X7"/>
  <c r="Y7"/>
  <c r="X8"/>
  <c r="Y8"/>
  <c r="X9"/>
  <c r="Y9"/>
  <c r="X10"/>
  <c r="Y10"/>
  <c r="X11"/>
  <c r="Y11"/>
  <c r="X12"/>
  <c r="Y12"/>
  <c r="X13"/>
  <c r="Y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X29"/>
  <c r="Y29"/>
  <c r="X30"/>
  <c r="Y6"/>
  <c r="X6"/>
  <c r="R31"/>
  <c r="S31"/>
  <c r="S41" l="1"/>
  <c r="R41"/>
  <c r="R61" s="1"/>
  <c r="S21" i="3"/>
  <c r="U21" s="1"/>
  <c r="S22"/>
  <c r="U22" s="1"/>
  <c r="S23"/>
  <c r="U23" s="1"/>
  <c r="S24"/>
  <c r="U24" s="1"/>
  <c r="P20" l="1"/>
  <c r="P25" s="1"/>
  <c r="S61" i="23"/>
  <c r="P27" i="3" l="1"/>
  <c r="D80" i="19"/>
  <c r="D27" i="15"/>
  <c r="S14" i="14"/>
  <c r="Q14"/>
  <c r="O14"/>
  <c r="M14"/>
  <c r="Q22"/>
  <c r="O22"/>
  <c r="O21"/>
  <c r="S18"/>
  <c r="Q18"/>
  <c r="O18"/>
  <c r="M18"/>
  <c r="S15"/>
  <c r="Q15"/>
  <c r="O15"/>
  <c r="M15"/>
  <c r="S16"/>
  <c r="Q16"/>
  <c r="O16"/>
  <c r="Q17"/>
  <c r="W6"/>
  <c r="S6"/>
  <c r="Q6"/>
  <c r="O6"/>
  <c r="M6"/>
  <c r="K6"/>
  <c r="I6"/>
  <c r="G6"/>
  <c r="E6"/>
  <c r="C6"/>
  <c r="Q9"/>
  <c r="M9"/>
  <c r="AA9" s="1"/>
  <c r="K9"/>
  <c r="I9"/>
  <c r="Y8"/>
  <c r="W8"/>
  <c r="S8"/>
  <c r="Q8"/>
  <c r="O8"/>
  <c r="M8"/>
  <c r="K8"/>
  <c r="I8"/>
  <c r="G8"/>
  <c r="E8"/>
  <c r="C8"/>
  <c r="J8" i="10"/>
  <c r="D56" i="19"/>
  <c r="D13" i="5"/>
  <c r="F10" i="10" s="1"/>
  <c r="D12" i="5"/>
  <c r="F9" i="10" s="1"/>
  <c r="E12" i="6"/>
  <c r="K9" i="10" l="1"/>
  <c r="L9" s="1"/>
  <c r="N9"/>
  <c r="C25" i="21"/>
  <c r="F38" i="2"/>
  <c r="G10" i="10"/>
  <c r="N10"/>
  <c r="K10"/>
  <c r="L10" s="1"/>
  <c r="G9"/>
  <c r="E19" i="6"/>
  <c r="E22"/>
  <c r="D7"/>
  <c r="E9"/>
  <c r="E10"/>
  <c r="C18" i="5"/>
  <c r="D17"/>
  <c r="D16"/>
  <c r="D15"/>
  <c r="D14"/>
  <c r="D10"/>
  <c r="D9"/>
  <c r="F8" i="10" s="1"/>
  <c r="N8" s="1"/>
  <c r="D20" i="5"/>
  <c r="E47" i="18"/>
  <c r="E45"/>
  <c r="O8" i="3"/>
  <c r="O9"/>
  <c r="O10"/>
  <c r="O11"/>
  <c r="O7"/>
  <c r="N8"/>
  <c r="L7"/>
  <c r="F10"/>
  <c r="F8"/>
  <c r="D9"/>
  <c r="C8" i="21"/>
  <c r="C24" i="19"/>
  <c r="D55"/>
  <c r="C10" i="21"/>
  <c r="D60" i="24"/>
  <c r="F60"/>
  <c r="F61" s="1"/>
  <c r="G60"/>
  <c r="H11" i="3" s="1"/>
  <c r="H60" i="24"/>
  <c r="H61" s="1"/>
  <c r="I60"/>
  <c r="J60"/>
  <c r="J61" s="1"/>
  <c r="K60"/>
  <c r="N11" i="3" s="1"/>
  <c r="N60" i="24"/>
  <c r="N61" s="1"/>
  <c r="O60"/>
  <c r="F11" i="3" s="1"/>
  <c r="E50" i="24"/>
  <c r="D10" i="3" s="1"/>
  <c r="F50" i="24"/>
  <c r="G50"/>
  <c r="H10" i="3" s="1"/>
  <c r="H50" i="24"/>
  <c r="I50"/>
  <c r="J50"/>
  <c r="K50"/>
  <c r="N10" i="3" s="1"/>
  <c r="L50" i="24"/>
  <c r="N50"/>
  <c r="O50"/>
  <c r="D50"/>
  <c r="D61" s="1"/>
  <c r="D46"/>
  <c r="E46"/>
  <c r="F46"/>
  <c r="G46"/>
  <c r="H9" i="3" s="1"/>
  <c r="H46" i="24"/>
  <c r="I46"/>
  <c r="J46"/>
  <c r="K46"/>
  <c r="N9" i="3" s="1"/>
  <c r="N46" i="24"/>
  <c r="O46"/>
  <c r="F9" i="3" s="1"/>
  <c r="E43" i="24"/>
  <c r="D8" i="3" s="1"/>
  <c r="F43" i="24"/>
  <c r="G43"/>
  <c r="H8" i="3" s="1"/>
  <c r="H43" i="24"/>
  <c r="I43"/>
  <c r="J43"/>
  <c r="K43"/>
  <c r="L43"/>
  <c r="M43"/>
  <c r="N43"/>
  <c r="O43"/>
  <c r="D43"/>
  <c r="E37"/>
  <c r="F37"/>
  <c r="G37"/>
  <c r="H7" i="3" s="1"/>
  <c r="H37" i="24"/>
  <c r="I37"/>
  <c r="I61" s="1"/>
  <c r="AB9" i="14" s="1"/>
  <c r="AC9" s="1"/>
  <c r="J37" i="24"/>
  <c r="K37"/>
  <c r="N7" i="3" s="1"/>
  <c r="L37" i="24"/>
  <c r="M37"/>
  <c r="N37"/>
  <c r="O37"/>
  <c r="F7" i="3" s="1"/>
  <c r="D37" i="24"/>
  <c r="J51" i="23"/>
  <c r="K51"/>
  <c r="L51"/>
  <c r="M51"/>
  <c r="N51"/>
  <c r="O51"/>
  <c r="P51"/>
  <c r="Q51"/>
  <c r="U51"/>
  <c r="E17" i="6" s="1"/>
  <c r="V51" i="23"/>
  <c r="W51"/>
  <c r="D51"/>
  <c r="E51"/>
  <c r="D23" i="3" s="1"/>
  <c r="F51" i="23"/>
  <c r="F23" i="3" s="1"/>
  <c r="G51" i="23"/>
  <c r="H51"/>
  <c r="I51"/>
  <c r="H23" i="3" s="1"/>
  <c r="Q47" i="24"/>
  <c r="P47"/>
  <c r="M47"/>
  <c r="M50" s="1"/>
  <c r="L10" i="3" s="1"/>
  <c r="M51" i="24"/>
  <c r="M60" s="1"/>
  <c r="L11" i="3" s="1"/>
  <c r="L40" i="24"/>
  <c r="M44"/>
  <c r="M46" s="1"/>
  <c r="L9" i="3" s="1"/>
  <c r="L44" i="24"/>
  <c r="L46" s="1"/>
  <c r="L47"/>
  <c r="L51"/>
  <c r="L60" s="1"/>
  <c r="C12" i="21" l="1"/>
  <c r="E55" i="19"/>
  <c r="L61" i="24"/>
  <c r="K61"/>
  <c r="O61"/>
  <c r="M61"/>
  <c r="L27" i="3" s="1"/>
  <c r="P10"/>
  <c r="T23"/>
  <c r="P9"/>
  <c r="F10" i="2"/>
  <c r="E50" i="18"/>
  <c r="F9" i="2"/>
  <c r="L20" i="3"/>
  <c r="L8"/>
  <c r="P8" s="1"/>
  <c r="G61" i="24"/>
  <c r="E34" i="19" s="1"/>
  <c r="D7" i="3"/>
  <c r="P7" s="1"/>
  <c r="K8" i="10"/>
  <c r="D18" i="5"/>
  <c r="D21" s="1"/>
  <c r="F18"/>
  <c r="E7" i="6"/>
  <c r="E43" i="18"/>
  <c r="E48" s="1"/>
  <c r="E52" s="1"/>
  <c r="C64" i="19"/>
  <c r="D64"/>
  <c r="D32"/>
  <c r="D33"/>
  <c r="D31"/>
  <c r="D30"/>
  <c r="D29"/>
  <c r="D28"/>
  <c r="D27"/>
  <c r="D26"/>
  <c r="D25"/>
  <c r="F12" i="2" s="1"/>
  <c r="X50" i="23"/>
  <c r="X51" s="1"/>
  <c r="Y50"/>
  <c r="Y49"/>
  <c r="X49"/>
  <c r="Y47"/>
  <c r="X47"/>
  <c r="X48" s="1"/>
  <c r="X43"/>
  <c r="Y43"/>
  <c r="X44"/>
  <c r="Y44"/>
  <c r="X45"/>
  <c r="Y45"/>
  <c r="Y42"/>
  <c r="X42"/>
  <c r="X46" s="1"/>
  <c r="X33"/>
  <c r="Y33"/>
  <c r="X34"/>
  <c r="Y34"/>
  <c r="X35"/>
  <c r="Y35"/>
  <c r="X36"/>
  <c r="Y36"/>
  <c r="X37"/>
  <c r="Y37"/>
  <c r="X38"/>
  <c r="Y38"/>
  <c r="X39"/>
  <c r="Y39"/>
  <c r="Y32"/>
  <c r="X32"/>
  <c r="E64" i="19"/>
  <c r="E41"/>
  <c r="P53" i="24"/>
  <c r="Q53"/>
  <c r="P54"/>
  <c r="Q54"/>
  <c r="P55"/>
  <c r="Q55"/>
  <c r="P56"/>
  <c r="Q56"/>
  <c r="P57"/>
  <c r="Q57"/>
  <c r="P58"/>
  <c r="Q58"/>
  <c r="P59"/>
  <c r="Q59"/>
  <c r="P52"/>
  <c r="Q51"/>
  <c r="P51"/>
  <c r="P48"/>
  <c r="Q48"/>
  <c r="Q50" s="1"/>
  <c r="P49"/>
  <c r="Q49"/>
  <c r="P45"/>
  <c r="Q45"/>
  <c r="Q44"/>
  <c r="P44"/>
  <c r="P46" s="1"/>
  <c r="Q39"/>
  <c r="Q40"/>
  <c r="Q41"/>
  <c r="Q42"/>
  <c r="P38"/>
  <c r="Q38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6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9"/>
  <c r="P40"/>
  <c r="P41"/>
  <c r="P42"/>
  <c r="AA13" i="23"/>
  <c r="P60" i="24" l="1"/>
  <c r="P37"/>
  <c r="AB7" i="14"/>
  <c r="F14" i="3"/>
  <c r="H14"/>
  <c r="AB6" i="14"/>
  <c r="Y51" i="23"/>
  <c r="AB11" i="14"/>
  <c r="N14" i="3"/>
  <c r="Y46" i="23"/>
  <c r="L14" i="3"/>
  <c r="F64" i="19"/>
  <c r="C11" i="21"/>
  <c r="F8" i="2"/>
  <c r="F20"/>
  <c r="C14" i="21"/>
  <c r="D34" i="19"/>
  <c r="D65"/>
  <c r="P50" i="24"/>
  <c r="E65" i="19"/>
  <c r="Q46" i="24"/>
  <c r="Q43"/>
  <c r="P43"/>
  <c r="Q37"/>
  <c r="P61" l="1"/>
  <c r="C9" i="21"/>
  <c r="F11" i="2"/>
  <c r="P63" i="24"/>
  <c r="P65" s="1"/>
  <c r="D31" i="23"/>
  <c r="M22" i="14" l="1"/>
  <c r="K22"/>
  <c r="Z22"/>
  <c r="C23"/>
  <c r="D23"/>
  <c r="E23"/>
  <c r="F23"/>
  <c r="G23"/>
  <c r="H23"/>
  <c r="I23"/>
  <c r="J23"/>
  <c r="N23"/>
  <c r="O23"/>
  <c r="P23"/>
  <c r="Q23"/>
  <c r="R23"/>
  <c r="S23"/>
  <c r="T23"/>
  <c r="U23"/>
  <c r="V23"/>
  <c r="W23"/>
  <c r="X23"/>
  <c r="B23"/>
  <c r="K23" l="1"/>
  <c r="D24"/>
  <c r="P24"/>
  <c r="AA22"/>
  <c r="M21"/>
  <c r="M23" s="1"/>
  <c r="K21"/>
  <c r="AA18"/>
  <c r="Y23"/>
  <c r="AA23" s="1"/>
  <c r="AA15"/>
  <c r="AA16"/>
  <c r="AA19"/>
  <c r="AA21"/>
  <c r="AA14"/>
  <c r="Z15"/>
  <c r="Z16"/>
  <c r="Z17"/>
  <c r="Z18"/>
  <c r="Z19"/>
  <c r="Z14"/>
  <c r="C12"/>
  <c r="C24" s="1"/>
  <c r="D12"/>
  <c r="E12"/>
  <c r="E24" s="1"/>
  <c r="F12"/>
  <c r="F24" s="1"/>
  <c r="G12"/>
  <c r="G24" s="1"/>
  <c r="H12"/>
  <c r="H24" s="1"/>
  <c r="I12"/>
  <c r="I24" s="1"/>
  <c r="J12"/>
  <c r="J24" s="1"/>
  <c r="K12"/>
  <c r="K24" s="1"/>
  <c r="L12"/>
  <c r="M12"/>
  <c r="N12"/>
  <c r="N24" s="1"/>
  <c r="O12"/>
  <c r="O24" s="1"/>
  <c r="P12"/>
  <c r="Q12"/>
  <c r="Q24" s="1"/>
  <c r="R12"/>
  <c r="R24" s="1"/>
  <c r="T12"/>
  <c r="T24" s="1"/>
  <c r="U12"/>
  <c r="U24" s="1"/>
  <c r="V12"/>
  <c r="V24" s="1"/>
  <c r="W12"/>
  <c r="W24" s="1"/>
  <c r="X12"/>
  <c r="X24" s="1"/>
  <c r="Y12"/>
  <c r="B12"/>
  <c r="Z12" s="1"/>
  <c r="AA10"/>
  <c r="AC10" s="1"/>
  <c r="Z10"/>
  <c r="Z11"/>
  <c r="S11"/>
  <c r="S12" s="1"/>
  <c r="S24" s="1"/>
  <c r="R11"/>
  <c r="Z9"/>
  <c r="Z8"/>
  <c r="Z7"/>
  <c r="AA7"/>
  <c r="AC7" s="1"/>
  <c r="AA8"/>
  <c r="AA6"/>
  <c r="AC6" s="1"/>
  <c r="Z6"/>
  <c r="E32" i="15"/>
  <c r="D8" i="12"/>
  <c r="D13" s="1"/>
  <c r="Y24" i="14" l="1"/>
  <c r="AA24" s="1"/>
  <c r="M24"/>
  <c r="AA11"/>
  <c r="AC11" s="1"/>
  <c r="AA17"/>
  <c r="B24"/>
  <c r="AA12"/>
  <c r="R7" i="3"/>
  <c r="N12"/>
  <c r="F13" i="2"/>
  <c r="F16" s="1"/>
  <c r="D84" i="19"/>
  <c r="F39" i="2" s="1"/>
  <c r="C34" i="19"/>
  <c r="V23" i="3"/>
  <c r="L25"/>
  <c r="E25"/>
  <c r="G25"/>
  <c r="C25"/>
  <c r="Q8" l="1"/>
  <c r="Q9"/>
  <c r="Q10"/>
  <c r="Q11"/>
  <c r="R8"/>
  <c r="R9"/>
  <c r="R10"/>
  <c r="K12"/>
  <c r="K20" s="1"/>
  <c r="M12"/>
  <c r="E12"/>
  <c r="F12"/>
  <c r="H12"/>
  <c r="L12"/>
  <c r="C12"/>
  <c r="F24" i="2"/>
  <c r="D66" i="19"/>
  <c r="G46" i="23"/>
  <c r="F21" i="3" s="1"/>
  <c r="E46" i="23"/>
  <c r="D21" i="3" s="1"/>
  <c r="F46" i="23"/>
  <c r="H46"/>
  <c r="I46"/>
  <c r="H21" i="3" s="1"/>
  <c r="J46" i="23"/>
  <c r="K46"/>
  <c r="J21" i="3" s="1"/>
  <c r="L46" i="23"/>
  <c r="M46"/>
  <c r="N46"/>
  <c r="O46"/>
  <c r="P46"/>
  <c r="Q46"/>
  <c r="T46"/>
  <c r="U46"/>
  <c r="E15" i="6" s="1"/>
  <c r="V46" i="23"/>
  <c r="W46"/>
  <c r="D46"/>
  <c r="AA46"/>
  <c r="X57"/>
  <c r="F60"/>
  <c r="G60"/>
  <c r="F24" i="3" s="1"/>
  <c r="H60" i="23"/>
  <c r="I60"/>
  <c r="H24" i="3" s="1"/>
  <c r="J60" i="23"/>
  <c r="K60"/>
  <c r="L60"/>
  <c r="M60"/>
  <c r="N60"/>
  <c r="O60"/>
  <c r="P60"/>
  <c r="Q60"/>
  <c r="T60"/>
  <c r="U60"/>
  <c r="E18" i="6" s="1"/>
  <c r="V60" i="23"/>
  <c r="W60"/>
  <c r="AA60"/>
  <c r="AA31"/>
  <c r="AA41" s="1"/>
  <c r="E48"/>
  <c r="D22" i="3" s="1"/>
  <c r="F48" i="23"/>
  <c r="G48"/>
  <c r="F22" i="3" s="1"/>
  <c r="H48" i="23"/>
  <c r="I48"/>
  <c r="H22" i="3" s="1"/>
  <c r="J48" i="23"/>
  <c r="K48"/>
  <c r="J22" i="3" s="1"/>
  <c r="L48" i="23"/>
  <c r="M48"/>
  <c r="N48"/>
  <c r="O48"/>
  <c r="P48"/>
  <c r="Q48"/>
  <c r="U48"/>
  <c r="E16" i="6" s="1"/>
  <c r="V48" i="23"/>
  <c r="W48"/>
  <c r="D48"/>
  <c r="E40"/>
  <c r="F40"/>
  <c r="G40"/>
  <c r="H40"/>
  <c r="I40"/>
  <c r="J40"/>
  <c r="K40"/>
  <c r="L40"/>
  <c r="M40"/>
  <c r="N40"/>
  <c r="O40"/>
  <c r="P40"/>
  <c r="Q40"/>
  <c r="U40"/>
  <c r="V40"/>
  <c r="X40" s="1"/>
  <c r="W40"/>
  <c r="D40"/>
  <c r="D41" s="1"/>
  <c r="E31"/>
  <c r="F31"/>
  <c r="G31"/>
  <c r="H31"/>
  <c r="I31"/>
  <c r="J31"/>
  <c r="N31"/>
  <c r="O31"/>
  <c r="P31"/>
  <c r="Q31"/>
  <c r="T31"/>
  <c r="U31"/>
  <c r="V31"/>
  <c r="W31"/>
  <c r="E11" i="6" l="1"/>
  <c r="E42" s="1"/>
  <c r="AA61" i="23"/>
  <c r="D60"/>
  <c r="T22" i="3"/>
  <c r="V22" s="1"/>
  <c r="T21"/>
  <c r="V21" s="1"/>
  <c r="D67" i="19"/>
  <c r="C15" i="21"/>
  <c r="C16" s="1"/>
  <c r="Y40" i="23"/>
  <c r="W41"/>
  <c r="W61" s="1"/>
  <c r="V41"/>
  <c r="V61" s="1"/>
  <c r="T41"/>
  <c r="T61" s="1"/>
  <c r="Q41"/>
  <c r="Q61" s="1"/>
  <c r="P41"/>
  <c r="P61" s="1"/>
  <c r="O41"/>
  <c r="O61" s="1"/>
  <c r="AB21" i="14" s="1"/>
  <c r="AC21" s="1"/>
  <c r="N41" i="23"/>
  <c r="N61" s="1"/>
  <c r="J41"/>
  <c r="J61" s="1"/>
  <c r="H41"/>
  <c r="H61" s="1"/>
  <c r="F41"/>
  <c r="F61" s="1"/>
  <c r="U41"/>
  <c r="U61" s="1"/>
  <c r="K41"/>
  <c r="J20" i="3" s="1"/>
  <c r="J25" s="1"/>
  <c r="I41" i="23"/>
  <c r="G41"/>
  <c r="F20" i="3" s="1"/>
  <c r="F25" s="1"/>
  <c r="E41" i="23"/>
  <c r="D20" i="3" s="1"/>
  <c r="F25" i="2"/>
  <c r="AB22" i="14" l="1"/>
  <c r="AC22" s="1"/>
  <c r="K61" i="23"/>
  <c r="R27" i="3"/>
  <c r="AB19" i="14"/>
  <c r="AC19" s="1"/>
  <c r="G61" i="23"/>
  <c r="D79" i="19"/>
  <c r="C24" i="21" s="1"/>
  <c r="R20" i="3"/>
  <c r="F37" i="2"/>
  <c r="D85" i="19"/>
  <c r="D86" s="1"/>
  <c r="D15" i="12"/>
  <c r="I61" i="23"/>
  <c r="H20" i="3"/>
  <c r="D88" i="19"/>
  <c r="F42" i="2"/>
  <c r="D87" i="19"/>
  <c r="F43" i="2"/>
  <c r="D90" i="19" l="1"/>
  <c r="D23" i="5" s="1"/>
  <c r="D25" s="1"/>
  <c r="AB18" i="14"/>
  <c r="AC18" s="1"/>
  <c r="G28" i="15"/>
  <c r="J27" i="3"/>
  <c r="AB15" i="14"/>
  <c r="AC15" s="1"/>
  <c r="F27" i="3"/>
  <c r="AB16" i="14"/>
  <c r="AC16" s="1"/>
  <c r="H27" i="3"/>
  <c r="M31" i="23"/>
  <c r="M41" s="1"/>
  <c r="M61" s="1"/>
  <c r="N20" i="3" s="1"/>
  <c r="N25" s="1"/>
  <c r="Y28" i="23"/>
  <c r="D75" i="19"/>
  <c r="C19" i="21" s="1"/>
  <c r="F32" i="2"/>
  <c r="R25" i="3"/>
  <c r="C27" i="21"/>
  <c r="C26"/>
  <c r="F40" i="2"/>
  <c r="H25" i="3"/>
  <c r="D76" i="19"/>
  <c r="F33" i="2"/>
  <c r="F45"/>
  <c r="Y55" i="23"/>
  <c r="Y56"/>
  <c r="Y57"/>
  <c r="Y58"/>
  <c r="Y59"/>
  <c r="X54"/>
  <c r="X55"/>
  <c r="X56"/>
  <c r="X58"/>
  <c r="X59"/>
  <c r="X52"/>
  <c r="Y48"/>
  <c r="Z60"/>
  <c r="D61"/>
  <c r="Z31"/>
  <c r="Z41" s="1"/>
  <c r="L28"/>
  <c r="C20" i="21" l="1"/>
  <c r="F34" i="2"/>
  <c r="C23" i="21"/>
  <c r="D77" i="19"/>
  <c r="C22" i="21" s="1"/>
  <c r="F35" i="2"/>
  <c r="L31" i="23"/>
  <c r="L41" s="1"/>
  <c r="L61" s="1"/>
  <c r="X28"/>
  <c r="N27" i="3"/>
  <c r="AB17" i="14"/>
  <c r="AC17" s="1"/>
  <c r="T20" i="3"/>
  <c r="V20" s="1"/>
  <c r="E44" i="6"/>
  <c r="E46" s="1"/>
  <c r="X60" i="23"/>
  <c r="X31"/>
  <c r="X41" s="1"/>
  <c r="Y31"/>
  <c r="Y41" s="1"/>
  <c r="Z61"/>
  <c r="E11" i="2"/>
  <c r="E10"/>
  <c r="B23" i="21"/>
  <c r="B28" s="1"/>
  <c r="L21" i="14"/>
  <c r="C8" i="12"/>
  <c r="C13" s="1"/>
  <c r="I20" i="3"/>
  <c r="E34" i="2"/>
  <c r="H8" i="10"/>
  <c r="E20" i="2"/>
  <c r="E24" s="1"/>
  <c r="C90" i="19"/>
  <c r="C23" i="5" s="1"/>
  <c r="D16" i="21"/>
  <c r="B16"/>
  <c r="F22" i="17"/>
  <c r="J10" i="10"/>
  <c r="M10" s="1"/>
  <c r="J9"/>
  <c r="E10"/>
  <c r="E9"/>
  <c r="D11" i="6"/>
  <c r="D42" s="1"/>
  <c r="C55" i="19"/>
  <c r="D24" i="18"/>
  <c r="D45" i="2"/>
  <c r="C45"/>
  <c r="D41"/>
  <c r="D46" s="1"/>
  <c r="C41"/>
  <c r="C46" s="1"/>
  <c r="D24"/>
  <c r="C24"/>
  <c r="D16"/>
  <c r="D25" s="1"/>
  <c r="C16"/>
  <c r="Q25" i="3"/>
  <c r="C66" i="19"/>
  <c r="D33" i="18"/>
  <c r="D43"/>
  <c r="D48" s="1"/>
  <c r="D45"/>
  <c r="E41" i="2"/>
  <c r="E45"/>
  <c r="E16"/>
  <c r="K25" i="3"/>
  <c r="F18" i="17"/>
  <c r="M25" i="3"/>
  <c r="C83" i="19"/>
  <c r="C86"/>
  <c r="C41"/>
  <c r="D32" i="15"/>
  <c r="E46" i="2"/>
  <c r="D28" i="21"/>
  <c r="L23" i="14" l="1"/>
  <c r="Z21"/>
  <c r="C25" i="2"/>
  <c r="E25"/>
  <c r="I25" i="3"/>
  <c r="S25" s="1"/>
  <c r="U25" s="1"/>
  <c r="S20"/>
  <c r="U20" s="1"/>
  <c r="C91" i="19"/>
  <c r="C67"/>
  <c r="G12" i="3"/>
  <c r="X61" i="23"/>
  <c r="L24" i="14" l="1"/>
  <c r="Z23"/>
  <c r="Z24" s="1"/>
  <c r="Q7" i="3"/>
  <c r="Q12" s="1"/>
  <c r="O12"/>
  <c r="C20" i="5"/>
  <c r="C21" s="1"/>
  <c r="Y52" i="23"/>
  <c r="Y60"/>
  <c r="Y61" s="1"/>
  <c r="V27" i="3" s="1"/>
  <c r="E60" i="23"/>
  <c r="E61" s="1"/>
  <c r="F31" i="2" l="1"/>
  <c r="F41" s="1"/>
  <c r="F46" s="1"/>
  <c r="D27" i="3"/>
  <c r="D74" i="19"/>
  <c r="D83" s="1"/>
  <c r="D91" s="1"/>
  <c r="D93" s="1"/>
  <c r="AB14" i="14"/>
  <c r="AC14" s="1"/>
  <c r="P67" i="12"/>
  <c r="E91" i="19"/>
  <c r="AB23" i="14"/>
  <c r="AC23" s="1"/>
  <c r="P69" i="15"/>
  <c r="P67" i="21"/>
  <c r="P67" i="2"/>
  <c r="P68" i="19"/>
  <c r="P70" i="6"/>
  <c r="P67" i="3"/>
  <c r="P67" i="5"/>
  <c r="P68" i="23"/>
  <c r="P67" i="14"/>
  <c r="D24" i="3"/>
  <c r="C18" i="21" l="1"/>
  <c r="C28" s="1"/>
  <c r="T24" i="3"/>
  <c r="V24" s="1"/>
  <c r="D25"/>
  <c r="T25" s="1"/>
  <c r="V25" s="1"/>
  <c r="E60" i="24"/>
  <c r="E61" s="1"/>
  <c r="Q52"/>
  <c r="Q60" s="1"/>
  <c r="Q61" s="1"/>
  <c r="P14" i="3" l="1"/>
  <c r="E67" i="19"/>
  <c r="D68" s="1"/>
  <c r="R14" i="3"/>
  <c r="P67" i="24"/>
  <c r="T27" i="3" s="1"/>
  <c r="E52" i="21"/>
  <c r="D14" i="3"/>
  <c r="E55" i="6"/>
  <c r="AB8" i="14"/>
  <c r="AC8" s="1"/>
  <c r="E52" i="2"/>
  <c r="E52" i="3"/>
  <c r="E52" i="14"/>
  <c r="E52" i="12"/>
  <c r="Q63" i="24"/>
  <c r="Q65" s="1"/>
  <c r="E52" i="5"/>
  <c r="E54" i="15"/>
  <c r="E53" i="19"/>
  <c r="D11" i="3"/>
  <c r="AB12" i="14" l="1"/>
  <c r="AC12" s="1"/>
  <c r="D12" i="3"/>
  <c r="P11"/>
  <c r="P12" l="1"/>
  <c r="R11"/>
  <c r="R12" s="1"/>
</calcChain>
</file>

<file path=xl/comments1.xml><?xml version="1.0" encoding="utf-8"?>
<comments xmlns="http://schemas.openxmlformats.org/spreadsheetml/2006/main">
  <authors>
    <author>Kadarkút PM. Hivatal</author>
  </authors>
  <commentList>
    <comment ref="A42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Kadarkút PM. Hivatal</author>
  </authors>
  <commentList>
    <comment ref="A38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<sst xmlns="http://schemas.openxmlformats.org/spreadsheetml/2006/main" count="841" uniqueCount="550">
  <si>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</si>
  <si>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</si>
  <si>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</si>
  <si>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</si>
  <si>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</si>
  <si>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</si>
  <si>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</si>
  <si>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</si>
  <si>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</si>
  <si>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</si>
  <si>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</si>
  <si>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</si>
  <si>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</si>
  <si>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</si>
  <si>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</si>
  <si>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</si>
  <si>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</si>
  <si>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</si>
  <si>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</si>
  <si>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</si>
  <si>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</si>
  <si>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</si>
  <si>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</si>
  <si>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</si>
  <si>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</si>
  <si>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</si>
  <si>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</si>
  <si>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</si>
  <si>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</si>
  <si>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</si>
  <si>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</si>
  <si>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</si>
  <si>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</si>
  <si>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</si>
  <si>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</si>
  <si>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</si>
  <si>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</si>
  <si>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</si>
  <si>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</si>
  <si>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</si>
  <si>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</si>
  <si>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</si>
  <si>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</si>
  <si>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</si>
  <si>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</si>
  <si>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</si>
  <si>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</si>
  <si>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</si>
  <si>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</si>
  <si>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</si>
  <si>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</si>
  <si>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</si>
  <si>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</si>
  <si>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</si>
  <si>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</si>
  <si>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</si>
  <si>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</si>
  <si>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</si>
  <si>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</si>
  <si>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</si>
  <si>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</si>
  <si>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</si>
  <si>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</si>
  <si>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Megnevezés</t>
  </si>
  <si>
    <t>Kadarkút Város Önkormányzat Európai Uniós támogatással megvalósuló programok, projektek bevételeiről és kiadásairól</t>
  </si>
  <si>
    <t>Összesen</t>
  </si>
  <si>
    <t>Céltartalék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</si>
  <si>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</si>
  <si>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</si>
  <si>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</si>
  <si>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</si>
  <si>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</si>
  <si>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</si>
  <si>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</si>
  <si>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</si>
  <si>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</si>
  <si>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</si>
  <si>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</si>
  <si>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</si>
  <si>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</si>
  <si>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</si>
  <si>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</si>
  <si>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</si>
  <si>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</si>
  <si>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</si>
  <si>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</si>
  <si>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</si>
  <si>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</si>
  <si>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</si>
  <si>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</si>
  <si>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</si>
  <si>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</si>
  <si>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</si>
  <si>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</si>
  <si>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</si>
  <si>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</si>
  <si>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</si>
  <si>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</si>
  <si>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</si>
  <si>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</si>
  <si>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</si>
  <si>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</si>
  <si>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</si>
  <si>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</si>
  <si>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</si>
  <si>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</si>
  <si>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</si>
  <si>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</si>
  <si>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</si>
  <si>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</si>
  <si>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</si>
  <si>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</si>
  <si>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</si>
  <si>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</si>
  <si>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</si>
  <si>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</si>
  <si>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</si>
  <si>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</si>
  <si>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</si>
  <si>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</si>
  <si>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</si>
  <si>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</si>
  <si>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</si>
  <si>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</si>
  <si>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</si>
  <si>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</si>
  <si>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</si>
  <si>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</si>
  <si>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</si>
  <si>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</si>
  <si>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</si>
  <si>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</si>
  <si>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</si>
  <si>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</si>
  <si>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</si>
  <si>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</si>
  <si>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</si>
  <si>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</si>
  <si>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</si>
  <si>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</si>
  <si>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</si>
  <si>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</si>
  <si>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</si>
  <si>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</si>
  <si>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</si>
  <si>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</si>
  <si>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</si>
  <si>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</si>
  <si>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</si>
  <si>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</si>
  <si>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</si>
  <si>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</si>
  <si>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</si>
  <si>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</si>
  <si>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</si>
  <si>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V.</t>
  </si>
  <si>
    <t xml:space="preserve">Kadarkút Város Önkormányzatának költségvetési évet követő 3 évre vonatkozó előirányzatai 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</si>
  <si>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</si>
  <si>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</si>
  <si>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</si>
  <si>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</si>
  <si>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</si>
  <si>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</si>
  <si>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</si>
  <si>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</si>
  <si>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</si>
  <si>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</si>
  <si>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074031</t>
  </si>
  <si>
    <t>096015</t>
  </si>
  <si>
    <t>Biztos Kezdet Gyerekház</t>
  </si>
  <si>
    <t>TARTALÉK ÖSSZESEN</t>
  </si>
  <si>
    <t>Ápolási díj</t>
  </si>
  <si>
    <t>BURSA támogatás</t>
  </si>
  <si>
    <t>2016. évi eredeti előirányzat</t>
  </si>
  <si>
    <t>IRÁNYÍTÓ SZERVI TÁMOGATÁS</t>
  </si>
  <si>
    <t>IRÁNYÍTÓ SZERVI TÁMOGATÁS FOLYÓSÍTÁSA</t>
  </si>
  <si>
    <t>Eredeti ei.</t>
  </si>
  <si>
    <t>Eredei ei.</t>
  </si>
  <si>
    <t>ÖSSZES KIADÁS (IRÁNYÍTÓ SZERVI TÁMOGATÁS NÉLKÜL)</t>
  </si>
  <si>
    <t>Egyéb felhalmozási célú kiadások</t>
  </si>
  <si>
    <t>Rendkívüli önkormányzati támogatás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</si>
  <si>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</si>
  <si>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</si>
  <si>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</si>
  <si>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</si>
  <si>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</si>
  <si>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</si>
  <si>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</si>
  <si>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</si>
  <si>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</si>
  <si>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</si>
  <si>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</si>
  <si>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</si>
  <si>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</si>
  <si>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</si>
  <si>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</si>
  <si>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</si>
  <si>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</si>
  <si>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</si>
  <si>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</si>
  <si>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</si>
  <si>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</si>
  <si>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</si>
  <si>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</si>
  <si>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</si>
  <si>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</si>
  <si>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</si>
  <si>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</si>
  <si>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</si>
  <si>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</si>
  <si>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</si>
  <si>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</si>
  <si>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</si>
  <si>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</si>
  <si>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</si>
  <si>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</si>
  <si>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</si>
  <si>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</si>
  <si>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</si>
  <si>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</si>
  <si>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</si>
  <si>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</si>
  <si>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</si>
  <si>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</si>
  <si>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</si>
  <si>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</si>
  <si>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</si>
  <si>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</si>
  <si>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</si>
  <si>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</si>
  <si>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</si>
  <si>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</si>
  <si>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</si>
  <si>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</si>
  <si>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</si>
  <si>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</si>
  <si>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</si>
  <si>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</si>
  <si>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</si>
  <si>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</si>
  <si>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</si>
  <si>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Kadarkúti Közös Önkormányzati Hivatal eszközbeszerzés</t>
  </si>
  <si>
    <t>Kiemelt előir. megnevezése</t>
  </si>
  <si>
    <t>beruházás</t>
  </si>
  <si>
    <t>felújítás</t>
  </si>
  <si>
    <t>Költségvetési maradvány</t>
  </si>
  <si>
    <t>Tűzoltóegyesület támogatása</t>
  </si>
  <si>
    <t>Lakosság részére kamatmentes kölcsön nyújtása</t>
  </si>
  <si>
    <t>Óvoda társulás támogatása</t>
  </si>
  <si>
    <t>Fejlesztési cél megnevezése</t>
  </si>
  <si>
    <t>Id. Kapoli Antal Művelődési Ház  eszközbeszerzés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</si>
  <si>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</si>
  <si>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</si>
  <si>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</si>
  <si>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</si>
  <si>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</si>
  <si>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</si>
  <si>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</si>
  <si>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Ft-ban</t>
  </si>
  <si>
    <t>Működési célú átvett pénzeszköz, kölcsöntörl.</t>
  </si>
  <si>
    <t>Bokor József Városi könyvtár eszközbeszerzése</t>
  </si>
  <si>
    <t>Kadarkúti Szociális Alapszolgáltatási Központ eszközbeszerzése</t>
  </si>
  <si>
    <t>Közművelődési érdekeltségnövelő pályázat 2017.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</si>
  <si>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</si>
  <si>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</si>
  <si>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</si>
  <si>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</si>
  <si>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</si>
  <si>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</si>
  <si>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</si>
  <si>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</si>
  <si>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</si>
  <si>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</si>
  <si>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</si>
  <si>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</si>
  <si>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</si>
  <si>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</si>
  <si>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</si>
  <si>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Sportegyesület támogatása (labdarúgó,kézilabda)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</si>
  <si>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</si>
  <si>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</si>
  <si>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</si>
  <si>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</si>
  <si>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</si>
  <si>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</si>
  <si>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>SZASZK munka-és tűzvédelmi társulás tám.</t>
  </si>
  <si>
    <t>Felh. és tőkejellegű bevétel</t>
  </si>
  <si>
    <t>Áht-n belüli megelőleg.visszafiz.</t>
  </si>
  <si>
    <t>2018. évi eredeti előirányzat</t>
  </si>
  <si>
    <t>Kadarkút Város Önkormányzat 2018 . évi bevételei és kiadásai alakulásáról</t>
  </si>
  <si>
    <t>Kadarkút Város Önkormányzat 2018. évi bevételei és kiadásai alakulásáról</t>
  </si>
  <si>
    <t>Kadarkút Város Önkormányzatának 
összevont mérlege  2016., 2017., 2018 években</t>
  </si>
  <si>
    <t>2018. évi
 eredeti előirányzat</t>
  </si>
  <si>
    <t>Kadarkút Város Önkormányzatának működési bevételei és kiadásai 2018. évben</t>
  </si>
  <si>
    <t>Kadarkút Város Önkormányzat 2018. évi kiadásai kormányzati funkciók szerinti bontásban</t>
  </si>
  <si>
    <t>Lakos 2017. jan.1.</t>
  </si>
  <si>
    <t xml:space="preserve">          Kadarkút Város Önkormányzatának 2018. évi felhalmozási bevételei</t>
  </si>
  <si>
    <t>A helyi önkormányzatok központilag szabályzott bevételei 2018. évben</t>
  </si>
  <si>
    <t>Kadarkút Város Önkormányzatának 
2018. évi felhalmozási kiadásai</t>
  </si>
  <si>
    <t>Kadarkút Város Önkormányzat 2018. évi tartaléka</t>
  </si>
  <si>
    <t>Kadarkút Város Önkormányzatának előirányzat felhasználási és likviditási ütemterve 2018. évben</t>
  </si>
  <si>
    <t>Kadarkút Város Önkormányzat által biztosított közvetlen támogatások 2018.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</si>
  <si>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2018.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</si>
  <si>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Polgármesteri illetmény támogatása</t>
  </si>
  <si>
    <t>Óvodapedagógusok 8 havi támogatása 9,2 fő</t>
  </si>
  <si>
    <t>Óvodapedagógusok 4 havi támogatása 9,4 fő</t>
  </si>
  <si>
    <t>Óvodaműködtetési támogatás - 8 hónap 94 fő</t>
  </si>
  <si>
    <t>Óvodaműködtetési támogatás - 4 hónap 97 fő</t>
  </si>
  <si>
    <t xml:space="preserve">Alapfokozatú végzettségű pedagógus II. kategóriába sorolt óvodapedagógus kiegészítő támogatása 2 fő </t>
  </si>
  <si>
    <t xml:space="preserve">Alapfokozatú végzettségű pedagógus II. kategóriába sorolt óvodapedagógus, akik a minősítést  2018.01.01-i átsorolással szerezték meg  3 fő </t>
  </si>
  <si>
    <t>Szociális étkeztetés 90 fő</t>
  </si>
  <si>
    <t>Házi segytségnyújtás-szociális segítés 8 fő</t>
  </si>
  <si>
    <t>Házi segítségnyújtás-személyi gondozás 16 fő</t>
  </si>
  <si>
    <t>Időskorúak nappali intézményi ellátása 18 fő</t>
  </si>
  <si>
    <t>A finanszirozás szemp.elismert dolgozók bértámogatása 10,62 fő</t>
  </si>
  <si>
    <t>Biztos Kezdet Gyerekház eszköz beszerzés</t>
  </si>
  <si>
    <t>I.1.a) Önkormányzati hivatal működésének támogatása 15,44 fő</t>
  </si>
  <si>
    <t>Telek vásárlás vízrendezéshez</t>
  </si>
  <si>
    <t>MTZ vásárlás pályázati forrásból</t>
  </si>
  <si>
    <t>Sport utca felújítás</t>
  </si>
  <si>
    <t>Pipacs utca vízrendezés</t>
  </si>
  <si>
    <t>2 db kerékpár vásárlás</t>
  </si>
  <si>
    <t xml:space="preserve">Jelzőtáblák beszerzése </t>
  </si>
  <si>
    <t>Minibölcsőde kialakítás többlet munka</t>
  </si>
  <si>
    <t>Beruházás teljes  költsége
 (2018-2019)</t>
  </si>
  <si>
    <t>2019. évi tervezett kiadás összege</t>
  </si>
  <si>
    <t>2018. évi támogatási előleg</t>
  </si>
  <si>
    <t>2018. évi támogatás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</si>
  <si>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</si>
  <si>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</si>
  <si>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</si>
  <si>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ASP informatikai fejlesztés támogatás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</si>
  <si>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</si>
  <si>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</si>
  <si>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</si>
  <si>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</si>
  <si>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</si>
  <si>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</si>
  <si>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</si>
  <si>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</si>
  <si>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 xml:space="preserve">Orvosi rendelő építése </t>
  </si>
  <si>
    <t>Stúdió bútor beszerzés</t>
  </si>
  <si>
    <t>3 db kandalló beszerzés szociális bérlakásba</t>
  </si>
  <si>
    <t>Koncessziós díj bevétel számla</t>
  </si>
  <si>
    <t>Megszűnt viziközmű társulattól átvett pénzeszköz számla (2017.12.31. napi egyenleg csökkentve a 2018. évi beruházások összegével)</t>
  </si>
  <si>
    <t>Szociális bérlakás számla (2017.12.31. napi egyenleg csökkentve a 2018. évi beruházások összegével)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</si>
  <si>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</si>
  <si>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ASP többletmunka támogatás</t>
  </si>
  <si>
    <t>2/1 oldal</t>
  </si>
  <si>
    <t>2/2 oldal</t>
  </si>
  <si>
    <t>Orvosi rendelő építése TOP-4.1.1.</t>
  </si>
  <si>
    <t>041236</t>
  </si>
  <si>
    <t>Országos közfoglakoztatási program</t>
  </si>
  <si>
    <t>ÖSSZESEN
EREDETI EI</t>
  </si>
  <si>
    <t>EREDETI EI</t>
  </si>
  <si>
    <t>ÖSSZESEN
MÓDOSÍTOTT EI</t>
  </si>
  <si>
    <t>LÉTSZÁM (FŐ)
EREDEETI</t>
  </si>
  <si>
    <t>LÉTSZÁM (FŐ)
MÓDOSÍTOTT</t>
  </si>
  <si>
    <t>016010</t>
  </si>
  <si>
    <t>OGY képviselő választás</t>
  </si>
  <si>
    <t>084070 / 084020</t>
  </si>
  <si>
    <t>2018. évi eredeti módosított</t>
  </si>
  <si>
    <t>2018. évi
 eredeti módosított</t>
  </si>
  <si>
    <t>2018. évi
módosított előirányzat</t>
  </si>
  <si>
    <t xml:space="preserve">Módosított ei. </t>
  </si>
  <si>
    <t>ÖSSZES BEVÉTEL</t>
  </si>
  <si>
    <t>Eredeti Ei.</t>
  </si>
  <si>
    <t>ÖSSZEG
Eredeti Ei.</t>
  </si>
  <si>
    <t>ÖSSZEG
Mód.Ei.</t>
  </si>
  <si>
    <t xml:space="preserve"> összege
Eredeti Ei.</t>
  </si>
  <si>
    <t>mértéke
Eredeti Ei.</t>
  </si>
  <si>
    <t xml:space="preserve"> összege
Mód Ei.</t>
  </si>
  <si>
    <t>mértéke
Mód Ei.</t>
  </si>
  <si>
    <t>2018. évi tervezett kiadás összege
Eredeti Ei</t>
  </si>
  <si>
    <t>2018. évi tervezett kiadás összege
Mód. Ei</t>
  </si>
  <si>
    <t xml:space="preserve"> összege
Mód.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</si>
  <si>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</si>
  <si>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</si>
  <si>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</si>
  <si>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</si>
  <si>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</si>
  <si>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</si>
  <si>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</si>
  <si>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</si>
  <si>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</si>
  <si>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</si>
  <si>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</si>
  <si>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</si>
  <si>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</si>
  <si>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</si>
  <si>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</si>
  <si>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</si>
  <si>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</si>
  <si>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</si>
  <si>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</si>
  <si>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</si>
  <si>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</si>
  <si>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</si>
  <si>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</si>
  <si>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</si>
  <si>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</si>
  <si>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</si>
  <si>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Szolgáltatások bevétele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</si>
  <si>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</si>
  <si>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</si>
  <si>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</si>
  <si>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</si>
  <si>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</si>
  <si>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</si>
  <si>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</si>
  <si>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</si>
  <si>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</si>
  <si>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</si>
  <si>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</si>
  <si>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</si>
  <si>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</si>
  <si>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</si>
  <si>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"Együtt a Zsselicben a humán szolgáltatások fejlesztéséért" 
EFOP-1.5.3 pályázat (084070)</t>
  </si>
  <si>
    <t>Térségi összefogás a Zselicben a humán kapacitások fejlesztéséért EFOP-3.9.2. pályázat (084010)</t>
  </si>
  <si>
    <t>Konyha vizesblokk felújítás</t>
  </si>
  <si>
    <t>MÓDOSÍTOTT EI</t>
  </si>
  <si>
    <t>OGY képviselő választás biz. Tagok napidíja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</si>
  <si>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</si>
  <si>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</si>
  <si>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</si>
  <si>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</si>
  <si>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</si>
  <si>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</si>
  <si>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Működési bevételek
(094)
EREDETI EI.</t>
  </si>
  <si>
    <t>Működési bevételek
(094)
MÓDOSÍTOTT EI</t>
  </si>
  <si>
    <t xml:space="preserve"> Működési támogatások 
(091)
EREDETI EI.</t>
  </si>
  <si>
    <t xml:space="preserve"> Működési támogatások 
(091)
MÓDOSÍTOTT EI</t>
  </si>
  <si>
    <t>Önkormányzatok elszámolásai a központi költségvetéssel</t>
  </si>
  <si>
    <t>Felhalmozási célú támogatások 
(092)
MÓDOSÍTOTT EI.</t>
  </si>
  <si>
    <t>Felhalmozási célú támogatások 
(092)
EREDETI EI.</t>
  </si>
  <si>
    <t>Támogatási célú finansz. Műveletek</t>
  </si>
  <si>
    <t>Költségvetési maradvány
 (098)
EREDETI EI</t>
  </si>
  <si>
    <t>Költségvetési maradvány
 (098)
MÓDOSÍTOTT EI</t>
  </si>
  <si>
    <t>Bevételek</t>
  </si>
  <si>
    <t>KADARKÚT VÁROS ÖNKORMÁNYZATA</t>
  </si>
  <si>
    <t>900020</t>
  </si>
  <si>
    <t>Önkormányzati funkcióra nem sorolt bevét</t>
  </si>
  <si>
    <t>Közhatalmi bevételek
 (093)
MÓDOSÍTOTT EI</t>
  </si>
  <si>
    <t>Közhatalmi bevételek
(093)
EREDETI EI</t>
  </si>
  <si>
    <t>Központi irányítószervi támogatás
 (098)
MÓDOSÍTOTT EI</t>
  </si>
  <si>
    <t>Központi irányítószervi támogatás
 (098)
EREDETI EI</t>
  </si>
  <si>
    <t>Gyermekvédelmi és pénzbeli term.beli ellátások</t>
  </si>
  <si>
    <t>központi irányítószervi</t>
  </si>
  <si>
    <t>Kadarkút Város Önkormányzat 2018. évi bevételei kormányzati funkciók szerinti bontásban</t>
  </si>
  <si>
    <t>Működési célú önkormányzati támogatás  (B115)</t>
  </si>
  <si>
    <t>Sportfejlesztés támogatás</t>
  </si>
  <si>
    <t xml:space="preserve">Szociális Alaszolg. Kp. konyha tető felújítás, eszköz beszerzés támogatása </t>
  </si>
  <si>
    <t>Felhalmozási célú bevételek összesen: (B21,B23, B25)</t>
  </si>
  <si>
    <t>Közművelődési érdekeltségnövelő támogatás</t>
  </si>
  <si>
    <t>Útfelújítás támogatás, MTZ beszerzés (ÁHT-n belül)</t>
  </si>
  <si>
    <t>Elszámolásból származó bevételek (B116)</t>
  </si>
  <si>
    <t>Beruházás (K61,K62, K63, K64, K67)</t>
  </si>
  <si>
    <t>EREDETI EI
Összeg</t>
  </si>
  <si>
    <t>MÓDOSÍTOTT EI
Összeg</t>
  </si>
  <si>
    <t>Módosított Ei.</t>
  </si>
  <si>
    <t>Sportfejlesztés támoogatása</t>
  </si>
  <si>
    <t>Közművelődési érdekeltségnövelő támogatás (2018)</t>
  </si>
  <si>
    <t>Közmunkaprogram szivattyú vásárlás, kamerarendszer telepítés</t>
  </si>
  <si>
    <t>Szociális bérlakás felújítása</t>
  </si>
  <si>
    <t>Önkormányzati épületek/bérlakások felújítása</t>
  </si>
  <si>
    <t>Telefonkészülék vásárlás</t>
  </si>
  <si>
    <t>Projektiroda polcrendszer beszerzés</t>
  </si>
  <si>
    <t>Sportpálya vonalfestő kocsi beszerzés</t>
  </si>
  <si>
    <t>Iskola konyha közmű leválasztás</t>
  </si>
  <si>
    <t>EFOP 1-5-3 program támogatása</t>
  </si>
  <si>
    <t>EFOP 3-9-2 program támogatása</t>
  </si>
  <si>
    <t>EFOP-3-9-2 pályázat ösztöndíj kifizetések</t>
  </si>
  <si>
    <t>053. 
 DOLOGI KIADÁS
EREDETI EI.</t>
  </si>
  <si>
    <t>053.  
DOLOGI KIADÁS
MÓDOSÍTOTT EI.</t>
  </si>
  <si>
    <t>051.
SZEMÉLYI JUTTATÁS
EREDETI EI.</t>
  </si>
  <si>
    <t>051.
SZEMÉLYI JUTTATÁS
MÓDOSÍTOTT EI</t>
  </si>
  <si>
    <t>052.
 MUNK. TERH. JÁRULÉK
EREDETI EI.</t>
  </si>
  <si>
    <t>052. 
MUNK. TERH. JÁRULÉK
MÓDOSÍTOTT EI</t>
  </si>
  <si>
    <t>056.
BERUHÁZÁS
EREDETI EI</t>
  </si>
  <si>
    <t xml:space="preserve">
056.
BERUHÁZÁS
MÓDOSÍTOTT EI
</t>
  </si>
  <si>
    <t>055.
TARTALÉK
EREDETI EI</t>
  </si>
  <si>
    <t xml:space="preserve">
055.
TARTALÉK
MÓDOSÍTOTT EI</t>
  </si>
  <si>
    <t>057.
FELÚJÍTÁS
EREDETI EI</t>
  </si>
  <si>
    <t xml:space="preserve">
057.
FELÚJÍTÁS
MÓDOSÍTOTT EI</t>
  </si>
  <si>
    <t>059.
ÁLLAMHÁZTAR- TÁSON BELÜLI MEGELŐLEGEZÉS VISSZAFIZETÉSE
EREDETI EI</t>
  </si>
  <si>
    <t>059.
ÁLLAMHÁZTAR- TÁSON BELÜLI MEGELŐLEGEZÉS VISSZAFIZETÉSE
MÓDOSÍTOTT EI</t>
  </si>
  <si>
    <t>055121.
ELLÁTOTTAK PÉNZBENI PÉNZBENI  JUTTATÁSAI
EREDETI EI</t>
  </si>
  <si>
    <t>055121.
ELLÁTOTTAK PÉNZBENI PÉNZBENI  JUTTATÁSAI
MÓDOSÍTOTT EI</t>
  </si>
  <si>
    <t>059.
PÉNZÜGYI LÍZING KIADÁS
MÓDOSÍTOTT EI</t>
  </si>
  <si>
    <t>059.
PÉNZÜGYI LÍZING KIADÁS
EREDETI EI</t>
  </si>
  <si>
    <t>055.
MŰKÖDÉSI C. ÁTADOTT PÉNZESZK.
EREDETI EI</t>
  </si>
  <si>
    <t>055.
MŰKÖDÉSI C. ÁTADOTT PÉNZESZK.
MÓDOSÍTOTT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</si>
  <si>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</si>
  <si>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</si>
  <si>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</si>
  <si>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</si>
  <si>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</si>
  <si>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Nyári diákmunka támogatása (B16)</t>
  </si>
  <si>
    <t>Közművelődési érdekeltségnövelő támogatás (2018) (B21)</t>
  </si>
  <si>
    <t>Sportfejlesztés támogatás (B21)</t>
  </si>
  <si>
    <t>Sport utca útfelújítás támogatása (B21)</t>
  </si>
  <si>
    <t>EFOP program támogatása (B25)</t>
  </si>
  <si>
    <t>Biztos Kezdet Gyerekház eszköz beszerzés (B25)</t>
  </si>
  <si>
    <t>Szociális Alaszolg. Kp. konyha tető felújítás, eszköz beszerzés támogatása (B25)</t>
  </si>
  <si>
    <t>Orvosi rendelő építése (B25)</t>
  </si>
  <si>
    <t>MTZ beszerzés támogatás (ÁHT-n belül) (B25)</t>
  </si>
  <si>
    <t>Biztosítók által fizetett kártérítés (B410)</t>
  </si>
  <si>
    <t>Működési bevétel helyi önkormányzatoktól   (B16)</t>
  </si>
  <si>
    <t>Működési bevétel Megyei Könyvtártól  (B16)</t>
  </si>
  <si>
    <t>Működési bevétel államháztartáson belülről- ASP bevezetés többlet feladat  (B16)</t>
  </si>
  <si>
    <r>
      <t xml:space="preserve">Egyéb fejezeti kezelésű  ei-től műk. Célú p.e. átvét. (OGY választás)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(B16)</t>
    </r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</si>
  <si>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</si>
  <si>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</si>
  <si>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</si>
  <si>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</si>
  <si>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</si>
  <si>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</si>
  <si>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</si>
  <si>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</si>
  <si>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</si>
  <si>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Sport utca felőjítása </t>
  </si>
  <si>
    <t>Közművelődési érdekeltségnövelő pályázat önerő 2018.</t>
  </si>
  <si>
    <t>Penzügyi lízing Kiadásai</t>
  </si>
  <si>
    <t xml:space="preserve">Óvoda Társulás támogatás Minibölcsőde miatti </t>
  </si>
  <si>
    <t>Pénzügyi Lízing kiadásai</t>
  </si>
  <si>
    <t>Helyi önk. Előző évi elszám. Szárm kiad</t>
  </si>
  <si>
    <t>104031</t>
  </si>
  <si>
    <t>Gyermekek bölcsödében és minibölcsödében történő ellátása</t>
  </si>
  <si>
    <t xml:space="preserve">központi irányítószervi </t>
  </si>
  <si>
    <t>Búvár iszapszivattyú vásárlás - Rákóczi u. átemelő</t>
  </si>
  <si>
    <t>Szagtalanító oszlop tervezése, gyártása, beüzemelése szenyvíztelep</t>
  </si>
  <si>
    <t>3 db konvektor beszerzés szennyvíztelep</t>
  </si>
  <si>
    <t xml:space="preserve">Közművelődési érdekeltségnövelő támog. Visszafiz. </t>
  </si>
  <si>
    <t>Kártérítési díj megfizetése</t>
  </si>
  <si>
    <t>2016-ról áthúzódó bérkompenzáció támogatása</t>
  </si>
  <si>
    <t>2016-ról áthúzódó bérkompenzáció</t>
  </si>
  <si>
    <t>1. melléklet a 8/2019.(IV.26.) önkormányzati rendelethez</t>
  </si>
  <si>
    <t>2. melléklet a 8/2019.(IV.26.) önkormányzati rendelethez</t>
  </si>
  <si>
    <t xml:space="preserve">3. melléklet a 8/2019.(IV.26) önkormányzati rendelethez </t>
  </si>
  <si>
    <t>4.  melléklet a 8/2019.(IV.26.) önkormányzati rendelethez</t>
  </si>
  <si>
    <t xml:space="preserve">4.a  melléklet a 8/2019.(IV.26.) önkormányzati rendelethez </t>
  </si>
  <si>
    <t xml:space="preserve">5. melléklet a 8/2019.(IV.26.) önkormányzati rendelethez </t>
  </si>
  <si>
    <t xml:space="preserve">6.  melléklet a 8/2019.(IV.26.) önkormányzati rendelethez </t>
  </si>
  <si>
    <t xml:space="preserve">7. melléklet a 8/2019.(IV.26.) önkormányzati rendelethez </t>
  </si>
  <si>
    <t>8. melléklet a 8/2019.(IV.26.) önkormányzati rendelethez</t>
  </si>
  <si>
    <t xml:space="preserve">9. melléklet a 8/2019.(IV.26.) önkormányzati rendelethez </t>
  </si>
  <si>
    <t>10. melléklet a 8/2019.(IV.26.) önkormányzati rendelethez</t>
  </si>
  <si>
    <t xml:space="preserve">11. melléklet a 8/2019.(IV.26.) önkormányzati rendelethez </t>
  </si>
  <si>
    <t>12. melléklet a 8/2019.(IV.26.) önkormányzati rendelethez</t>
  </si>
  <si>
    <t xml:space="preserve">13. melléklet a 8/2019.(IV.26.) önkormányzati rendelethez 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</si>
</sst>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7" formatCode="_-* #,##0\ [$Ft-40E]_-;\-* #,##0\ [$Ft-40E]_-;_-* &quot;-&quot;??\ [$Ft-40E]_-;_-@_-"/>
  </numFmts>
  <fonts count="7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4" fillId="0" borderId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4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0" xfId="2" applyFont="1"/>
    <xf numFmtId="0" fontId="7" fillId="0" borderId="5" xfId="2" applyFont="1" applyBorder="1"/>
    <xf numFmtId="0" fontId="6" fillId="0" borderId="6" xfId="2" applyFont="1" applyBorder="1"/>
    <xf numFmtId="0" fontId="7" fillId="0" borderId="7" xfId="2" applyFont="1" applyBorder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/>
    </xf>
    <xf numFmtId="0" fontId="11" fillId="0" borderId="0" xfId="2" applyFont="1"/>
    <xf numFmtId="3" fontId="11" fillId="0" borderId="0" xfId="2" applyNumberFormat="1" applyFont="1"/>
    <xf numFmtId="3" fontId="12" fillId="0" borderId="0" xfId="2" applyNumberFormat="1" applyFont="1"/>
    <xf numFmtId="3" fontId="12" fillId="0" borderId="0" xfId="2" applyNumberFormat="1" applyFont="1" applyAlignment="1">
      <alignment horizontal="center" vertical="center" wrapText="1"/>
    </xf>
    <xf numFmtId="3" fontId="12" fillId="0" borderId="0" xfId="2" applyNumberFormat="1" applyFont="1" applyAlignment="1">
      <alignment vertical="center"/>
    </xf>
    <xf numFmtId="3" fontId="11" fillId="0" borderId="0" xfId="2" applyNumberFormat="1" applyFont="1" applyAlignment="1">
      <alignment horizontal="center" vertical="center" textRotation="90" wrapText="1"/>
    </xf>
    <xf numFmtId="3" fontId="11" fillId="0" borderId="0" xfId="2" applyNumberFormat="1" applyFont="1" applyAlignment="1">
      <alignment vertical="center"/>
    </xf>
    <xf numFmtId="3" fontId="11" fillId="0" borderId="0" xfId="2" applyNumberFormat="1" applyFont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/>
    <xf numFmtId="0" fontId="16" fillId="0" borderId="0" xfId="2" applyFont="1" applyAlignment="1">
      <alignment horizontal="center"/>
    </xf>
    <xf numFmtId="0" fontId="10" fillId="2" borderId="9" xfId="2" applyFont="1" applyFill="1" applyBorder="1" applyAlignment="1">
      <alignment horizontal="left"/>
    </xf>
    <xf numFmtId="0" fontId="19" fillId="0" borderId="9" xfId="2" applyFont="1" applyBorder="1"/>
    <xf numFmtId="0" fontId="16" fillId="0" borderId="0" xfId="2" applyFont="1"/>
    <xf numFmtId="0" fontId="10" fillId="2" borderId="9" xfId="2" applyFont="1" applyFill="1" applyBorder="1"/>
    <xf numFmtId="0" fontId="19" fillId="0" borderId="9" xfId="2" applyFont="1" applyBorder="1" applyAlignment="1">
      <alignment horizontal="left"/>
    </xf>
    <xf numFmtId="0" fontId="22" fillId="0" borderId="0" xfId="2" applyFont="1"/>
    <xf numFmtId="0" fontId="10" fillId="0" borderId="0" xfId="2" applyFont="1" applyAlignment="1">
      <alignment horizontal="center"/>
    </xf>
    <xf numFmtId="0" fontId="19" fillId="0" borderId="0" xfId="2" applyFont="1" applyAlignment="1">
      <alignment horizontal="right"/>
    </xf>
    <xf numFmtId="0" fontId="10" fillId="3" borderId="9" xfId="2" applyFont="1" applyFill="1" applyBorder="1"/>
    <xf numFmtId="0" fontId="10" fillId="0" borderId="9" xfId="2" applyFont="1" applyBorder="1"/>
    <xf numFmtId="0" fontId="10" fillId="0" borderId="0" xfId="2" applyFont="1"/>
    <xf numFmtId="3" fontId="10" fillId="0" borderId="0" xfId="2" applyNumberFormat="1" applyFont="1"/>
    <xf numFmtId="0" fontId="19" fillId="0" borderId="0" xfId="2" applyFont="1"/>
    <xf numFmtId="3" fontId="19" fillId="0" borderId="0" xfId="2" applyNumberFormat="1" applyFont="1"/>
    <xf numFmtId="0" fontId="26" fillId="0" borderId="0" xfId="2" applyFont="1"/>
    <xf numFmtId="3" fontId="10" fillId="0" borderId="0" xfId="2" applyNumberFormat="1" applyFont="1" applyAlignment="1">
      <alignment horizontal="right"/>
    </xf>
    <xf numFmtId="3" fontId="19" fillId="0" borderId="0" xfId="2" applyNumberFormat="1" applyFont="1" applyAlignment="1">
      <alignment horizontal="right"/>
    </xf>
    <xf numFmtId="0" fontId="19" fillId="0" borderId="0" xfId="2" applyFont="1" applyAlignment="1">
      <alignment horizontal="left"/>
    </xf>
    <xf numFmtId="0" fontId="10" fillId="0" borderId="0" xfId="2" applyFont="1" applyAlignment="1">
      <alignment vertical="center" wrapText="1"/>
    </xf>
    <xf numFmtId="0" fontId="19" fillId="0" borderId="9" xfId="2" applyFont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20" fillId="0" borderId="0" xfId="2" applyFont="1" applyAlignment="1">
      <alignment vertical="center"/>
    </xf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3" fontId="10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0" fontId="32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0" fontId="33" fillId="0" borderId="0" xfId="2" applyFont="1"/>
    <xf numFmtId="0" fontId="35" fillId="0" borderId="0" xfId="2" applyFont="1"/>
    <xf numFmtId="0" fontId="19" fillId="0" borderId="0" xfId="2" applyFont="1" applyAlignment="1">
      <alignment vertical="center"/>
    </xf>
    <xf numFmtId="0" fontId="3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/>
    <xf numFmtId="165" fontId="20" fillId="0" borderId="0" xfId="3" applyNumberFormat="1" applyFont="1"/>
    <xf numFmtId="0" fontId="21" fillId="0" borderId="0" xfId="3" applyFont="1" applyAlignment="1">
      <alignment horizontal="center" vertical="center"/>
    </xf>
    <xf numFmtId="0" fontId="19" fillId="0" borderId="0" xfId="3" applyFont="1"/>
    <xf numFmtId="165" fontId="19" fillId="0" borderId="0" xfId="3" applyNumberFormat="1" applyFont="1"/>
    <xf numFmtId="0" fontId="19" fillId="0" borderId="0" xfId="3" applyFont="1" applyAlignment="1">
      <alignment vertical="center"/>
    </xf>
    <xf numFmtId="0" fontId="19" fillId="0" borderId="0" xfId="3" applyFont="1" applyAlignment="1">
      <alignment horizontal="right" vertical="center"/>
    </xf>
    <xf numFmtId="0" fontId="19" fillId="0" borderId="0" xfId="3" applyFont="1" applyAlignment="1">
      <alignment horizontal="right"/>
    </xf>
    <xf numFmtId="0" fontId="19" fillId="0" borderId="9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165" fontId="20" fillId="0" borderId="0" xfId="3" applyNumberFormat="1" applyFont="1" applyAlignment="1">
      <alignment horizontal="center" vertical="center"/>
    </xf>
    <xf numFmtId="0" fontId="19" fillId="0" borderId="9" xfId="3" applyFont="1" applyBorder="1" applyAlignment="1">
      <alignment vertical="center"/>
    </xf>
    <xf numFmtId="3" fontId="10" fillId="0" borderId="0" xfId="3" applyNumberFormat="1" applyFont="1"/>
    <xf numFmtId="3" fontId="20" fillId="0" borderId="0" xfId="3" applyNumberFormat="1" applyFont="1"/>
    <xf numFmtId="0" fontId="10" fillId="0" borderId="9" xfId="3" applyFont="1" applyBorder="1" applyAlignment="1">
      <alignment vertical="center"/>
    </xf>
    <xf numFmtId="0" fontId="10" fillId="0" borderId="10" xfId="3" applyFont="1" applyBorder="1" applyAlignment="1">
      <alignment vertical="center"/>
    </xf>
    <xf numFmtId="0" fontId="16" fillId="0" borderId="0" xfId="3" applyFont="1"/>
    <xf numFmtId="165" fontId="16" fillId="0" borderId="0" xfId="3" applyNumberFormat="1" applyFont="1"/>
    <xf numFmtId="0" fontId="10" fillId="0" borderId="0" xfId="3" applyFont="1" applyAlignment="1">
      <alignment vertical="center"/>
    </xf>
    <xf numFmtId="0" fontId="10" fillId="0" borderId="0" xfId="3" applyFont="1"/>
    <xf numFmtId="0" fontId="0" fillId="0" borderId="0" xfId="0" applyAlignment="1">
      <alignment horizontal="right"/>
    </xf>
    <xf numFmtId="0" fontId="37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35" fillId="0" borderId="0" xfId="2" applyNumberFormat="1" applyFont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4" xfId="2" applyFont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5" fillId="0" borderId="15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0" fontId="19" fillId="0" borderId="9" xfId="2" applyFont="1" applyBorder="1" applyAlignment="1">
      <alignment wrapText="1"/>
    </xf>
    <xf numFmtId="3" fontId="1" fillId="0" borderId="0" xfId="2" applyNumberFormat="1"/>
    <xf numFmtId="0" fontId="23" fillId="0" borderId="0" xfId="2" applyFont="1" applyAlignment="1">
      <alignment horizontal="center"/>
    </xf>
    <xf numFmtId="0" fontId="43" fillId="0" borderId="0" xfId="2" applyFont="1" applyAlignment="1">
      <alignment vertical="center"/>
    </xf>
    <xf numFmtId="0" fontId="45" fillId="0" borderId="0" xfId="2" applyFont="1" applyAlignment="1">
      <alignment horizontal="left" vertical="center"/>
    </xf>
    <xf numFmtId="0" fontId="4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2" fillId="0" borderId="0" xfId="2" applyFont="1" applyAlignment="1">
      <alignment horizontal="center" vertical="center"/>
    </xf>
    <xf numFmtId="0" fontId="47" fillId="0" borderId="14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5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5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15" xfId="2" applyFont="1" applyBorder="1" applyAlignment="1">
      <alignment vertical="center" wrapText="1"/>
    </xf>
    <xf numFmtId="0" fontId="6" fillId="0" borderId="15" xfId="2" applyFont="1" applyBorder="1" applyAlignment="1">
      <alignment vertical="center" wrapText="1"/>
    </xf>
    <xf numFmtId="0" fontId="2" fillId="0" borderId="0" xfId="2" applyFont="1"/>
    <xf numFmtId="0" fontId="50" fillId="0" borderId="0" xfId="2" applyFont="1"/>
    <xf numFmtId="0" fontId="24" fillId="0" borderId="0" xfId="2" applyFont="1" applyAlignment="1">
      <alignment vertical="center" wrapText="1"/>
    </xf>
    <xf numFmtId="0" fontId="51" fillId="0" borderId="0" xfId="2" applyFont="1" applyAlignment="1">
      <alignment horizontal="center" vertical="center" wrapText="1"/>
    </xf>
    <xf numFmtId="3" fontId="16" fillId="0" borderId="16" xfId="2" applyNumberFormat="1" applyFont="1" applyBorder="1" applyAlignment="1">
      <alignment horizontal="center" vertical="center" wrapText="1"/>
    </xf>
    <xf numFmtId="3" fontId="16" fillId="0" borderId="0" xfId="2" applyNumberFormat="1" applyFont="1"/>
    <xf numFmtId="0" fontId="16" fillId="0" borderId="0" xfId="2" applyFont="1" applyAlignment="1">
      <alignment horizontal="center" vertical="center" wrapText="1"/>
    </xf>
    <xf numFmtId="0" fontId="20" fillId="0" borderId="2" xfId="2" applyFont="1" applyBorder="1" applyAlignment="1">
      <alignment horizontal="left" vertical="center"/>
    </xf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26" fillId="0" borderId="0" xfId="2" applyFont="1" applyAlignment="1">
      <alignment horizontal="right"/>
    </xf>
    <xf numFmtId="0" fontId="20" fillId="0" borderId="0" xfId="2" applyFont="1" applyAlignment="1">
      <alignment horizontal="right"/>
    </xf>
    <xf numFmtId="9" fontId="20" fillId="0" borderId="0" xfId="5" applyFont="1"/>
    <xf numFmtId="3" fontId="20" fillId="0" borderId="0" xfId="2" applyNumberFormat="1" applyFont="1"/>
    <xf numFmtId="0" fontId="37" fillId="0" borderId="0" xfId="0" applyFont="1" applyAlignment="1">
      <alignment horizontal="center"/>
    </xf>
    <xf numFmtId="0" fontId="23" fillId="0" borderId="0" xfId="2" applyFont="1"/>
    <xf numFmtId="3" fontId="23" fillId="0" borderId="0" xfId="2" applyNumberFormat="1" applyFont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17" xfId="0" applyBorder="1"/>
    <xf numFmtId="0" fontId="0" fillId="0" borderId="5" xfId="0" applyBorder="1"/>
    <xf numFmtId="0" fontId="20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24" fillId="0" borderId="0" xfId="2" applyFont="1" applyAlignment="1">
      <alignment horizontal="center" vertical="center" wrapText="1"/>
    </xf>
    <xf numFmtId="3" fontId="20" fillId="0" borderId="0" xfId="2" applyNumberFormat="1" applyFont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3" xfId="2" applyFont="1" applyBorder="1" applyAlignment="1">
      <alignment horizontal="center" vertical="center" textRotation="90"/>
    </xf>
    <xf numFmtId="0" fontId="11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vertical="center"/>
    </xf>
    <xf numFmtId="0" fontId="14" fillId="0" borderId="13" xfId="2" applyFont="1" applyBorder="1" applyAlignment="1">
      <alignment vertical="center"/>
    </xf>
    <xf numFmtId="0" fontId="10" fillId="2" borderId="13" xfId="2" applyFont="1" applyFill="1" applyBorder="1" applyAlignment="1">
      <alignment vertical="center"/>
    </xf>
    <xf numFmtId="3" fontId="19" fillId="0" borderId="0" xfId="2" applyNumberFormat="1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3" fontId="12" fillId="0" borderId="13" xfId="2" applyNumberFormat="1" applyFont="1" applyBorder="1" applyAlignment="1">
      <alignment horizontal="center" vertical="center"/>
    </xf>
    <xf numFmtId="0" fontId="20" fillId="0" borderId="17" xfId="2" applyFont="1" applyBorder="1" applyAlignment="1">
      <alignment horizontal="left" vertical="center"/>
    </xf>
    <xf numFmtId="3" fontId="57" fillId="0" borderId="13" xfId="2" applyNumberFormat="1" applyFont="1" applyBorder="1" applyAlignment="1">
      <alignment horizontal="center" vertical="center" wrapText="1"/>
    </xf>
    <xf numFmtId="3" fontId="17" fillId="0" borderId="22" xfId="2" applyNumberFormat="1" applyFont="1" applyBorder="1" applyAlignment="1">
      <alignment horizontal="center" vertical="center" wrapText="1"/>
    </xf>
    <xf numFmtId="49" fontId="14" fillId="0" borderId="13" xfId="2" applyNumberFormat="1" applyFont="1" applyBorder="1" applyAlignment="1">
      <alignment vertical="center"/>
    </xf>
    <xf numFmtId="49" fontId="14" fillId="0" borderId="23" xfId="2" applyNumberFormat="1" applyFont="1" applyBorder="1" applyAlignment="1">
      <alignment vertical="center"/>
    </xf>
    <xf numFmtId="49" fontId="14" fillId="0" borderId="24" xfId="2" applyNumberFormat="1" applyFont="1" applyBorder="1" applyAlignment="1">
      <alignment vertical="center"/>
    </xf>
    <xf numFmtId="49" fontId="14" fillId="0" borderId="13" xfId="2" applyNumberFormat="1" applyFont="1" applyBorder="1" applyAlignment="1">
      <alignment horizontal="left" vertical="center"/>
    </xf>
    <xf numFmtId="49" fontId="19" fillId="3" borderId="13" xfId="2" applyNumberFormat="1" applyFont="1" applyFill="1" applyBorder="1" applyAlignment="1">
      <alignment horizontal="left" vertical="center"/>
    </xf>
    <xf numFmtId="0" fontId="19" fillId="3" borderId="25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48" fillId="0" borderId="15" xfId="2" applyFont="1" applyBorder="1" applyAlignment="1">
      <alignment vertical="center"/>
    </xf>
    <xf numFmtId="0" fontId="21" fillId="0" borderId="0" xfId="2" applyFont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19" fillId="0" borderId="9" xfId="2" applyFont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4" xfId="2" applyNumberFormat="1" applyFont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3" fontId="35" fillId="0" borderId="15" xfId="2" applyNumberFormat="1" applyFont="1" applyBorder="1" applyAlignment="1">
      <alignment horizontal="right" vertical="center" indent="1"/>
    </xf>
    <xf numFmtId="3" fontId="7" fillId="0" borderId="0" xfId="2" applyNumberFormat="1" applyFont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3" fontId="11" fillId="0" borderId="0" xfId="2" applyNumberFormat="1" applyFont="1" applyAlignment="1">
      <alignment horizontal="right"/>
    </xf>
    <xf numFmtId="0" fontId="1" fillId="0" borderId="0" xfId="2" applyAlignment="1">
      <alignment horizontal="right" vertical="center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28" xfId="2" applyNumberFormat="1" applyFont="1" applyBorder="1" applyAlignment="1">
      <alignment horizontal="right" indent="1"/>
    </xf>
    <xf numFmtId="3" fontId="6" fillId="0" borderId="29" xfId="2" applyNumberFormat="1" applyFont="1" applyBorder="1" applyAlignment="1">
      <alignment horizontal="right" indent="1"/>
    </xf>
    <xf numFmtId="3" fontId="6" fillId="0" borderId="30" xfId="2" applyNumberFormat="1" applyFont="1" applyBorder="1" applyAlignment="1">
      <alignment horizontal="right" indent="1"/>
    </xf>
    <xf numFmtId="3" fontId="6" fillId="0" borderId="31" xfId="2" applyNumberFormat="1" applyFont="1" applyBorder="1" applyAlignment="1">
      <alignment horizontal="right" indent="1"/>
    </xf>
    <xf numFmtId="3" fontId="7" fillId="0" borderId="13" xfId="2" applyNumberFormat="1" applyFont="1" applyBorder="1" applyAlignment="1">
      <alignment horizontal="right" indent="1"/>
    </xf>
    <xf numFmtId="3" fontId="7" fillId="0" borderId="32" xfId="2" applyNumberFormat="1" applyFont="1" applyBorder="1" applyAlignment="1">
      <alignment horizontal="right" indent="1"/>
    </xf>
    <xf numFmtId="3" fontId="7" fillId="0" borderId="26" xfId="2" applyNumberFormat="1" applyFont="1" applyBorder="1" applyAlignment="1">
      <alignment horizontal="right" indent="1"/>
    </xf>
    <xf numFmtId="3" fontId="6" fillId="0" borderId="16" xfId="2" applyNumberFormat="1" applyFont="1" applyBorder="1" applyAlignment="1">
      <alignment horizontal="right" indent="1"/>
    </xf>
    <xf numFmtId="3" fontId="6" fillId="0" borderId="33" xfId="2" applyNumberFormat="1" applyFont="1" applyBorder="1" applyAlignment="1">
      <alignment horizontal="right" indent="1"/>
    </xf>
    <xf numFmtId="3" fontId="6" fillId="0" borderId="34" xfId="2" applyNumberFormat="1" applyFont="1" applyBorder="1" applyAlignment="1">
      <alignment horizontal="right" indent="1"/>
    </xf>
    <xf numFmtId="3" fontId="6" fillId="0" borderId="35" xfId="2" applyNumberFormat="1" applyFont="1" applyBorder="1" applyAlignment="1">
      <alignment horizontal="right" indent="1"/>
    </xf>
    <xf numFmtId="3" fontId="7" fillId="0" borderId="36" xfId="2" applyNumberFormat="1" applyFont="1" applyBorder="1" applyAlignment="1">
      <alignment horizontal="right" indent="1"/>
    </xf>
    <xf numFmtId="0" fontId="11" fillId="0" borderId="8" xfId="2" applyFont="1" applyBorder="1" applyAlignment="1">
      <alignment vertical="center"/>
    </xf>
    <xf numFmtId="0" fontId="16" fillId="2" borderId="22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38" xfId="2" applyFont="1" applyFill="1" applyBorder="1" applyAlignment="1">
      <alignment horizontal="left" vertical="center"/>
    </xf>
    <xf numFmtId="3" fontId="66" fillId="0" borderId="15" xfId="3" applyNumberFormat="1" applyFont="1" applyBorder="1" applyAlignment="1">
      <alignment horizontal="right" vertical="center" indent="1"/>
    </xf>
    <xf numFmtId="3" fontId="66" fillId="0" borderId="11" xfId="3" applyNumberFormat="1" applyFont="1" applyBorder="1" applyAlignment="1">
      <alignment horizontal="right" vertical="center" indent="1"/>
    </xf>
    <xf numFmtId="0" fontId="64" fillId="0" borderId="0" xfId="0" applyFont="1"/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3" xfId="2" applyNumberFormat="1" applyFont="1" applyBorder="1" applyAlignment="1">
      <alignment horizontal="right" vertical="center" indent="5"/>
    </xf>
    <xf numFmtId="3" fontId="11" fillId="2" borderId="36" xfId="2" applyNumberFormat="1" applyFont="1" applyFill="1" applyBorder="1" applyAlignment="1">
      <alignment horizontal="right" vertical="center" indent="5"/>
    </xf>
    <xf numFmtId="3" fontId="12" fillId="0" borderId="44" xfId="2" applyNumberFormat="1" applyFont="1" applyBorder="1" applyAlignment="1">
      <alignment horizontal="right" vertical="center" indent="5"/>
    </xf>
    <xf numFmtId="3" fontId="12" fillId="0" borderId="34" xfId="2" applyNumberFormat="1" applyFont="1" applyBorder="1" applyAlignment="1">
      <alignment horizontal="right" vertical="center" indent="5"/>
    </xf>
    <xf numFmtId="3" fontId="12" fillId="3" borderId="45" xfId="2" applyNumberFormat="1" applyFont="1" applyFill="1" applyBorder="1" applyAlignment="1">
      <alignment horizontal="right" vertical="center" indent="5"/>
    </xf>
    <xf numFmtId="3" fontId="12" fillId="4" borderId="16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44" xfId="2" applyNumberFormat="1" applyFont="1" applyFill="1" applyBorder="1" applyAlignment="1">
      <alignment horizontal="right" vertical="center" indent="5"/>
    </xf>
    <xf numFmtId="3" fontId="12" fillId="4" borderId="33" xfId="2" applyNumberFormat="1" applyFont="1" applyFill="1" applyBorder="1" applyAlignment="1">
      <alignment horizontal="right" vertical="center" indent="5"/>
    </xf>
    <xf numFmtId="3" fontId="10" fillId="2" borderId="26" xfId="2" applyNumberFormat="1" applyFont="1" applyFill="1" applyBorder="1" applyAlignment="1">
      <alignment horizontal="right" vertical="center" indent="5"/>
    </xf>
    <xf numFmtId="3" fontId="12" fillId="0" borderId="33" xfId="2" applyNumberFormat="1" applyFont="1" applyBorder="1" applyAlignment="1">
      <alignment horizontal="right" vertical="center" indent="4"/>
    </xf>
    <xf numFmtId="3" fontId="12" fillId="0" borderId="34" xfId="2" applyNumberFormat="1" applyFont="1" applyBorder="1" applyAlignment="1">
      <alignment horizontal="right" vertical="center" indent="4"/>
    </xf>
    <xf numFmtId="3" fontId="11" fillId="2" borderId="36" xfId="2" applyNumberFormat="1" applyFont="1" applyFill="1" applyBorder="1" applyAlignment="1">
      <alignment horizontal="right" vertical="center" indent="4"/>
    </xf>
    <xf numFmtId="3" fontId="10" fillId="2" borderId="26" xfId="2" applyNumberFormat="1" applyFont="1" applyFill="1" applyBorder="1" applyAlignment="1">
      <alignment horizontal="right" vertical="center" indent="4"/>
    </xf>
    <xf numFmtId="3" fontId="12" fillId="4" borderId="33" xfId="2" applyNumberFormat="1" applyFont="1" applyFill="1" applyBorder="1" applyAlignment="1">
      <alignment horizontal="right" vertical="center" wrapText="1" indent="5"/>
    </xf>
    <xf numFmtId="3" fontId="19" fillId="0" borderId="9" xfId="2" applyNumberFormat="1" applyFont="1" applyBorder="1" applyAlignment="1">
      <alignment horizontal="right" indent="1"/>
    </xf>
    <xf numFmtId="3" fontId="10" fillId="2" borderId="9" xfId="2" applyNumberFormat="1" applyFont="1" applyFill="1" applyBorder="1" applyAlignment="1">
      <alignment horizontal="right" indent="1"/>
    </xf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Border="1" applyAlignment="1">
      <alignment horizontal="center" vertical="center" wrapText="1"/>
    </xf>
    <xf numFmtId="0" fontId="59" fillId="3" borderId="21" xfId="2" applyFont="1" applyFill="1" applyBorder="1" applyAlignment="1">
      <alignment vertical="center" wrapText="1"/>
    </xf>
    <xf numFmtId="0" fontId="59" fillId="3" borderId="9" xfId="2" applyFont="1" applyFill="1" applyBorder="1" applyAlignment="1">
      <alignment vertical="center" wrapText="1"/>
    </xf>
    <xf numFmtId="0" fontId="38" fillId="3" borderId="21" xfId="2" applyFont="1" applyFill="1" applyBorder="1" applyAlignment="1">
      <alignment horizontal="center" vertical="center"/>
    </xf>
    <xf numFmtId="0" fontId="38" fillId="3" borderId="9" xfId="2" applyFont="1" applyFill="1" applyBorder="1" applyAlignment="1">
      <alignment horizontal="center" vertical="center"/>
    </xf>
    <xf numFmtId="167" fontId="21" fillId="3" borderId="21" xfId="1" applyNumberFormat="1" applyFont="1" applyFill="1" applyBorder="1" applyAlignment="1">
      <alignment horizontal="center" vertical="center"/>
    </xf>
    <xf numFmtId="167" fontId="38" fillId="3" borderId="21" xfId="1" applyNumberFormat="1" applyFont="1" applyFill="1" applyBorder="1" applyAlignment="1">
      <alignment horizontal="center" vertical="center"/>
    </xf>
    <xf numFmtId="9" fontId="38" fillId="3" borderId="21" xfId="4" applyFont="1" applyFill="1" applyBorder="1" applyAlignment="1">
      <alignment horizontal="center" vertical="center"/>
    </xf>
    <xf numFmtId="9" fontId="38" fillId="3" borderId="9" xfId="4" applyFont="1" applyFill="1" applyBorder="1" applyAlignment="1">
      <alignment horizontal="center" vertical="center"/>
    </xf>
    <xf numFmtId="167" fontId="21" fillId="3" borderId="9" xfId="1" applyNumberFormat="1" applyFont="1" applyFill="1" applyBorder="1" applyAlignment="1">
      <alignment horizontal="center" vertical="center"/>
    </xf>
    <xf numFmtId="167" fontId="38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3" fontId="19" fillId="0" borderId="9" xfId="2" applyNumberFormat="1" applyFont="1" applyBorder="1" applyAlignment="1">
      <alignment horizontal="right" vertical="center" indent="1"/>
    </xf>
    <xf numFmtId="164" fontId="60" fillId="0" borderId="9" xfId="1" applyNumberFormat="1" applyFont="1" applyBorder="1"/>
    <xf numFmtId="164" fontId="60" fillId="0" borderId="41" xfId="1" applyNumberFormat="1" applyFont="1" applyBorder="1"/>
    <xf numFmtId="164" fontId="60" fillId="0" borderId="43" xfId="1" applyNumberFormat="1" applyFont="1" applyBorder="1"/>
    <xf numFmtId="164" fontId="60" fillId="0" borderId="33" xfId="1" applyNumberFormat="1" applyFont="1" applyBorder="1"/>
    <xf numFmtId="164" fontId="60" fillId="0" borderId="35" xfId="1" applyNumberFormat="1" applyFont="1" applyBorder="1"/>
    <xf numFmtId="164" fontId="60" fillId="0" borderId="46" xfId="1" applyNumberFormat="1" applyFont="1" applyBorder="1" applyAlignment="1">
      <alignment horizontal="right"/>
    </xf>
    <xf numFmtId="164" fontId="60" fillId="0" borderId="9" xfId="1" applyNumberFormat="1" applyFont="1" applyBorder="1" applyAlignment="1">
      <alignment horizontal="right"/>
    </xf>
    <xf numFmtId="164" fontId="60" fillId="0" borderId="41" xfId="1" applyNumberFormat="1" applyFont="1" applyBorder="1" applyAlignment="1">
      <alignment horizontal="right"/>
    </xf>
    <xf numFmtId="164" fontId="60" fillId="0" borderId="43" xfId="1" applyNumberFormat="1" applyFont="1" applyBorder="1" applyAlignment="1">
      <alignment horizontal="right"/>
    </xf>
    <xf numFmtId="164" fontId="0" fillId="0" borderId="0" xfId="0" applyNumberFormat="1"/>
    <xf numFmtId="164" fontId="60" fillId="0" borderId="46" xfId="1" applyNumberFormat="1" applyFont="1" applyBorder="1" applyAlignment="1">
      <alignment horizontal="left"/>
    </xf>
    <xf numFmtId="164" fontId="60" fillId="0" borderId="46" xfId="1" applyNumberFormat="1" applyFont="1" applyBorder="1" applyAlignment="1">
      <alignment horizontal="left" indent="1"/>
    </xf>
    <xf numFmtId="164" fontId="60" fillId="0" borderId="16" xfId="1" applyNumberFormat="1" applyFont="1" applyBorder="1" applyAlignment="1">
      <alignment horizontal="left" indent="1"/>
    </xf>
    <xf numFmtId="164" fontId="60" fillId="0" borderId="9" xfId="1" applyNumberFormat="1" applyFont="1" applyBorder="1" applyAlignment="1">
      <alignment horizontal="left"/>
    </xf>
    <xf numFmtId="164" fontId="60" fillId="0" borderId="9" xfId="1" applyNumberFormat="1" applyFont="1" applyBorder="1" applyAlignment="1">
      <alignment horizontal="left" indent="1"/>
    </xf>
    <xf numFmtId="164" fontId="60" fillId="0" borderId="33" xfId="1" applyNumberFormat="1" applyFont="1" applyBorder="1" applyAlignment="1">
      <alignment horizontal="left" indent="1"/>
    </xf>
    <xf numFmtId="164" fontId="60" fillId="0" borderId="41" xfId="1" applyNumberFormat="1" applyFont="1" applyBorder="1" applyAlignment="1">
      <alignment horizontal="left"/>
    </xf>
    <xf numFmtId="164" fontId="60" fillId="0" borderId="41" xfId="1" applyNumberFormat="1" applyFont="1" applyBorder="1" applyAlignment="1">
      <alignment horizontal="left" indent="1"/>
    </xf>
    <xf numFmtId="164" fontId="60" fillId="0" borderId="35" xfId="1" applyNumberFormat="1" applyFont="1" applyBorder="1" applyAlignment="1">
      <alignment horizontal="left" indent="1"/>
    </xf>
    <xf numFmtId="164" fontId="60" fillId="0" borderId="43" xfId="1" applyNumberFormat="1" applyFont="1" applyBorder="1" applyAlignment="1">
      <alignment horizontal="left"/>
    </xf>
    <xf numFmtId="164" fontId="20" fillId="0" borderId="0" xfId="1" applyNumberFormat="1" applyFont="1"/>
    <xf numFmtId="3" fontId="20" fillId="0" borderId="9" xfId="3" applyNumberFormat="1" applyFont="1" applyBorder="1" applyAlignment="1">
      <alignment horizontal="right" vertical="center"/>
    </xf>
    <xf numFmtId="3" fontId="16" fillId="0" borderId="9" xfId="3" applyNumberFormat="1" applyFont="1" applyBorder="1" applyAlignment="1">
      <alignment horizontal="right" vertical="center" indent="1"/>
    </xf>
    <xf numFmtId="3" fontId="16" fillId="0" borderId="9" xfId="3" applyNumberFormat="1" applyFont="1" applyBorder="1" applyAlignment="1">
      <alignment horizontal="right" vertical="center"/>
    </xf>
    <xf numFmtId="0" fontId="20" fillId="0" borderId="9" xfId="3" applyFont="1" applyBorder="1" applyAlignment="1">
      <alignment horizontal="right" vertical="center"/>
    </xf>
    <xf numFmtId="3" fontId="19" fillId="0" borderId="13" xfId="2" applyNumberFormat="1" applyFont="1" applyBorder="1" applyAlignment="1">
      <alignment horizontal="right" vertical="center" indent="1"/>
    </xf>
    <xf numFmtId="3" fontId="19" fillId="0" borderId="13" xfId="2" applyNumberFormat="1" applyFont="1" applyBorder="1" applyAlignment="1">
      <alignment horizontal="right" vertical="center" indent="2"/>
    </xf>
    <xf numFmtId="3" fontId="10" fillId="2" borderId="13" xfId="2" applyNumberFormat="1" applyFont="1" applyFill="1" applyBorder="1" applyAlignment="1">
      <alignment horizontal="right" vertical="center" indent="1"/>
    </xf>
    <xf numFmtId="3" fontId="10" fillId="3" borderId="13" xfId="2" applyNumberFormat="1" applyFont="1" applyFill="1" applyBorder="1" applyAlignment="1">
      <alignment horizontal="right" vertical="center" indent="1"/>
    </xf>
    <xf numFmtId="0" fontId="19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/>
    </xf>
    <xf numFmtId="49" fontId="19" fillId="0" borderId="13" xfId="2" applyNumberFormat="1" applyFont="1" applyBorder="1" applyAlignment="1">
      <alignment vertical="center"/>
    </xf>
    <xf numFmtId="3" fontId="19" fillId="3" borderId="9" xfId="2" applyNumberFormat="1" applyFont="1" applyFill="1" applyBorder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62" fillId="0" borderId="0" xfId="2" applyFont="1"/>
    <xf numFmtId="0" fontId="36" fillId="0" borderId="0" xfId="2" applyFont="1" applyAlignment="1">
      <alignment vertical="center"/>
    </xf>
    <xf numFmtId="3" fontId="38" fillId="3" borderId="0" xfId="2" applyNumberFormat="1" applyFont="1" applyFill="1" applyAlignment="1">
      <alignment horizontal="center"/>
    </xf>
    <xf numFmtId="3" fontId="38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38" fillId="3" borderId="0" xfId="2" applyFont="1" applyFill="1"/>
    <xf numFmtId="3" fontId="38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38" fillId="3" borderId="0" xfId="2" applyFont="1" applyFill="1" applyAlignment="1">
      <alignment horizontal="center"/>
    </xf>
    <xf numFmtId="3" fontId="38" fillId="3" borderId="0" xfId="2" applyNumberFormat="1" applyFont="1" applyFill="1"/>
    <xf numFmtId="3" fontId="62" fillId="0" borderId="0" xfId="2" applyNumberFormat="1" applyFont="1"/>
    <xf numFmtId="0" fontId="63" fillId="0" borderId="0" xfId="2" applyFont="1" applyAlignment="1">
      <alignment horizontal="justify"/>
    </xf>
    <xf numFmtId="3" fontId="38" fillId="0" borderId="0" xfId="2" applyNumberFormat="1" applyFont="1" applyAlignment="1">
      <alignment horizontal="right"/>
    </xf>
    <xf numFmtId="0" fontId="63" fillId="0" borderId="0" xfId="2" applyFont="1" applyAlignment="1">
      <alignment horizontal="left"/>
    </xf>
    <xf numFmtId="0" fontId="39" fillId="0" borderId="0" xfId="2" applyFont="1" applyAlignment="1">
      <alignment vertical="center" wrapText="1"/>
    </xf>
    <xf numFmtId="3" fontId="12" fillId="4" borderId="35" xfId="2" applyNumberFormat="1" applyFont="1" applyFill="1" applyBorder="1" applyAlignment="1">
      <alignment horizontal="right" vertical="center" indent="5"/>
    </xf>
    <xf numFmtId="3" fontId="19" fillId="4" borderId="9" xfId="2" applyNumberFormat="1" applyFont="1" applyFill="1" applyBorder="1" applyAlignment="1">
      <alignment horizontal="right" vertical="center"/>
    </xf>
    <xf numFmtId="3" fontId="10" fillId="4" borderId="9" xfId="2" applyNumberFormat="1" applyFont="1" applyFill="1" applyBorder="1" applyAlignment="1">
      <alignment horizontal="right" indent="2"/>
    </xf>
    <xf numFmtId="0" fontId="36" fillId="0" borderId="9" xfId="2" applyFont="1" applyBorder="1"/>
    <xf numFmtId="3" fontId="36" fillId="0" borderId="9" xfId="2" applyNumberFormat="1" applyFont="1" applyBorder="1"/>
    <xf numFmtId="3" fontId="19" fillId="3" borderId="13" xfId="2" applyNumberFormat="1" applyFont="1" applyFill="1" applyBorder="1" applyAlignment="1">
      <alignment horizontal="right" vertical="center" indent="1"/>
    </xf>
    <xf numFmtId="3" fontId="19" fillId="3" borderId="13" xfId="2" applyNumberFormat="1" applyFont="1" applyFill="1" applyBorder="1" applyAlignment="1">
      <alignment horizontal="right" vertical="center" indent="2"/>
    </xf>
    <xf numFmtId="3" fontId="10" fillId="3" borderId="13" xfId="2" applyNumberFormat="1" applyFont="1" applyFill="1" applyBorder="1" applyAlignment="1">
      <alignment horizontal="center" vertical="center"/>
    </xf>
    <xf numFmtId="3" fontId="10" fillId="2" borderId="13" xfId="2" applyNumberFormat="1" applyFont="1" applyFill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/>
    </xf>
    <xf numFmtId="0" fontId="67" fillId="0" borderId="0" xfId="2" applyFont="1" applyAlignment="1">
      <alignment vertical="center"/>
    </xf>
    <xf numFmtId="0" fontId="20" fillId="4" borderId="0" xfId="2" applyFont="1" applyFill="1" applyAlignment="1">
      <alignment horizontal="right" vertical="center"/>
    </xf>
    <xf numFmtId="0" fontId="50" fillId="0" borderId="0" xfId="2" applyFont="1" applyAlignment="1">
      <alignment horizontal="right"/>
    </xf>
    <xf numFmtId="3" fontId="6" fillId="4" borderId="30" xfId="2" applyNumberFormat="1" applyFont="1" applyFill="1" applyBorder="1" applyAlignment="1">
      <alignment horizontal="right" indent="1"/>
    </xf>
    <xf numFmtId="3" fontId="19" fillId="4" borderId="13" xfId="2" applyNumberFormat="1" applyFont="1" applyFill="1" applyBorder="1" applyAlignment="1">
      <alignment horizontal="right" vertical="center" indent="1"/>
    </xf>
    <xf numFmtId="3" fontId="10" fillId="2" borderId="13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38" fillId="0" borderId="9" xfId="2" applyFont="1" applyBorder="1" applyAlignment="1">
      <alignment vertical="center"/>
    </xf>
    <xf numFmtId="0" fontId="37" fillId="0" borderId="0" xfId="0" applyFont="1"/>
    <xf numFmtId="3" fontId="12" fillId="0" borderId="13" xfId="2" applyNumberFormat="1" applyFont="1" applyBorder="1" applyAlignment="1">
      <alignment horizontal="center" vertical="center" wrapText="1"/>
    </xf>
    <xf numFmtId="3" fontId="12" fillId="0" borderId="22" xfId="2" applyNumberFormat="1" applyFont="1" applyBorder="1" applyAlignment="1">
      <alignment horizontal="center" vertical="center" wrapText="1"/>
    </xf>
    <xf numFmtId="49" fontId="14" fillId="0" borderId="51" xfId="2" applyNumberFormat="1" applyFont="1" applyBorder="1" applyAlignment="1">
      <alignment vertical="center"/>
    </xf>
    <xf numFmtId="49" fontId="14" fillId="0" borderId="22" xfId="2" applyNumberFormat="1" applyFont="1" applyBorder="1" applyAlignment="1">
      <alignment horizontal="left" vertical="center"/>
    </xf>
    <xf numFmtId="0" fontId="14" fillId="0" borderId="25" xfId="2" applyFont="1" applyBorder="1" applyAlignment="1">
      <alignment vertical="center"/>
    </xf>
    <xf numFmtId="49" fontId="14" fillId="0" borderId="22" xfId="2" applyNumberFormat="1" applyFont="1" applyBorder="1" applyAlignment="1">
      <alignment horizontal="left" vertical="center" wrapText="1"/>
    </xf>
    <xf numFmtId="3" fontId="67" fillId="0" borderId="0" xfId="2" applyNumberFormat="1" applyFont="1" applyAlignment="1">
      <alignment vertical="center"/>
    </xf>
    <xf numFmtId="3" fontId="10" fillId="5" borderId="13" xfId="2" applyNumberFormat="1" applyFont="1" applyFill="1" applyBorder="1" applyAlignment="1">
      <alignment horizontal="right" vertical="center" indent="1"/>
    </xf>
    <xf numFmtId="3" fontId="11" fillId="0" borderId="13" xfId="2" applyNumberFormat="1" applyFont="1" applyBorder="1" applyAlignment="1">
      <alignment vertical="center" wrapText="1"/>
    </xf>
    <xf numFmtId="3" fontId="12" fillId="0" borderId="13" xfId="2" applyNumberFormat="1" applyFont="1" applyBorder="1" applyAlignment="1">
      <alignment vertical="center" wrapText="1"/>
    </xf>
    <xf numFmtId="3" fontId="12" fillId="0" borderId="13" xfId="2" applyNumberFormat="1" applyFont="1" applyBorder="1" applyAlignment="1">
      <alignment vertical="center"/>
    </xf>
    <xf numFmtId="3" fontId="11" fillId="0" borderId="13" xfId="2" applyNumberFormat="1" applyFont="1" applyBorder="1" applyAlignment="1">
      <alignment vertical="center"/>
    </xf>
    <xf numFmtId="3" fontId="12" fillId="0" borderId="22" xfId="2" applyNumberFormat="1" applyFont="1" applyBorder="1" applyAlignment="1">
      <alignment vertical="center"/>
    </xf>
    <xf numFmtId="3" fontId="19" fillId="0" borderId="21" xfId="2" applyNumberFormat="1" applyFont="1" applyBorder="1" applyAlignment="1">
      <alignment horizontal="right" indent="1"/>
    </xf>
    <xf numFmtId="0" fontId="20" fillId="0" borderId="13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 wrapText="1"/>
    </xf>
    <xf numFmtId="3" fontId="50" fillId="0" borderId="0" xfId="2" applyNumberFormat="1" applyFont="1"/>
    <xf numFmtId="0" fontId="20" fillId="0" borderId="18" xfId="2" applyFont="1" applyBorder="1" applyAlignment="1">
      <alignment horizontal="left" vertical="center" wrapText="1"/>
    </xf>
    <xf numFmtId="3" fontId="21" fillId="0" borderId="21" xfId="2" applyNumberFormat="1" applyFont="1" applyBorder="1" applyAlignment="1">
      <alignment vertical="center"/>
    </xf>
    <xf numFmtId="0" fontId="19" fillId="0" borderId="13" xfId="2" applyFont="1" applyBorder="1" applyAlignment="1">
      <alignment horizontal="center"/>
    </xf>
    <xf numFmtId="3" fontId="21" fillId="0" borderId="42" xfId="2" applyNumberFormat="1" applyFont="1" applyBorder="1" applyAlignment="1">
      <alignment vertical="center"/>
    </xf>
    <xf numFmtId="0" fontId="19" fillId="0" borderId="21" xfId="2" applyFont="1" applyBorder="1"/>
    <xf numFmtId="0" fontId="21" fillId="0" borderId="13" xfId="2" applyFont="1" applyBorder="1" applyAlignment="1">
      <alignment vertical="center"/>
    </xf>
    <xf numFmtId="0" fontId="10" fillId="0" borderId="9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3" fontId="16" fillId="0" borderId="0" xfId="3" applyNumberFormat="1" applyFont="1"/>
    <xf numFmtId="0" fontId="28" fillId="0" borderId="49" xfId="0" applyFont="1" applyBorder="1" applyAlignment="1">
      <alignment horizontal="center" vertical="center"/>
    </xf>
    <xf numFmtId="3" fontId="16" fillId="0" borderId="13" xfId="2" applyNumberFormat="1" applyFont="1" applyBorder="1" applyAlignment="1">
      <alignment vertical="center"/>
    </xf>
    <xf numFmtId="3" fontId="20" fillId="0" borderId="13" xfId="2" applyNumberFormat="1" applyFont="1" applyBorder="1" applyAlignment="1">
      <alignment horizontal="center" vertical="center"/>
    </xf>
    <xf numFmtId="3" fontId="20" fillId="0" borderId="13" xfId="2" applyNumberFormat="1" applyFont="1" applyBorder="1" applyAlignment="1">
      <alignment vertical="center" wrapText="1"/>
    </xf>
    <xf numFmtId="3" fontId="12" fillId="0" borderId="13" xfId="2" applyNumberFormat="1" applyFont="1" applyBorder="1" applyAlignment="1">
      <alignment horizontal="left" vertical="center"/>
    </xf>
    <xf numFmtId="3" fontId="9" fillId="0" borderId="0" xfId="2" applyNumberFormat="1" applyFont="1"/>
    <xf numFmtId="3" fontId="57" fillId="0" borderId="22" xfId="2" applyNumberFormat="1" applyFont="1" applyBorder="1" applyAlignment="1">
      <alignment vertical="center"/>
    </xf>
    <xf numFmtId="3" fontId="12" fillId="0" borderId="13" xfId="2" applyNumberFormat="1" applyFont="1" applyBorder="1"/>
    <xf numFmtId="3" fontId="57" fillId="0" borderId="13" xfId="2" applyNumberFormat="1" applyFont="1" applyBorder="1"/>
    <xf numFmtId="3" fontId="16" fillId="0" borderId="13" xfId="2" applyNumberFormat="1" applyFont="1" applyBorder="1"/>
    <xf numFmtId="3" fontId="11" fillId="0" borderId="13" xfId="2" applyNumberFormat="1" applyFont="1" applyBorder="1" applyAlignment="1">
      <alignment wrapText="1"/>
    </xf>
    <xf numFmtId="3" fontId="16" fillId="0" borderId="13" xfId="2" applyNumberFormat="1" applyFont="1" applyBorder="1" applyAlignment="1">
      <alignment horizontal="right" vertical="center"/>
    </xf>
    <xf numFmtId="0" fontId="18" fillId="0" borderId="13" xfId="2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left" vertical="center" indent="2"/>
    </xf>
    <xf numFmtId="0" fontId="19" fillId="0" borderId="13" xfId="2" applyFont="1" applyBorder="1" applyAlignment="1">
      <alignment vertical="center" wrapText="1"/>
    </xf>
    <xf numFmtId="3" fontId="16" fillId="0" borderId="22" xfId="2" applyNumberFormat="1" applyFont="1" applyBorder="1" applyAlignment="1">
      <alignment horizontal="center" vertical="center" wrapText="1"/>
    </xf>
    <xf numFmtId="0" fontId="19" fillId="0" borderId="13" xfId="2" applyFont="1" applyBorder="1" applyAlignment="1">
      <alignment horizontal="left" vertical="center" wrapText="1"/>
    </xf>
    <xf numFmtId="0" fontId="20" fillId="0" borderId="7" xfId="2" applyFont="1" applyBorder="1" applyAlignment="1">
      <alignment horizontal="left" vertical="center"/>
    </xf>
    <xf numFmtId="3" fontId="12" fillId="4" borderId="26" xfId="2" applyNumberFormat="1" applyFont="1" applyFill="1" applyBorder="1" applyAlignment="1">
      <alignment horizontal="right" vertical="center" indent="5"/>
    </xf>
    <xf numFmtId="0" fontId="68" fillId="0" borderId="9" xfId="2" applyFont="1" applyBorder="1" applyAlignment="1">
      <alignment horizontal="center" vertical="center" wrapText="1"/>
    </xf>
    <xf numFmtId="3" fontId="10" fillId="0" borderId="13" xfId="2" applyNumberFormat="1" applyFont="1" applyBorder="1" applyAlignment="1">
      <alignment horizontal="right" vertical="center" indent="1"/>
    </xf>
    <xf numFmtId="3" fontId="15" fillId="0" borderId="39" xfId="2" applyNumberFormat="1" applyFont="1" applyBorder="1" applyAlignment="1">
      <alignment horizontal="center" vertical="center"/>
    </xf>
    <xf numFmtId="0" fontId="69" fillId="0" borderId="0" xfId="2" applyFont="1"/>
    <xf numFmtId="0" fontId="19" fillId="0" borderId="25" xfId="2" applyFont="1" applyBorder="1" applyAlignment="1">
      <alignment vertical="center"/>
    </xf>
    <xf numFmtId="49" fontId="19" fillId="0" borderId="13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45" xfId="2" applyNumberFormat="1" applyFont="1" applyFill="1" applyBorder="1" applyAlignment="1">
      <alignment horizontal="right" vertical="center" indent="5"/>
    </xf>
    <xf numFmtId="3" fontId="11" fillId="2" borderId="26" xfId="2" applyNumberFormat="1" applyFont="1" applyFill="1" applyBorder="1" applyAlignment="1">
      <alignment horizontal="right" vertical="center" indent="5"/>
    </xf>
    <xf numFmtId="3" fontId="12" fillId="0" borderId="9" xfId="2" applyNumberFormat="1" applyFont="1" applyBorder="1" applyAlignment="1">
      <alignment horizontal="right" vertical="center" indent="5"/>
    </xf>
    <xf numFmtId="3" fontId="16" fillId="0" borderId="0" xfId="2" applyNumberFormat="1" applyFont="1" applyAlignment="1">
      <alignment horizontal="right"/>
    </xf>
    <xf numFmtId="0" fontId="20" fillId="0" borderId="52" xfId="2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right" vertical="center" indent="5"/>
    </xf>
    <xf numFmtId="3" fontId="3" fillId="0" borderId="0" xfId="2" applyNumberFormat="1" applyFont="1"/>
    <xf numFmtId="0" fontId="20" fillId="4" borderId="42" xfId="2" applyFont="1" applyFill="1" applyBorder="1" applyAlignment="1">
      <alignment horizontal="left" vertical="center"/>
    </xf>
    <xf numFmtId="164" fontId="60" fillId="0" borderId="44" xfId="1" applyNumberFormat="1" applyFont="1" applyBorder="1"/>
    <xf numFmtId="0" fontId="61" fillId="0" borderId="9" xfId="0" applyFont="1" applyBorder="1" applyAlignment="1">
      <alignment horizontal="center" vertical="center"/>
    </xf>
    <xf numFmtId="164" fontId="60" fillId="0" borderId="21" xfId="1" applyNumberFormat="1" applyFont="1" applyBorder="1"/>
    <xf numFmtId="164" fontId="60" fillId="0" borderId="20" xfId="1" applyNumberFormat="1" applyFont="1" applyBorder="1" applyAlignment="1">
      <alignment horizontal="left"/>
    </xf>
    <xf numFmtId="3" fontId="0" fillId="0" borderId="0" xfId="0" applyNumberFormat="1"/>
    <xf numFmtId="3" fontId="19" fillId="0" borderId="0" xfId="3" applyNumberFormat="1" applyFont="1" applyAlignment="1">
      <alignment vertical="center"/>
    </xf>
    <xf numFmtId="3" fontId="65" fillId="0" borderId="13" xfId="2" applyNumberFormat="1" applyFont="1" applyBorder="1" applyAlignment="1">
      <alignment horizontal="right" vertical="center" indent="1"/>
    </xf>
    <xf numFmtId="3" fontId="65" fillId="0" borderId="13" xfId="2" applyNumberFormat="1" applyFont="1" applyBorder="1" applyAlignment="1">
      <alignment horizontal="right" vertical="center" indent="2"/>
    </xf>
    <xf numFmtId="3" fontId="65" fillId="3" borderId="13" xfId="2" applyNumberFormat="1" applyFont="1" applyFill="1" applyBorder="1" applyAlignment="1">
      <alignment horizontal="right" vertical="center" indent="1"/>
    </xf>
    <xf numFmtId="0" fontId="19" fillId="3" borderId="25" xfId="2" applyFont="1" applyFill="1" applyBorder="1" applyAlignment="1">
      <alignment horizontal="left" vertical="center" wrapText="1"/>
    </xf>
    <xf numFmtId="3" fontId="65" fillId="4" borderId="13" xfId="2" applyNumberFormat="1" applyFont="1" applyFill="1" applyBorder="1" applyAlignment="1">
      <alignment horizontal="right" vertical="center" indent="1"/>
    </xf>
    <xf numFmtId="164" fontId="1" fillId="0" borderId="0" xfId="1" applyNumberFormat="1" applyFont="1" applyAlignment="1">
      <alignment vertical="center"/>
    </xf>
    <xf numFmtId="3" fontId="12" fillId="0" borderId="33" xfId="2" applyNumberFormat="1" applyFont="1" applyFill="1" applyBorder="1" applyAlignment="1">
      <alignment horizontal="right" vertical="center" wrapText="1" indent="5"/>
    </xf>
    <xf numFmtId="3" fontId="12" fillId="0" borderId="33" xfId="2" applyNumberFormat="1" applyFont="1" applyFill="1" applyBorder="1" applyAlignment="1">
      <alignment horizontal="right" vertical="center" indent="5"/>
    </xf>
    <xf numFmtId="3" fontId="12" fillId="0" borderId="35" xfId="2" applyNumberFormat="1" applyFont="1" applyFill="1" applyBorder="1" applyAlignment="1">
      <alignment horizontal="right" vertical="center" indent="5"/>
    </xf>
    <xf numFmtId="3" fontId="12" fillId="0" borderId="26" xfId="2" applyNumberFormat="1" applyFont="1" applyFill="1" applyBorder="1" applyAlignment="1">
      <alignment horizontal="right" vertical="center" indent="5"/>
    </xf>
    <xf numFmtId="0" fontId="7" fillId="0" borderId="9" xfId="2" applyFont="1" applyBorder="1" applyAlignment="1">
      <alignment horizontal="center" vertical="center"/>
    </xf>
    <xf numFmtId="3" fontId="70" fillId="0" borderId="9" xfId="2" applyNumberFormat="1" applyFont="1" applyBorder="1" applyAlignment="1">
      <alignment horizontal="right" vertical="center" indent="2"/>
    </xf>
    <xf numFmtId="0" fontId="2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3" fontId="20" fillId="0" borderId="47" xfId="2" applyNumberFormat="1" applyFont="1" applyBorder="1" applyAlignment="1">
      <alignment horizontal="right"/>
    </xf>
    <xf numFmtId="0" fontId="29" fillId="0" borderId="0" xfId="2" applyFont="1" applyAlignment="1">
      <alignment horizontal="center" vertical="center"/>
    </xf>
    <xf numFmtId="3" fontId="19" fillId="0" borderId="47" xfId="2" applyNumberFormat="1" applyFont="1" applyBorder="1" applyAlignment="1">
      <alignment horizontal="right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center" vertical="center" wrapText="1"/>
    </xf>
    <xf numFmtId="3" fontId="16" fillId="0" borderId="22" xfId="2" applyNumberFormat="1" applyFont="1" applyBorder="1" applyAlignment="1">
      <alignment horizontal="center" vertical="center" wrapText="1"/>
    </xf>
    <xf numFmtId="3" fontId="16" fillId="0" borderId="25" xfId="2" applyNumberFormat="1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3" fontId="56" fillId="0" borderId="22" xfId="2" applyNumberFormat="1" applyFont="1" applyBorder="1" applyAlignment="1">
      <alignment horizontal="center" vertical="center" wrapText="1"/>
    </xf>
    <xf numFmtId="3" fontId="56" fillId="0" borderId="25" xfId="2" applyNumberFormat="1" applyFont="1" applyBorder="1" applyAlignment="1">
      <alignment horizontal="center" vertical="center" wrapText="1"/>
    </xf>
    <xf numFmtId="3" fontId="11" fillId="0" borderId="22" xfId="2" applyNumberFormat="1" applyFont="1" applyBorder="1" applyAlignment="1">
      <alignment horizontal="center" vertical="center" wrapText="1"/>
    </xf>
    <xf numFmtId="3" fontId="11" fillId="0" borderId="25" xfId="2" applyNumberFormat="1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3" fontId="11" fillId="0" borderId="0" xfId="2" applyNumberFormat="1" applyFont="1" applyAlignment="1">
      <alignment horizontal="center" vertical="center" wrapText="1"/>
    </xf>
    <xf numFmtId="3" fontId="11" fillId="0" borderId="13" xfId="2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left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3" fontId="17" fillId="0" borderId="12" xfId="2" applyNumberFormat="1" applyFont="1" applyBorder="1" applyAlignment="1">
      <alignment horizontal="center" vertical="center" wrapText="1"/>
    </xf>
    <xf numFmtId="3" fontId="17" fillId="0" borderId="24" xfId="2" applyNumberFormat="1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18" fillId="3" borderId="12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24" xfId="2" applyFont="1" applyFill="1" applyBorder="1" applyAlignment="1">
      <alignment horizontal="center" vertical="center"/>
    </xf>
    <xf numFmtId="49" fontId="10" fillId="2" borderId="22" xfId="2" applyNumberFormat="1" applyFont="1" applyFill="1" applyBorder="1" applyAlignment="1">
      <alignment horizontal="center" vertical="center" wrapText="1"/>
    </xf>
    <xf numFmtId="49" fontId="10" fillId="2" borderId="25" xfId="2" applyNumberFormat="1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left" vertical="center"/>
    </xf>
    <xf numFmtId="3" fontId="16" fillId="2" borderId="12" xfId="2" applyNumberFormat="1" applyFont="1" applyFill="1" applyBorder="1" applyAlignment="1">
      <alignment horizontal="center" vertical="center" wrapText="1"/>
    </xf>
    <xf numFmtId="3" fontId="16" fillId="2" borderId="24" xfId="2" applyNumberFormat="1" applyFont="1" applyFill="1" applyBorder="1" applyAlignment="1">
      <alignment horizontal="center" vertical="center" wrapText="1"/>
    </xf>
    <xf numFmtId="0" fontId="58" fillId="0" borderId="0" xfId="2" applyFont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 textRotation="90"/>
    </xf>
    <xf numFmtId="0" fontId="17" fillId="0" borderId="24" xfId="2" applyFont="1" applyBorder="1" applyAlignment="1">
      <alignment horizontal="center" vertical="center" textRotation="90"/>
    </xf>
    <xf numFmtId="0" fontId="17" fillId="0" borderId="40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3" fontId="15" fillId="0" borderId="49" xfId="2" applyNumberFormat="1" applyFont="1" applyBorder="1" applyAlignment="1">
      <alignment horizontal="center" vertical="center"/>
    </xf>
    <xf numFmtId="3" fontId="15" fillId="0" borderId="39" xfId="2" applyNumberFormat="1" applyFont="1" applyBorder="1" applyAlignment="1">
      <alignment horizontal="center" vertical="center"/>
    </xf>
    <xf numFmtId="3" fontId="16" fillId="2" borderId="49" xfId="2" applyNumberFormat="1" applyFont="1" applyFill="1" applyBorder="1" applyAlignment="1">
      <alignment horizontal="center" vertical="center" wrapText="1"/>
    </xf>
    <xf numFmtId="3" fontId="16" fillId="2" borderId="50" xfId="2" applyNumberFormat="1" applyFont="1" applyFill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0" borderId="10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1" fillId="0" borderId="21" xfId="2" applyFont="1" applyBorder="1" applyAlignment="1">
      <alignment horizontal="center" vertical="center" wrapText="1"/>
    </xf>
    <xf numFmtId="0" fontId="36" fillId="0" borderId="0" xfId="2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10" fillId="0" borderId="13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1" fillId="3" borderId="0" xfId="2" applyFont="1" applyFill="1" applyAlignment="1">
      <alignment horizontal="center"/>
    </xf>
    <xf numFmtId="0" fontId="39" fillId="0" borderId="0" xfId="2" applyFont="1" applyAlignment="1">
      <alignment horizontal="center" vertical="center" wrapText="1"/>
    </xf>
    <xf numFmtId="0" fontId="55" fillId="0" borderId="0" xfId="0" applyFont="1" applyAlignment="1">
      <alignment horizontal="center" wrapText="1"/>
    </xf>
    <xf numFmtId="0" fontId="61" fillId="0" borderId="49" xfId="0" applyFont="1" applyBorder="1" applyAlignment="1">
      <alignment horizontal="center" vertical="center"/>
    </xf>
    <xf numFmtId="0" fontId="61" fillId="0" borderId="40" xfId="0" applyFont="1" applyBorder="1" applyAlignment="1">
      <alignment horizontal="center" vertical="center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123"/>
  <sheetViews>
    <sheetView zoomScale="130" zoomScaleNormal="130" workbookViewId="0">
      <selection activeCell="A2" sqref="A2:D2"/>
    </sheetView>
  </sheetViews>
  <sheetFormatPr defaultColWidth="8.85546875" defaultRowHeight="15"/>
  <cols>
    <col min="1" max="1" width="9" style="72" customWidth="1"/>
    <col min="2" max="2" width="67" style="131" customWidth="1"/>
    <col min="3" max="3" width="22" style="131" customWidth="1"/>
    <col min="4" max="4" width="24.7109375" style="131" customWidth="1"/>
    <col min="5" max="5" width="11.140625" style="29" bestFit="1" customWidth="1"/>
    <col min="6" max="6" width="10.140625" style="29" bestFit="1" customWidth="1"/>
    <col min="7" max="16384" width="8.85546875" style="29"/>
  </cols>
  <sheetData>
    <row r="1" spans="1:9" ht="23.25" customHeight="1">
      <c r="A1" s="415" t="s">
        <v>536</v>
      </c>
      <c r="B1" s="415"/>
      <c r="C1" s="415"/>
      <c r="D1" s="415"/>
      <c r="E1" s="170"/>
      <c r="F1" s="170"/>
      <c r="G1" s="170"/>
      <c r="H1" s="130"/>
    </row>
    <row r="2" spans="1:9" ht="42" customHeight="1">
      <c r="A2" s="413" t="s">
        <v>290</v>
      </c>
      <c r="B2" s="413"/>
      <c r="C2" s="413"/>
      <c r="D2" s="413"/>
      <c r="E2" s="132"/>
      <c r="F2" s="132"/>
      <c r="G2" s="132"/>
      <c r="H2" s="155"/>
      <c r="I2" s="132"/>
    </row>
    <row r="3" spans="1:9" ht="16.5" thickBot="1">
      <c r="B3" s="416" t="s">
        <v>253</v>
      </c>
      <c r="C3" s="416"/>
      <c r="D3" s="29"/>
      <c r="E3" s="156"/>
    </row>
    <row r="4" spans="1:9" ht="33" customHeight="1">
      <c r="B4" s="220" t="s">
        <v>135</v>
      </c>
      <c r="C4" s="134" t="s">
        <v>288</v>
      </c>
      <c r="D4" s="134" t="s">
        <v>361</v>
      </c>
      <c r="E4" s="136"/>
    </row>
    <row r="5" spans="1:9">
      <c r="B5" s="153" t="s">
        <v>376</v>
      </c>
      <c r="C5" s="242">
        <v>70715200</v>
      </c>
      <c r="D5" s="406">
        <v>70715200</v>
      </c>
      <c r="E5" s="38"/>
    </row>
    <row r="6" spans="1:9">
      <c r="B6" s="158" t="s">
        <v>378</v>
      </c>
      <c r="C6" s="236">
        <v>9024810</v>
      </c>
      <c r="D6" s="407">
        <v>9024810</v>
      </c>
      <c r="E6" s="38"/>
    </row>
    <row r="7" spans="1:9">
      <c r="B7" s="158" t="s">
        <v>379</v>
      </c>
      <c r="C7" s="236">
        <v>6400000</v>
      </c>
      <c r="D7" s="407">
        <v>6400000</v>
      </c>
      <c r="E7" s="38"/>
    </row>
    <row r="8" spans="1:9">
      <c r="B8" s="158" t="s">
        <v>380</v>
      </c>
      <c r="C8" s="236">
        <v>522123</v>
      </c>
      <c r="D8" s="407">
        <v>522123</v>
      </c>
    </row>
    <row r="9" spans="1:9">
      <c r="B9" s="158" t="s">
        <v>381</v>
      </c>
      <c r="C9" s="236">
        <v>4183610</v>
      </c>
      <c r="D9" s="407">
        <v>4183610</v>
      </c>
    </row>
    <row r="10" spans="1:9">
      <c r="B10" s="158" t="s">
        <v>382</v>
      </c>
      <c r="C10" s="236">
        <v>6725700</v>
      </c>
      <c r="D10" s="407">
        <v>6725700</v>
      </c>
    </row>
    <row r="11" spans="1:9">
      <c r="B11" s="158" t="s">
        <v>383</v>
      </c>
      <c r="C11" s="236">
        <v>19531119</v>
      </c>
      <c r="D11" s="407">
        <v>19531119</v>
      </c>
    </row>
    <row r="12" spans="1:9">
      <c r="B12" s="158" t="s">
        <v>384</v>
      </c>
      <c r="C12" s="236">
        <v>1041000</v>
      </c>
      <c r="D12" s="407">
        <v>1041000</v>
      </c>
    </row>
    <row r="13" spans="1:9">
      <c r="B13" s="158" t="s">
        <v>534</v>
      </c>
      <c r="C13" s="236">
        <v>0</v>
      </c>
      <c r="D13" s="407">
        <v>105164</v>
      </c>
    </row>
    <row r="14" spans="1:9">
      <c r="B14" s="158" t="s">
        <v>377</v>
      </c>
      <c r="C14" s="236">
        <v>61640652</v>
      </c>
      <c r="D14" s="407">
        <v>61640652</v>
      </c>
    </row>
    <row r="15" spans="1:9">
      <c r="B15" s="158" t="s">
        <v>386</v>
      </c>
      <c r="C15" s="236">
        <v>21935000</v>
      </c>
      <c r="D15" s="407">
        <v>21935000</v>
      </c>
      <c r="I15" s="29">
        <v>735603</v>
      </c>
    </row>
    <row r="16" spans="1:9">
      <c r="B16" s="158" t="s">
        <v>387</v>
      </c>
      <c r="C16" s="236">
        <v>15824400</v>
      </c>
      <c r="D16" s="407">
        <v>15824400</v>
      </c>
    </row>
    <row r="17" spans="2:6">
      <c r="B17" s="158" t="s">
        <v>388</v>
      </c>
      <c r="C17" s="236">
        <v>20178000</v>
      </c>
      <c r="D17" s="407">
        <f>23293500+3181571</f>
        <v>26475071</v>
      </c>
    </row>
    <row r="18" spans="2:6">
      <c r="B18" s="158" t="s">
        <v>389</v>
      </c>
      <c r="C18" s="236">
        <v>21700817</v>
      </c>
      <c r="D18" s="407">
        <v>23362250</v>
      </c>
    </row>
    <row r="19" spans="2:6">
      <c r="B19" s="158" t="s">
        <v>390</v>
      </c>
      <c r="C19" s="236">
        <v>787740</v>
      </c>
      <c r="D19" s="407">
        <v>1318980</v>
      </c>
    </row>
    <row r="20" spans="2:6">
      <c r="B20" s="158" t="s">
        <v>391</v>
      </c>
      <c r="C20" s="236">
        <v>3014110</v>
      </c>
      <c r="D20" s="407">
        <v>4194717</v>
      </c>
    </row>
    <row r="21" spans="2:6">
      <c r="B21" s="158" t="s">
        <v>385</v>
      </c>
      <c r="C21" s="236">
        <v>84150</v>
      </c>
      <c r="D21" s="407">
        <v>84150</v>
      </c>
    </row>
    <row r="22" spans="2:6" ht="15.75" thickBot="1">
      <c r="B22" s="172" t="s">
        <v>449</v>
      </c>
      <c r="C22" s="314">
        <v>4742652</v>
      </c>
      <c r="D22" s="408">
        <v>11100120</v>
      </c>
    </row>
    <row r="23" spans="2:6" ht="15.75" thickBot="1">
      <c r="B23" s="377" t="s">
        <v>455</v>
      </c>
      <c r="C23" s="378">
        <v>0</v>
      </c>
      <c r="D23" s="409">
        <v>974600</v>
      </c>
    </row>
    <row r="24" spans="2:6" ht="19.899999999999999" customHeight="1" thickBot="1">
      <c r="B24" s="221" t="s">
        <v>136</v>
      </c>
      <c r="C24" s="229">
        <f>SUM(C5:C23)</f>
        <v>268051083</v>
      </c>
      <c r="D24" s="229">
        <f>SUM(D5:D23)</f>
        <v>285158666</v>
      </c>
      <c r="E24" s="109">
        <f>+'4a.sz.mell.'!G35</f>
        <v>285158666</v>
      </c>
      <c r="F24" s="109">
        <f>+E24-D24</f>
        <v>0</v>
      </c>
    </row>
    <row r="25" spans="2:6">
      <c r="B25" s="137" t="s">
        <v>493</v>
      </c>
      <c r="C25" s="230">
        <v>13848000</v>
      </c>
      <c r="D25" s="230">
        <f>+'4a.sz.mell.'!G24</f>
        <v>13848000</v>
      </c>
    </row>
    <row r="26" spans="2:6">
      <c r="B26" s="158" t="s">
        <v>494</v>
      </c>
      <c r="C26" s="228">
        <v>0</v>
      </c>
      <c r="D26" s="228">
        <f>+'4a.sz.mell.'!G12+'4a.sz.mell.'!G11+'4a.sz.mell.'!G10+'4a.sz.mell.'!G13</f>
        <v>60843664</v>
      </c>
    </row>
    <row r="27" spans="2:6">
      <c r="B27" s="158" t="s">
        <v>495</v>
      </c>
      <c r="C27" s="228">
        <v>6245115</v>
      </c>
      <c r="D27" s="228">
        <f>+'4a.sz.mell.'!G27</f>
        <v>6245115</v>
      </c>
    </row>
    <row r="28" spans="2:6">
      <c r="B28" s="158" t="s">
        <v>507</v>
      </c>
      <c r="C28" s="228">
        <v>954210</v>
      </c>
      <c r="D28" s="228">
        <f>+'4a.sz.mell.'!G40</f>
        <v>954210</v>
      </c>
    </row>
    <row r="29" spans="2:6">
      <c r="B29" s="157" t="s">
        <v>496</v>
      </c>
      <c r="C29" s="231">
        <v>114000</v>
      </c>
      <c r="D29" s="231">
        <f>+'4a.sz.mell.'!G28</f>
        <v>114000</v>
      </c>
    </row>
    <row r="30" spans="2:6">
      <c r="B30" s="157" t="s">
        <v>508</v>
      </c>
      <c r="C30" s="231">
        <v>2800000</v>
      </c>
      <c r="D30" s="231">
        <f>+'4a.sz.mell.'!G49</f>
        <v>2800000</v>
      </c>
    </row>
    <row r="31" spans="2:6">
      <c r="B31" s="157" t="s">
        <v>509</v>
      </c>
      <c r="C31" s="231">
        <v>618400</v>
      </c>
      <c r="D31" s="231">
        <f>+'4a.sz.mell.'!G9</f>
        <v>0</v>
      </c>
    </row>
    <row r="32" spans="2:6">
      <c r="B32" s="157" t="s">
        <v>497</v>
      </c>
      <c r="C32" s="231">
        <v>0</v>
      </c>
      <c r="D32" s="231">
        <f>+'4a.sz.mell.'!G20</f>
        <v>309453</v>
      </c>
    </row>
    <row r="33" spans="2:7" ht="15.75" thickBot="1">
      <c r="B33" s="157" t="s">
        <v>510</v>
      </c>
      <c r="C33" s="231">
        <v>0</v>
      </c>
      <c r="D33" s="231">
        <f>+'4a.sz.mell.'!G39</f>
        <v>1369483</v>
      </c>
    </row>
    <row r="34" spans="2:7" ht="19.899999999999999" customHeight="1" thickBot="1">
      <c r="B34" s="221" t="s">
        <v>392</v>
      </c>
      <c r="C34" s="229">
        <f>SUM(C25:C33)</f>
        <v>24579725</v>
      </c>
      <c r="D34" s="229">
        <f>SUM(D25:D33)</f>
        <v>86483925</v>
      </c>
      <c r="E34" s="109">
        <f>+'4a.sz.mell.'!G61-'4a.sz.mell.'!G35</f>
        <v>86483925</v>
      </c>
    </row>
    <row r="35" spans="2:7">
      <c r="B35" s="158" t="s">
        <v>393</v>
      </c>
      <c r="C35" s="228">
        <v>7700000</v>
      </c>
      <c r="D35" s="228">
        <v>7700000</v>
      </c>
      <c r="E35" s="42"/>
    </row>
    <row r="36" spans="2:7">
      <c r="B36" s="158" t="s">
        <v>394</v>
      </c>
      <c r="C36" s="228">
        <v>41500000</v>
      </c>
      <c r="D36" s="228">
        <v>41500000</v>
      </c>
      <c r="E36" s="38"/>
      <c r="G36" s="29">
        <v>285158666</v>
      </c>
    </row>
    <row r="37" spans="2:7">
      <c r="B37" s="158" t="s">
        <v>396</v>
      </c>
      <c r="C37" s="228">
        <v>1000000</v>
      </c>
      <c r="D37" s="228">
        <v>1000000</v>
      </c>
      <c r="E37" s="38"/>
    </row>
    <row r="38" spans="2:7">
      <c r="B38" s="158" t="s">
        <v>397</v>
      </c>
      <c r="C38" s="228">
        <v>1500000</v>
      </c>
      <c r="D38" s="228">
        <v>1500000</v>
      </c>
      <c r="E38" s="38"/>
    </row>
    <row r="39" spans="2:7">
      <c r="B39" s="158" t="s">
        <v>395</v>
      </c>
      <c r="C39" s="228">
        <v>6000000</v>
      </c>
      <c r="D39" s="228">
        <v>6000000</v>
      </c>
      <c r="E39" s="38"/>
    </row>
    <row r="40" spans="2:7" ht="15.75" thickBot="1">
      <c r="B40" s="157" t="s">
        <v>398</v>
      </c>
      <c r="C40" s="231">
        <v>1570000</v>
      </c>
      <c r="D40" s="231">
        <v>1570000</v>
      </c>
      <c r="E40" s="38"/>
    </row>
    <row r="41" spans="2:7" ht="19.899999999999999" customHeight="1" thickBot="1">
      <c r="B41" s="221" t="s">
        <v>137</v>
      </c>
      <c r="C41" s="229">
        <f>SUM(C35:C40)</f>
        <v>59270000</v>
      </c>
      <c r="D41" s="229">
        <f>SUM(D35:D40)</f>
        <v>59270000</v>
      </c>
      <c r="E41" s="144">
        <f>+'4a.sz.mell.'!O61</f>
        <v>59270000</v>
      </c>
    </row>
    <row r="42" spans="2:7">
      <c r="B42" s="158" t="s">
        <v>399</v>
      </c>
      <c r="C42" s="228">
        <v>1300000</v>
      </c>
      <c r="D42" s="228">
        <v>1300000</v>
      </c>
      <c r="E42" s="38"/>
    </row>
    <row r="43" spans="2:7">
      <c r="B43" s="158" t="s">
        <v>402</v>
      </c>
      <c r="C43" s="228">
        <v>310000</v>
      </c>
      <c r="D43" s="228">
        <v>3799683</v>
      </c>
      <c r="E43" s="38"/>
    </row>
    <row r="44" spans="2:7">
      <c r="B44" s="158" t="s">
        <v>404</v>
      </c>
      <c r="C44" s="228">
        <v>14000000</v>
      </c>
      <c r="D44" s="228">
        <v>14000000</v>
      </c>
      <c r="E44" s="38"/>
    </row>
    <row r="45" spans="2:7">
      <c r="B45" s="158" t="s">
        <v>408</v>
      </c>
      <c r="C45" s="228">
        <v>590000</v>
      </c>
      <c r="D45" s="228">
        <v>1644917</v>
      </c>
      <c r="E45" s="38"/>
    </row>
    <row r="46" spans="2:7">
      <c r="B46" s="137" t="s">
        <v>403</v>
      </c>
      <c r="C46" s="230">
        <v>14930000</v>
      </c>
      <c r="D46" s="230">
        <v>14930000</v>
      </c>
      <c r="E46" s="38"/>
    </row>
    <row r="47" spans="2:7">
      <c r="B47" s="137" t="s">
        <v>401</v>
      </c>
      <c r="C47" s="230">
        <v>5925000</v>
      </c>
      <c r="D47" s="230">
        <v>5075454</v>
      </c>
      <c r="E47" s="38"/>
    </row>
    <row r="48" spans="2:7">
      <c r="B48" s="158" t="s">
        <v>405</v>
      </c>
      <c r="C48" s="228">
        <v>8795000</v>
      </c>
      <c r="D48" s="228">
        <v>8803906</v>
      </c>
      <c r="E48" s="38"/>
    </row>
    <row r="49" spans="2:17">
      <c r="B49" s="158" t="s">
        <v>406</v>
      </c>
      <c r="C49" s="228">
        <v>1174000</v>
      </c>
      <c r="D49" s="228">
        <v>1308000</v>
      </c>
      <c r="E49" s="38"/>
    </row>
    <row r="50" spans="2:17">
      <c r="B50" s="158" t="s">
        <v>407</v>
      </c>
      <c r="C50" s="228">
        <v>7000</v>
      </c>
      <c r="D50" s="228">
        <v>7000</v>
      </c>
      <c r="E50" s="38"/>
    </row>
    <row r="51" spans="2:17" ht="18.75" customHeight="1">
      <c r="B51" s="158" t="s">
        <v>400</v>
      </c>
      <c r="C51" s="228">
        <v>4860000</v>
      </c>
      <c r="D51" s="228">
        <v>4931232</v>
      </c>
      <c r="E51" s="38"/>
    </row>
    <row r="52" spans="2:17" ht="18.75" customHeight="1" thickBot="1">
      <c r="B52" s="390" t="s">
        <v>506</v>
      </c>
      <c r="C52" s="391">
        <v>0</v>
      </c>
      <c r="D52" s="391">
        <v>524832</v>
      </c>
      <c r="E52" s="38"/>
    </row>
    <row r="53" spans="2:17" ht="19.899999999999999" customHeight="1" thickBot="1">
      <c r="B53" s="221" t="s">
        <v>138</v>
      </c>
      <c r="C53" s="229">
        <f>SUM(C42:C52)</f>
        <v>51891000</v>
      </c>
      <c r="D53" s="229">
        <f>SUM(D42:D52)</f>
        <v>56325024</v>
      </c>
      <c r="E53" s="135">
        <f>+'4a.sz.mell.'!E61</f>
        <v>56643024</v>
      </c>
    </row>
    <row r="54" spans="2:17" ht="19.899999999999999" customHeight="1" thickBot="1">
      <c r="B54" s="203" t="s">
        <v>410</v>
      </c>
      <c r="C54" s="232">
        <v>318000</v>
      </c>
      <c r="D54" s="232">
        <v>318000</v>
      </c>
      <c r="E54" s="42"/>
    </row>
    <row r="55" spans="2:17" ht="19.899999999999999" customHeight="1" thickBot="1">
      <c r="B55" s="222" t="s">
        <v>181</v>
      </c>
      <c r="C55" s="229">
        <f>SUM(C54)</f>
        <v>318000</v>
      </c>
      <c r="D55" s="229">
        <f>SUM(D54)</f>
        <v>318000</v>
      </c>
      <c r="E55" s="135">
        <f>+D53+D55</f>
        <v>56643024</v>
      </c>
    </row>
    <row r="56" spans="2:17" ht="19.899999999999999" customHeight="1" thickBot="1">
      <c r="B56" s="234" t="s">
        <v>504</v>
      </c>
      <c r="C56" s="235">
        <v>153625000</v>
      </c>
      <c r="D56" s="235">
        <f>153625000+1875000</f>
        <v>155500000</v>
      </c>
      <c r="E56" s="42"/>
    </row>
    <row r="57" spans="2:17" ht="19.899999999999999" customHeight="1">
      <c r="B57" s="204" t="s">
        <v>505</v>
      </c>
      <c r="C57" s="233">
        <v>19930411</v>
      </c>
      <c r="D57" s="233">
        <f>31946110-D58-10249733</f>
        <v>9680678</v>
      </c>
      <c r="E57" s="42"/>
    </row>
    <row r="58" spans="2:17" ht="19.899999999999999" customHeight="1">
      <c r="B58" s="234" t="s">
        <v>500</v>
      </c>
      <c r="C58" s="235">
        <v>12015699</v>
      </c>
      <c r="D58" s="235">
        <v>12015699</v>
      </c>
      <c r="E58" s="42"/>
    </row>
    <row r="59" spans="2:17" ht="19.899999999999999" customHeight="1">
      <c r="B59" s="234" t="s">
        <v>501</v>
      </c>
      <c r="C59" s="235">
        <v>92900100</v>
      </c>
      <c r="D59" s="235">
        <v>97906737</v>
      </c>
      <c r="E59" s="42"/>
    </row>
    <row r="60" spans="2:17" ht="19.899999999999999" customHeight="1">
      <c r="B60" s="234" t="s">
        <v>502</v>
      </c>
      <c r="C60" s="235">
        <v>812024</v>
      </c>
      <c r="D60" s="235">
        <v>812024</v>
      </c>
      <c r="E60" s="42"/>
    </row>
    <row r="61" spans="2:17" ht="19.899999999999999" customHeight="1">
      <c r="B61" s="205" t="s">
        <v>503</v>
      </c>
      <c r="C61" s="236">
        <v>0</v>
      </c>
      <c r="D61" s="236">
        <v>17311683</v>
      </c>
      <c r="E61" s="42"/>
    </row>
    <row r="62" spans="2:17" ht="19.899999999999999" customHeight="1">
      <c r="B62" s="205" t="s">
        <v>499</v>
      </c>
      <c r="C62" s="236">
        <v>0</v>
      </c>
      <c r="D62" s="236">
        <v>20000000</v>
      </c>
      <c r="E62" s="42"/>
    </row>
    <row r="63" spans="2:17" ht="15.75" thickBot="1">
      <c r="B63" s="205" t="s">
        <v>498</v>
      </c>
      <c r="C63" s="236">
        <v>0</v>
      </c>
      <c r="D63" s="236">
        <v>2734000</v>
      </c>
      <c r="E63" s="42"/>
    </row>
    <row r="64" spans="2:17" ht="19.899999999999999" customHeight="1">
      <c r="B64" s="385" t="s">
        <v>452</v>
      </c>
      <c r="C64" s="386">
        <f>SUM(C56:C63)</f>
        <v>279283234</v>
      </c>
      <c r="D64" s="386">
        <f>SUM(D56:D63)</f>
        <v>315960821</v>
      </c>
      <c r="E64" s="135">
        <f>+'4a.sz.mell.'!I61</f>
        <v>315960821</v>
      </c>
      <c r="F64" s="109">
        <f>+D64-E64</f>
        <v>0</v>
      </c>
      <c r="Q64" s="29">
        <f>+O62+M62+K62+I62+G62+E62</f>
        <v>0</v>
      </c>
    </row>
    <row r="65" spans="1:16">
      <c r="B65" s="205" t="s">
        <v>409</v>
      </c>
      <c r="C65" s="388">
        <v>165502713</v>
      </c>
      <c r="D65" s="236">
        <f>+'4a.sz.mell.'!K60+'4a.sz.mell.'!K50+'4a.sz.mell.'!K46+'4a.sz.mell.'!K43+'4a.sz.mell.'!K37</f>
        <v>165579828</v>
      </c>
      <c r="E65" s="135">
        <f>+'4a.sz.mell.'!K61</f>
        <v>165579828</v>
      </c>
    </row>
    <row r="66" spans="1:16" ht="19.899999999999999" customHeight="1" thickBot="1">
      <c r="B66" s="138" t="s">
        <v>139</v>
      </c>
      <c r="C66" s="387">
        <f>SUM(C65)</f>
        <v>165502713</v>
      </c>
      <c r="D66" s="387">
        <f>SUM(D65)</f>
        <v>165579828</v>
      </c>
      <c r="E66" s="38"/>
    </row>
    <row r="67" spans="1:16" ht="27" customHeight="1" thickBot="1">
      <c r="B67" s="138" t="s">
        <v>140</v>
      </c>
      <c r="C67" s="237">
        <f>SUM(C24,C34,C41,C53,C55,C64,C66)</f>
        <v>848895755</v>
      </c>
      <c r="D67" s="237">
        <f>SUM(D24,D34,D41,D53,D55,D64,D66)</f>
        <v>969096264</v>
      </c>
      <c r="E67" s="135">
        <f>+'4a.sz.mell.'!Q61-'4a.sz.mell.'!M61</f>
        <v>969096264</v>
      </c>
    </row>
    <row r="68" spans="1:16">
      <c r="B68" s="139"/>
      <c r="C68" s="135"/>
      <c r="D68" s="350">
        <f>+E67-D67</f>
        <v>0</v>
      </c>
      <c r="E68" s="38"/>
      <c r="P68" s="109">
        <f>+Q62-'4.sz.mell.'!Y61</f>
        <v>-1250790533</v>
      </c>
    </row>
    <row r="69" spans="1:16">
      <c r="B69" s="140"/>
      <c r="C69" s="135"/>
      <c r="D69" s="326" t="s">
        <v>348</v>
      </c>
      <c r="E69" s="141"/>
    </row>
    <row r="70" spans="1:16" ht="36.6" customHeight="1">
      <c r="B70" s="413" t="s">
        <v>289</v>
      </c>
      <c r="C70" s="413"/>
      <c r="E70" s="155"/>
      <c r="F70" s="155"/>
      <c r="G70" s="155"/>
      <c r="H70" s="155"/>
      <c r="I70" s="132"/>
    </row>
    <row r="71" spans="1:16" ht="12.75" customHeight="1">
      <c r="A71" s="133"/>
      <c r="B71" s="62"/>
      <c r="C71" s="62"/>
      <c r="E71" s="62"/>
    </row>
    <row r="72" spans="1:16" ht="21.75" customHeight="1" thickBot="1">
      <c r="B72" s="414" t="s">
        <v>253</v>
      </c>
      <c r="C72" s="414"/>
      <c r="E72" s="156"/>
    </row>
    <row r="73" spans="1:16" ht="32.25" customHeight="1">
      <c r="B73" s="220" t="s">
        <v>141</v>
      </c>
      <c r="C73" s="134" t="s">
        <v>288</v>
      </c>
      <c r="D73" s="134" t="s">
        <v>361</v>
      </c>
      <c r="E73" s="136"/>
    </row>
    <row r="74" spans="1:16">
      <c r="B74" s="153" t="s">
        <v>411</v>
      </c>
      <c r="C74" s="238">
        <v>172604200</v>
      </c>
      <c r="D74" s="238">
        <f>+'4.sz.mell.'!E61</f>
        <v>242789754</v>
      </c>
      <c r="E74" s="38"/>
    </row>
    <row r="75" spans="1:16">
      <c r="B75" s="153" t="s">
        <v>142</v>
      </c>
      <c r="C75" s="238">
        <v>32695500</v>
      </c>
      <c r="D75" s="238">
        <f>+'4.sz.mell.'!G61</f>
        <v>328210111</v>
      </c>
      <c r="E75" s="142"/>
    </row>
    <row r="76" spans="1:16" ht="25.5">
      <c r="B76" s="351" t="s">
        <v>511</v>
      </c>
      <c r="C76" s="238">
        <v>135629000</v>
      </c>
      <c r="D76" s="238">
        <f>+'4.sz.mell.'!I61</f>
        <v>166475275</v>
      </c>
      <c r="E76" s="143"/>
    </row>
    <row r="77" spans="1:16">
      <c r="B77" s="153" t="s">
        <v>412</v>
      </c>
      <c r="C77" s="238">
        <v>3781000</v>
      </c>
      <c r="D77" s="238">
        <f>+'4.sz.mell.'!M61</f>
        <v>4878145</v>
      </c>
      <c r="E77" s="38"/>
      <c r="F77" s="109"/>
    </row>
    <row r="78" spans="1:16">
      <c r="B78" s="153" t="s">
        <v>514</v>
      </c>
      <c r="C78" s="238">
        <v>0</v>
      </c>
      <c r="D78" s="238">
        <v>31326</v>
      </c>
      <c r="E78" s="38"/>
      <c r="F78" s="109"/>
    </row>
    <row r="79" spans="1:16">
      <c r="B79" s="153" t="s">
        <v>416</v>
      </c>
      <c r="C79" s="238">
        <v>9649634</v>
      </c>
      <c r="D79" s="238">
        <f>+'4.sz.mell.'!Q61</f>
        <v>9649634</v>
      </c>
      <c r="E79" s="38"/>
    </row>
    <row r="80" spans="1:16">
      <c r="B80" s="153" t="s">
        <v>492</v>
      </c>
      <c r="C80" s="238">
        <v>0</v>
      </c>
      <c r="D80" s="238">
        <f>+'4.sz.mell.'!S61</f>
        <v>743685</v>
      </c>
      <c r="E80" s="38"/>
    </row>
    <row r="81" spans="2:5">
      <c r="B81" s="153" t="s">
        <v>512</v>
      </c>
      <c r="C81" s="238">
        <v>2880000</v>
      </c>
      <c r="D81" s="238">
        <v>5880000</v>
      </c>
      <c r="E81" s="38"/>
    </row>
    <row r="82" spans="2:5" ht="15.75" thickBot="1">
      <c r="B82" s="154" t="s">
        <v>513</v>
      </c>
      <c r="C82" s="239">
        <v>72104709</v>
      </c>
      <c r="D82" s="239">
        <f>+'4.sz.mell.'!K61-D81-D78</f>
        <v>70613741</v>
      </c>
      <c r="E82" s="38"/>
    </row>
    <row r="83" spans="2:5" ht="19.899999999999999" customHeight="1" thickBot="1">
      <c r="B83" s="219" t="s">
        <v>144</v>
      </c>
      <c r="C83" s="240">
        <f>SUM(C74:C82)</f>
        <v>429344043</v>
      </c>
      <c r="D83" s="240">
        <f>SUM(D74:D82)</f>
        <v>829271671</v>
      </c>
      <c r="E83" s="42"/>
    </row>
    <row r="84" spans="2:5">
      <c r="B84" s="153" t="s">
        <v>413</v>
      </c>
      <c r="C84" s="238">
        <v>1415952</v>
      </c>
      <c r="D84" s="238">
        <f>22110+77430</f>
        <v>99540</v>
      </c>
      <c r="E84" s="42"/>
    </row>
    <row r="85" spans="2:5" ht="15.75" thickBot="1">
      <c r="B85" s="154" t="s">
        <v>414</v>
      </c>
      <c r="C85" s="239">
        <v>90687347</v>
      </c>
      <c r="D85" s="239">
        <f>+'4.sz.mell.'!O61-D84</f>
        <v>67483592</v>
      </c>
      <c r="E85" s="42"/>
    </row>
    <row r="86" spans="2:5" ht="19.899999999999999" customHeight="1" thickBot="1">
      <c r="B86" s="219" t="s">
        <v>145</v>
      </c>
      <c r="C86" s="240">
        <f>SUM(C84:C85)</f>
        <v>92103299</v>
      </c>
      <c r="D86" s="240">
        <f>SUM(D84:D85)</f>
        <v>67583132</v>
      </c>
      <c r="E86" s="135">
        <f>+'4.sz.mell.'!O61</f>
        <v>67583132</v>
      </c>
    </row>
    <row r="87" spans="2:5">
      <c r="B87" s="153" t="s">
        <v>456</v>
      </c>
      <c r="C87" s="238">
        <v>277013347</v>
      </c>
      <c r="D87" s="238">
        <f>+'4.sz.mell.'!U61</f>
        <v>258233825</v>
      </c>
      <c r="E87" s="38"/>
    </row>
    <row r="88" spans="2:5">
      <c r="B88" s="154" t="s">
        <v>415</v>
      </c>
      <c r="C88" s="239">
        <v>50435066</v>
      </c>
      <c r="D88" s="239">
        <f>+'4.sz.mell.'!W61</f>
        <v>95701905</v>
      </c>
      <c r="E88" s="38"/>
    </row>
    <row r="89" spans="2:5" ht="15.75" thickBot="1">
      <c r="B89" s="154" t="s">
        <v>179</v>
      </c>
      <c r="C89" s="239">
        <v>0</v>
      </c>
      <c r="D89" s="239">
        <v>0</v>
      </c>
      <c r="E89" s="38"/>
    </row>
    <row r="90" spans="2:5" ht="19.899999999999999" customHeight="1" thickBot="1">
      <c r="B90" s="219" t="s">
        <v>146</v>
      </c>
      <c r="C90" s="240">
        <f>SUM(C87:C89)</f>
        <v>327448413</v>
      </c>
      <c r="D90" s="240">
        <f>SUM(D87:D89)</f>
        <v>353935730</v>
      </c>
      <c r="E90" s="38"/>
    </row>
    <row r="91" spans="2:5" ht="24.6" customHeight="1" thickBot="1">
      <c r="B91" s="138" t="s">
        <v>147</v>
      </c>
      <c r="C91" s="241">
        <f>C83+C86+C90</f>
        <v>848895755</v>
      </c>
      <c r="D91" s="241">
        <f>D83+D86+D90</f>
        <v>1250790533</v>
      </c>
      <c r="E91" s="389">
        <f>+'4.sz.mell.'!Y61</f>
        <v>1250790533</v>
      </c>
    </row>
    <row r="92" spans="2:5">
      <c r="B92" s="38"/>
      <c r="C92" s="135"/>
      <c r="E92" s="38"/>
    </row>
    <row r="93" spans="2:5">
      <c r="B93" s="38"/>
      <c r="C93" s="144"/>
      <c r="D93" s="350">
        <f>+D91-D67</f>
        <v>281694269</v>
      </c>
      <c r="E93" s="38"/>
    </row>
    <row r="94" spans="2:5">
      <c r="B94" s="38"/>
      <c r="C94" s="38"/>
      <c r="E94" s="38"/>
    </row>
    <row r="99" ht="41.25" customHeight="1"/>
    <row r="123" spans="4:4">
      <c r="D123" s="327" t="s">
        <v>349</v>
      </c>
    </row>
  </sheetData>
  <mergeCells count="5">
    <mergeCell ref="B70:C70"/>
    <mergeCell ref="B72:C72"/>
    <mergeCell ref="A2:D2"/>
    <mergeCell ref="A1:D1"/>
    <mergeCell ref="B3:C3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71" fitToHeight="2" orientation="portrait" r:id="rId1"/>
  <rowBreaks count="1" manualBreakCount="1">
    <brk id="69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67"/>
  <sheetViews>
    <sheetView topLeftCell="B1" zoomScaleNormal="100" workbookViewId="0">
      <selection activeCell="H26" sqref="H26"/>
    </sheetView>
  </sheetViews>
  <sheetFormatPr defaultColWidth="8.85546875" defaultRowHeight="15.75"/>
  <cols>
    <col min="1" max="1" width="12.28515625" style="29" hidden="1" customWidth="1"/>
    <col min="2" max="2" width="47.28515625" style="29" customWidth="1"/>
    <col min="3" max="3" width="25.7109375" style="52" customWidth="1"/>
    <col min="4" max="4" width="20.7109375" style="52" customWidth="1"/>
    <col min="5" max="5" width="8.85546875" style="52"/>
    <col min="6" max="8" width="9.140625" style="52" customWidth="1"/>
    <col min="9" max="10" width="8.85546875" style="73"/>
    <col min="11" max="16384" width="8.85546875" style="29"/>
  </cols>
  <sheetData>
    <row r="1" spans="1:10">
      <c r="A1" s="415" t="s">
        <v>545</v>
      </c>
      <c r="B1" s="415"/>
      <c r="C1" s="415"/>
      <c r="D1" s="415"/>
      <c r="E1" s="170"/>
      <c r="F1" s="170"/>
      <c r="G1" s="170"/>
      <c r="H1" s="170"/>
    </row>
    <row r="4" spans="1:10" ht="38.25" customHeight="1">
      <c r="A4" s="480" t="s">
        <v>299</v>
      </c>
      <c r="B4" s="480"/>
      <c r="C4" s="480"/>
      <c r="D4" s="480"/>
      <c r="E4" s="480"/>
      <c r="F4" s="299"/>
      <c r="G4" s="299"/>
      <c r="H4" s="299"/>
    </row>
    <row r="6" spans="1:10" ht="16.5" thickBot="1">
      <c r="C6" s="47" t="s">
        <v>263</v>
      </c>
    </row>
    <row r="7" spans="1:10" ht="16.5" customHeight="1" thickBot="1">
      <c r="C7" s="353" t="s">
        <v>354</v>
      </c>
      <c r="D7" s="353" t="s">
        <v>420</v>
      </c>
    </row>
    <row r="8" spans="1:10" s="31" customFormat="1" ht="35.1" customHeight="1" thickBot="1">
      <c r="B8" s="356" t="s">
        <v>66</v>
      </c>
      <c r="C8" s="354">
        <f>+C9+C10+C11</f>
        <v>90687347</v>
      </c>
      <c r="D8" s="352">
        <f>+D9+D10+D11</f>
        <v>67483592</v>
      </c>
      <c r="E8" s="76"/>
      <c r="F8" s="74"/>
      <c r="G8" s="74"/>
      <c r="H8" s="74"/>
      <c r="I8" s="75"/>
      <c r="J8" s="75"/>
    </row>
    <row r="9" spans="1:10">
      <c r="B9" s="355" t="s">
        <v>343</v>
      </c>
      <c r="C9" s="261">
        <v>29080156</v>
      </c>
      <c r="D9" s="261">
        <v>24649594</v>
      </c>
    </row>
    <row r="10" spans="1:10" ht="47.25">
      <c r="B10" s="108" t="s">
        <v>344</v>
      </c>
      <c r="C10" s="261">
        <v>55599872</v>
      </c>
      <c r="D10" s="261">
        <f>55503410-3529412-14360208</f>
        <v>37613790</v>
      </c>
    </row>
    <row r="11" spans="1:10" ht="47.25">
      <c r="B11" s="108" t="s">
        <v>345</v>
      </c>
      <c r="C11" s="261">
        <v>6007319</v>
      </c>
      <c r="D11" s="261">
        <v>5220208</v>
      </c>
    </row>
    <row r="12" spans="1:10" s="31" customFormat="1" ht="28.5" customHeight="1">
      <c r="B12" s="332" t="s">
        <v>346</v>
      </c>
      <c r="C12" s="331">
        <v>1415952</v>
      </c>
      <c r="D12" s="331">
        <v>99540</v>
      </c>
      <c r="E12" s="76"/>
      <c r="F12" s="74"/>
      <c r="G12" s="74"/>
      <c r="H12" s="74"/>
      <c r="I12" s="75"/>
      <c r="J12" s="75"/>
    </row>
    <row r="13" spans="1:10" ht="20.25">
      <c r="B13" s="317" t="s">
        <v>170</v>
      </c>
      <c r="C13" s="318">
        <f>SUM(C8,C12)</f>
        <v>92103299</v>
      </c>
      <c r="D13" s="318">
        <f>+D12+D8</f>
        <v>67583132</v>
      </c>
    </row>
    <row r="14" spans="1:10">
      <c r="I14" s="73">
        <v>735603</v>
      </c>
    </row>
    <row r="15" spans="1:10">
      <c r="D15" s="53">
        <f>+'4.sz.mell.'!O61</f>
        <v>67583132</v>
      </c>
    </row>
    <row r="35" spans="7:7">
      <c r="G35" s="52">
        <v>285158666</v>
      </c>
    </row>
    <row r="52" spans="4:17">
      <c r="D52" s="52">
        <f>SUM(D41:D51)</f>
        <v>0</v>
      </c>
      <c r="E52" s="53">
        <f>+'4a.sz.mell.'!E61</f>
        <v>56643024</v>
      </c>
    </row>
    <row r="54" spans="4:17">
      <c r="E54" s="52">
        <f>+D52+D54</f>
        <v>0</v>
      </c>
    </row>
    <row r="63" spans="4:17">
      <c r="Q63" s="29">
        <f>+O61+M61+K61+I61+G61+E61</f>
        <v>0</v>
      </c>
    </row>
    <row r="67" spans="16:16">
      <c r="P67" s="109">
        <f>+Q61-'4.sz.mell.'!Y61</f>
        <v>-1250790533</v>
      </c>
    </row>
  </sheetData>
  <mergeCells count="2">
    <mergeCell ref="A4:E4"/>
    <mergeCell ref="A1:D1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3" max="1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D67"/>
  <sheetViews>
    <sheetView view="pageBreakPreview" zoomScale="80" zoomScaleNormal="80" zoomScaleSheetLayoutView="80" workbookViewId="0">
      <pane xSplit="1" ySplit="1" topLeftCell="I2" activePane="bottomRight" state="frozen"/>
      <selection activeCell="G36" sqref="G36"/>
      <selection pane="topRight" activeCell="G36" sqref="G36"/>
      <selection pane="bottomLeft" activeCell="G36" sqref="G36"/>
      <selection pane="bottomRight" sqref="A1:M1"/>
    </sheetView>
  </sheetViews>
  <sheetFormatPr defaultRowHeight="15.75"/>
  <cols>
    <col min="1" max="1" width="36.85546875" style="83" customWidth="1"/>
    <col min="2" max="2" width="12.5703125" style="83" customWidth="1"/>
    <col min="3" max="3" width="13.5703125" style="83" customWidth="1"/>
    <col min="4" max="5" width="10.7109375" style="83" customWidth="1"/>
    <col min="6" max="6" width="11.5703125" style="83" customWidth="1"/>
    <col min="7" max="7" width="13" style="83" customWidth="1"/>
    <col min="8" max="8" width="11.85546875" style="83" customWidth="1"/>
    <col min="9" max="12" width="12" style="83" bestFit="1" customWidth="1"/>
    <col min="13" max="13" width="13.85546875" style="97" bestFit="1" customWidth="1"/>
    <col min="14" max="14" width="14" style="98" bestFit="1" customWidth="1"/>
    <col min="15" max="15" width="13.85546875" style="98" customWidth="1"/>
    <col min="16" max="16" width="14" style="78" bestFit="1" customWidth="1"/>
    <col min="17" max="17" width="14.28515625" style="78" customWidth="1"/>
    <col min="18" max="18" width="12.85546875" style="79" customWidth="1"/>
    <col min="19" max="19" width="12" style="79" bestFit="1" customWidth="1"/>
    <col min="20" max="20" width="11.5703125" style="78" bestFit="1" customWidth="1"/>
    <col min="21" max="21" width="12.140625" style="78" customWidth="1"/>
    <col min="22" max="22" width="11.5703125" style="78" bestFit="1" customWidth="1"/>
    <col min="23" max="23" width="13.28515625" style="78" customWidth="1"/>
    <col min="24" max="24" width="11.5703125" style="78" bestFit="1" customWidth="1"/>
    <col min="25" max="25" width="13.28515625" style="78" customWidth="1"/>
    <col min="26" max="27" width="13.140625" style="78" bestFit="1" customWidth="1"/>
    <col min="28" max="28" width="16.85546875" style="78" customWidth="1"/>
    <col min="29" max="29" width="20.28515625" style="78" customWidth="1"/>
    <col min="30" max="30" width="16.85546875" style="78" customWidth="1"/>
    <col min="31" max="16384" width="9.140625" style="78"/>
  </cols>
  <sheetData>
    <row r="1" spans="1:30">
      <c r="A1" s="486" t="s">
        <v>546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77"/>
      <c r="O1" s="77"/>
    </row>
    <row r="2" spans="1:30" s="81" customFormat="1" ht="28.5" customHeight="1">
      <c r="A2" s="487" t="s">
        <v>300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80"/>
      <c r="O2" s="80"/>
      <c r="R2" s="82"/>
      <c r="S2" s="82"/>
    </row>
    <row r="3" spans="1:30" ht="26.25" customHeight="1" thickBot="1">
      <c r="M3" s="84" t="s">
        <v>253</v>
      </c>
      <c r="N3" s="85"/>
      <c r="O3" s="85"/>
    </row>
    <row r="4" spans="1:30" s="88" customFormat="1" ht="24.95" customHeight="1" thickBot="1">
      <c r="A4" s="86"/>
      <c r="B4" s="483" t="s">
        <v>67</v>
      </c>
      <c r="C4" s="484"/>
      <c r="D4" s="483" t="s">
        <v>68</v>
      </c>
      <c r="E4" s="484"/>
      <c r="F4" s="483" t="s">
        <v>69</v>
      </c>
      <c r="G4" s="484"/>
      <c r="H4" s="483" t="s">
        <v>70</v>
      </c>
      <c r="I4" s="484"/>
      <c r="J4" s="483" t="s">
        <v>71</v>
      </c>
      <c r="K4" s="484"/>
      <c r="L4" s="483" t="s">
        <v>72</v>
      </c>
      <c r="M4" s="484"/>
      <c r="N4" s="483" t="s">
        <v>73</v>
      </c>
      <c r="O4" s="484"/>
      <c r="P4" s="483" t="s">
        <v>74</v>
      </c>
      <c r="Q4" s="484"/>
      <c r="R4" s="483" t="s">
        <v>75</v>
      </c>
      <c r="S4" s="484"/>
      <c r="T4" s="483" t="s">
        <v>76</v>
      </c>
      <c r="U4" s="484"/>
      <c r="V4" s="483" t="s">
        <v>77</v>
      </c>
      <c r="W4" s="484"/>
      <c r="X4" s="483" t="s">
        <v>78</v>
      </c>
      <c r="Y4" s="485"/>
      <c r="Z4" s="482" t="s">
        <v>65</v>
      </c>
      <c r="AA4" s="482"/>
      <c r="AB4" s="87"/>
      <c r="AD4" s="89"/>
    </row>
    <row r="5" spans="1:30" s="88" customFormat="1" ht="45.75" customHeight="1">
      <c r="A5" s="86"/>
      <c r="B5" s="357" t="s">
        <v>354</v>
      </c>
      <c r="C5" s="357" t="s">
        <v>420</v>
      </c>
      <c r="D5" s="357" t="s">
        <v>354</v>
      </c>
      <c r="E5" s="357" t="s">
        <v>420</v>
      </c>
      <c r="F5" s="357" t="s">
        <v>354</v>
      </c>
      <c r="G5" s="357" t="s">
        <v>420</v>
      </c>
      <c r="H5" s="357" t="s">
        <v>354</v>
      </c>
      <c r="I5" s="357" t="s">
        <v>420</v>
      </c>
      <c r="J5" s="357" t="s">
        <v>354</v>
      </c>
      <c r="K5" s="357" t="s">
        <v>420</v>
      </c>
      <c r="L5" s="357" t="s">
        <v>354</v>
      </c>
      <c r="M5" s="357" t="s">
        <v>420</v>
      </c>
      <c r="N5" s="357" t="s">
        <v>354</v>
      </c>
      <c r="O5" s="357" t="s">
        <v>420</v>
      </c>
      <c r="P5" s="357" t="s">
        <v>354</v>
      </c>
      <c r="Q5" s="357" t="s">
        <v>420</v>
      </c>
      <c r="R5" s="357" t="s">
        <v>354</v>
      </c>
      <c r="S5" s="357" t="s">
        <v>420</v>
      </c>
      <c r="T5" s="357" t="s">
        <v>354</v>
      </c>
      <c r="U5" s="357" t="s">
        <v>420</v>
      </c>
      <c r="V5" s="357" t="s">
        <v>354</v>
      </c>
      <c r="W5" s="357" t="s">
        <v>420</v>
      </c>
      <c r="X5" s="357" t="s">
        <v>354</v>
      </c>
      <c r="Y5" s="357" t="s">
        <v>420</v>
      </c>
      <c r="Z5" s="358" t="s">
        <v>354</v>
      </c>
      <c r="AA5" s="358" t="s">
        <v>420</v>
      </c>
      <c r="AB5" s="87"/>
      <c r="AD5" s="89"/>
    </row>
    <row r="6" spans="1:30" ht="24.95" customHeight="1">
      <c r="A6" s="90" t="s">
        <v>90</v>
      </c>
      <c r="B6" s="284">
        <v>24300000</v>
      </c>
      <c r="C6" s="284">
        <f>27453224+2300000</f>
        <v>29753224</v>
      </c>
      <c r="D6" s="284">
        <v>24300000</v>
      </c>
      <c r="E6" s="284">
        <f>27453224+2300000</f>
        <v>29753224</v>
      </c>
      <c r="F6" s="284">
        <v>24300000</v>
      </c>
      <c r="G6" s="284">
        <f>27453224+2300000</f>
        <v>29753224</v>
      </c>
      <c r="H6" s="284">
        <v>24300000</v>
      </c>
      <c r="I6" s="284">
        <f>27453224+2300000</f>
        <v>29753224</v>
      </c>
      <c r="J6" s="284">
        <v>24300000</v>
      </c>
      <c r="K6" s="284">
        <f>27453224+2300000</f>
        <v>29753224</v>
      </c>
      <c r="L6" s="284">
        <v>24300000</v>
      </c>
      <c r="M6" s="284">
        <f>27453224+2300000</f>
        <v>29753224</v>
      </c>
      <c r="N6" s="284">
        <v>24300000</v>
      </c>
      <c r="O6" s="284">
        <f>27453224+2300000</f>
        <v>29753224</v>
      </c>
      <c r="P6" s="284">
        <v>24300000</v>
      </c>
      <c r="Q6" s="284">
        <f>27453224+2300000</f>
        <v>29753224</v>
      </c>
      <c r="R6" s="284">
        <v>24300000</v>
      </c>
      <c r="S6" s="284">
        <f>27453224+2300000</f>
        <v>29753224</v>
      </c>
      <c r="T6" s="284">
        <v>24300000</v>
      </c>
      <c r="U6" s="284">
        <f>27453224+2300000+750000</f>
        <v>30503224</v>
      </c>
      <c r="V6" s="284">
        <v>24300000</v>
      </c>
      <c r="W6" s="284">
        <f>27453224+2300000</f>
        <v>29753224</v>
      </c>
      <c r="X6" s="284">
        <v>25330808</v>
      </c>
      <c r="Y6" s="284">
        <f>27453224+5+2494215+3409950+10249733</f>
        <v>43607127</v>
      </c>
      <c r="Z6" s="285">
        <f>+X6+V6+T6+R6+P6+N6+L6+J6+H6+F6+D6+B6</f>
        <v>292630808</v>
      </c>
      <c r="AA6" s="285">
        <f>+Y6+W6+U6+S6+Q6+O6+M6+K6+I6+G6+E6+C6</f>
        <v>371642591</v>
      </c>
      <c r="AB6" s="91">
        <f>+'4a.sz.mell.'!G61</f>
        <v>371642591</v>
      </c>
      <c r="AC6" s="283">
        <f>+AB6-AA6</f>
        <v>0</v>
      </c>
      <c r="AD6" s="79"/>
    </row>
    <row r="7" spans="1:30" ht="24.95" customHeight="1">
      <c r="A7" s="90" t="s">
        <v>79</v>
      </c>
      <c r="B7" s="284">
        <v>120000</v>
      </c>
      <c r="C7" s="284">
        <v>120000</v>
      </c>
      <c r="D7" s="284">
        <v>320000</v>
      </c>
      <c r="E7" s="284">
        <v>320000</v>
      </c>
      <c r="F7" s="284">
        <v>4700000</v>
      </c>
      <c r="G7" s="284">
        <v>4700000</v>
      </c>
      <c r="H7" s="284">
        <v>1950000</v>
      </c>
      <c r="I7" s="284">
        <v>1950000</v>
      </c>
      <c r="J7" s="284">
        <v>19300000</v>
      </c>
      <c r="K7" s="284">
        <v>19300000</v>
      </c>
      <c r="L7" s="284">
        <v>1850000</v>
      </c>
      <c r="M7" s="284">
        <v>1850000</v>
      </c>
      <c r="N7" s="284">
        <v>850000</v>
      </c>
      <c r="O7" s="284">
        <v>850000</v>
      </c>
      <c r="P7" s="284">
        <v>1400000</v>
      </c>
      <c r="Q7" s="284">
        <v>1400000</v>
      </c>
      <c r="R7" s="284">
        <v>7500000</v>
      </c>
      <c r="S7" s="284">
        <v>7500000</v>
      </c>
      <c r="T7" s="284">
        <v>2200000</v>
      </c>
      <c r="U7" s="284">
        <v>2200000</v>
      </c>
      <c r="V7" s="284">
        <v>1900000</v>
      </c>
      <c r="W7" s="284">
        <v>1900000</v>
      </c>
      <c r="X7" s="284">
        <v>17180000</v>
      </c>
      <c r="Y7" s="284">
        <v>17180000</v>
      </c>
      <c r="Z7" s="285">
        <f>+X7+V7+T7+R7+P7+N7+L7+J7+H7+F7+D7+B7</f>
        <v>59270000</v>
      </c>
      <c r="AA7" s="285">
        <f t="shared" ref="AA7:AA24" si="0">+Y7+W7+U7+S7+Q7+O7+M7+K7+I7+G7+E7+C7</f>
        <v>59270000</v>
      </c>
      <c r="AB7" s="91">
        <f>+'4a.sz.mell.'!O61</f>
        <v>59270000</v>
      </c>
      <c r="AC7" s="92">
        <f>+AB7-AA7</f>
        <v>0</v>
      </c>
      <c r="AD7" s="79"/>
    </row>
    <row r="8" spans="1:30" ht="24.95" customHeight="1">
      <c r="A8" s="90" t="s">
        <v>80</v>
      </c>
      <c r="B8" s="284">
        <v>4350000</v>
      </c>
      <c r="C8" s="284">
        <f>5570012-850000</f>
        <v>4720012</v>
      </c>
      <c r="D8" s="284">
        <v>4350000</v>
      </c>
      <c r="E8" s="284">
        <f>5570012-850000</f>
        <v>4720012</v>
      </c>
      <c r="F8" s="284">
        <v>4350000</v>
      </c>
      <c r="G8" s="284">
        <f>5570012-850000</f>
        <v>4720012</v>
      </c>
      <c r="H8" s="284">
        <v>4350000</v>
      </c>
      <c r="I8" s="284">
        <f>5570012-850000</f>
        <v>4720012</v>
      </c>
      <c r="J8" s="284">
        <v>4350000</v>
      </c>
      <c r="K8" s="284">
        <f>5570012-850000</f>
        <v>4720012</v>
      </c>
      <c r="L8" s="284">
        <v>4350000</v>
      </c>
      <c r="M8" s="284">
        <f>5570012-850000</f>
        <v>4720012</v>
      </c>
      <c r="N8" s="284">
        <v>4350000</v>
      </c>
      <c r="O8" s="284">
        <f>5570012-850000</f>
        <v>4720012</v>
      </c>
      <c r="P8" s="284">
        <v>4350000</v>
      </c>
      <c r="Q8" s="284">
        <f>5570012-850000</f>
        <v>4720012</v>
      </c>
      <c r="R8" s="284">
        <v>4350000</v>
      </c>
      <c r="S8" s="284">
        <f>5570012-850000</f>
        <v>4720012</v>
      </c>
      <c r="T8" s="284">
        <v>4350000</v>
      </c>
      <c r="U8" s="284">
        <f>5570012-850000-10285</f>
        <v>4709727</v>
      </c>
      <c r="V8" s="284">
        <v>4350000</v>
      </c>
      <c r="W8" s="284">
        <f>5570012-850000</f>
        <v>4720012</v>
      </c>
      <c r="X8" s="284">
        <v>4359000</v>
      </c>
      <c r="Y8" s="284">
        <f>5570012+1-836836</f>
        <v>4733177</v>
      </c>
      <c r="Z8" s="285">
        <f>+X8+V8+T8+R8+P8+N8+L8+J8+H8+F8+D8+B8</f>
        <v>52209000</v>
      </c>
      <c r="AA8" s="285">
        <f t="shared" si="0"/>
        <v>56643024</v>
      </c>
      <c r="AB8" s="91">
        <f>+'4a.sz.mell.'!E61</f>
        <v>56643024</v>
      </c>
      <c r="AC8" s="92">
        <f t="shared" ref="AC8:AC12" si="1">+AB8-AA8</f>
        <v>0</v>
      </c>
      <c r="AD8" s="79"/>
    </row>
    <row r="9" spans="1:30" ht="24.95" customHeight="1">
      <c r="A9" s="90" t="s">
        <v>81</v>
      </c>
      <c r="B9" s="284">
        <v>0</v>
      </c>
      <c r="C9" s="284">
        <v>0</v>
      </c>
      <c r="D9" s="284">
        <v>0</v>
      </c>
      <c r="E9" s="284">
        <v>0</v>
      </c>
      <c r="F9" s="284">
        <v>812024</v>
      </c>
      <c r="G9" s="284">
        <v>812024</v>
      </c>
      <c r="H9" s="284">
        <v>48310000</v>
      </c>
      <c r="I9" s="284">
        <f>48310000-2657</f>
        <v>48307343</v>
      </c>
      <c r="J9" s="284">
        <v>19930411</v>
      </c>
      <c r="K9" s="284">
        <f>19930411+49599394</f>
        <v>69529805</v>
      </c>
      <c r="L9" s="284">
        <v>153625000</v>
      </c>
      <c r="M9" s="284">
        <f>153625000+1875000</f>
        <v>155500000</v>
      </c>
      <c r="N9" s="284">
        <v>12015699</v>
      </c>
      <c r="O9" s="284">
        <v>12015699</v>
      </c>
      <c r="P9" s="284">
        <v>44590100</v>
      </c>
      <c r="Q9" s="284">
        <f>20000000+2734000</f>
        <v>22734000</v>
      </c>
      <c r="R9" s="284">
        <v>0</v>
      </c>
      <c r="S9" s="284">
        <f>17311683-10249733</f>
        <v>7061950</v>
      </c>
      <c r="T9" s="284">
        <v>0</v>
      </c>
      <c r="U9" s="284">
        <v>0</v>
      </c>
      <c r="V9" s="284">
        <v>0</v>
      </c>
      <c r="W9" s="284">
        <v>0</v>
      </c>
      <c r="X9" s="284">
        <v>0</v>
      </c>
      <c r="Y9" s="284">
        <v>0</v>
      </c>
      <c r="Z9" s="285">
        <f t="shared" ref="Z9:Z12" si="2">+X9+V9+T9+R9+P9+N9+L9+J9+H9+F9+D9+B9</f>
        <v>279283234</v>
      </c>
      <c r="AA9" s="285">
        <f>+Y9+W9+U9+S9+Q9+O9+M9+K9+I9+G9+E9+C9</f>
        <v>315960821</v>
      </c>
      <c r="AB9" s="91">
        <f>+'4a.sz.mell.'!I61</f>
        <v>315960821</v>
      </c>
      <c r="AC9" s="92">
        <f t="shared" si="1"/>
        <v>0</v>
      </c>
      <c r="AD9" s="79"/>
    </row>
    <row r="10" spans="1:30" ht="24.95" customHeight="1">
      <c r="A10" s="90" t="s">
        <v>286</v>
      </c>
      <c r="B10" s="284">
        <v>0</v>
      </c>
      <c r="C10" s="284">
        <v>0</v>
      </c>
      <c r="D10" s="284">
        <v>0</v>
      </c>
      <c r="E10" s="284">
        <v>0</v>
      </c>
      <c r="F10" s="284">
        <v>0</v>
      </c>
      <c r="G10" s="284">
        <v>0</v>
      </c>
      <c r="H10" s="284">
        <v>0</v>
      </c>
      <c r="I10" s="284">
        <v>0</v>
      </c>
      <c r="J10" s="284">
        <v>0</v>
      </c>
      <c r="K10" s="284">
        <v>0</v>
      </c>
      <c r="L10" s="284">
        <v>0</v>
      </c>
      <c r="M10" s="284">
        <v>0</v>
      </c>
      <c r="N10" s="284">
        <v>0</v>
      </c>
      <c r="O10" s="284">
        <v>0</v>
      </c>
      <c r="P10" s="284">
        <v>0</v>
      </c>
      <c r="Q10" s="284">
        <v>0</v>
      </c>
      <c r="R10" s="284">
        <v>0</v>
      </c>
      <c r="S10" s="284">
        <v>0</v>
      </c>
      <c r="T10" s="284">
        <v>0</v>
      </c>
      <c r="U10" s="284">
        <v>0</v>
      </c>
      <c r="V10" s="284">
        <v>0</v>
      </c>
      <c r="W10" s="284">
        <v>0</v>
      </c>
      <c r="X10" s="284">
        <v>0</v>
      </c>
      <c r="Y10" s="284">
        <v>0</v>
      </c>
      <c r="Z10" s="285">
        <f t="shared" si="2"/>
        <v>0</v>
      </c>
      <c r="AA10" s="285">
        <f t="shared" si="0"/>
        <v>0</v>
      </c>
      <c r="AB10" s="91"/>
      <c r="AC10" s="92">
        <f t="shared" si="1"/>
        <v>0</v>
      </c>
      <c r="AD10" s="79"/>
    </row>
    <row r="11" spans="1:30" ht="24.95" customHeight="1">
      <c r="A11" s="90" t="s">
        <v>245</v>
      </c>
      <c r="B11" s="284">
        <v>0</v>
      </c>
      <c r="C11" s="284">
        <v>0</v>
      </c>
      <c r="D11" s="287">
        <v>0</v>
      </c>
      <c r="E11" s="287">
        <v>0</v>
      </c>
      <c r="F11" s="284">
        <v>0</v>
      </c>
      <c r="G11" s="284">
        <v>0</v>
      </c>
      <c r="H11" s="287">
        <v>0</v>
      </c>
      <c r="I11" s="287">
        <v>0</v>
      </c>
      <c r="J11" s="284">
        <v>55000000</v>
      </c>
      <c r="K11" s="284">
        <v>55000000</v>
      </c>
      <c r="L11" s="284">
        <v>55000000</v>
      </c>
      <c r="M11" s="284">
        <v>55000000</v>
      </c>
      <c r="N11" s="284">
        <v>0</v>
      </c>
      <c r="O11" s="284">
        <v>0</v>
      </c>
      <c r="P11" s="284">
        <v>0</v>
      </c>
      <c r="Q11" s="284">
        <v>0</v>
      </c>
      <c r="R11" s="284">
        <f>55502713</f>
        <v>55502713</v>
      </c>
      <c r="S11" s="284">
        <f>55502713+77115</f>
        <v>55579828</v>
      </c>
      <c r="T11" s="284">
        <v>0</v>
      </c>
      <c r="U11" s="284">
        <v>0</v>
      </c>
      <c r="V11" s="284">
        <v>0</v>
      </c>
      <c r="W11" s="284">
        <v>0</v>
      </c>
      <c r="X11" s="284">
        <v>0</v>
      </c>
      <c r="Y11" s="284">
        <v>0</v>
      </c>
      <c r="Z11" s="285">
        <f t="shared" si="2"/>
        <v>165502713</v>
      </c>
      <c r="AA11" s="285">
        <f t="shared" si="0"/>
        <v>165579828</v>
      </c>
      <c r="AB11" s="91">
        <f>+'4a.sz.mell.'!K61</f>
        <v>165579828</v>
      </c>
      <c r="AC11" s="92">
        <f t="shared" si="1"/>
        <v>0</v>
      </c>
      <c r="AD11" s="79"/>
    </row>
    <row r="12" spans="1:30" ht="24.95" customHeight="1">
      <c r="A12" s="93" t="s">
        <v>82</v>
      </c>
      <c r="B12" s="286">
        <f>SUM(B6:B11)</f>
        <v>28770000</v>
      </c>
      <c r="C12" s="286">
        <f t="shared" ref="C12:Y12" si="3">SUM(C6:C11)</f>
        <v>34593236</v>
      </c>
      <c r="D12" s="286">
        <f t="shared" si="3"/>
        <v>28970000</v>
      </c>
      <c r="E12" s="286">
        <f t="shared" si="3"/>
        <v>34793236</v>
      </c>
      <c r="F12" s="286">
        <f t="shared" si="3"/>
        <v>34162024</v>
      </c>
      <c r="G12" s="286">
        <f t="shared" si="3"/>
        <v>39985260</v>
      </c>
      <c r="H12" s="286">
        <f t="shared" si="3"/>
        <v>78910000</v>
      </c>
      <c r="I12" s="286">
        <f t="shared" si="3"/>
        <v>84730579</v>
      </c>
      <c r="J12" s="286">
        <f t="shared" si="3"/>
        <v>122880411</v>
      </c>
      <c r="K12" s="286">
        <f t="shared" si="3"/>
        <v>178303041</v>
      </c>
      <c r="L12" s="286">
        <f t="shared" si="3"/>
        <v>239125000</v>
      </c>
      <c r="M12" s="286">
        <f t="shared" si="3"/>
        <v>246823236</v>
      </c>
      <c r="N12" s="286">
        <f t="shared" si="3"/>
        <v>41515699</v>
      </c>
      <c r="O12" s="286">
        <f t="shared" si="3"/>
        <v>47338935</v>
      </c>
      <c r="P12" s="286">
        <f t="shared" si="3"/>
        <v>74640100</v>
      </c>
      <c r="Q12" s="286">
        <f t="shared" si="3"/>
        <v>58607236</v>
      </c>
      <c r="R12" s="286">
        <f t="shared" si="3"/>
        <v>91652713</v>
      </c>
      <c r="S12" s="286">
        <f t="shared" si="3"/>
        <v>104615014</v>
      </c>
      <c r="T12" s="286">
        <f t="shared" si="3"/>
        <v>30850000</v>
      </c>
      <c r="U12" s="286">
        <f t="shared" si="3"/>
        <v>37412951</v>
      </c>
      <c r="V12" s="286">
        <f t="shared" si="3"/>
        <v>30550000</v>
      </c>
      <c r="W12" s="286">
        <f t="shared" si="3"/>
        <v>36373236</v>
      </c>
      <c r="X12" s="286">
        <f t="shared" si="3"/>
        <v>46869808</v>
      </c>
      <c r="Y12" s="286">
        <f t="shared" si="3"/>
        <v>65520304</v>
      </c>
      <c r="Z12" s="285">
        <f t="shared" si="2"/>
        <v>848895755</v>
      </c>
      <c r="AA12" s="285">
        <f t="shared" si="0"/>
        <v>969096264</v>
      </c>
      <c r="AB12" s="91">
        <f>+'4a.sz.mell.'!Q61-'4a.sz.mell.'!P67</f>
        <v>1250790533</v>
      </c>
      <c r="AC12" s="92">
        <f t="shared" si="1"/>
        <v>281694269</v>
      </c>
      <c r="AD12" s="79"/>
    </row>
    <row r="13" spans="1:30" ht="24.95" customHeight="1">
      <c r="A13" s="94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4"/>
      <c r="AA13" s="285"/>
      <c r="AB13" s="91"/>
      <c r="AD13" s="79"/>
    </row>
    <row r="14" spans="1:30" s="95" customFormat="1" ht="24.95" customHeight="1">
      <c r="A14" s="90" t="s">
        <v>17</v>
      </c>
      <c r="B14" s="284">
        <v>14383680</v>
      </c>
      <c r="C14" s="284"/>
      <c r="D14" s="284">
        <v>14383680</v>
      </c>
      <c r="E14" s="284"/>
      <c r="F14" s="284">
        <v>14383680</v>
      </c>
      <c r="G14" s="284"/>
      <c r="H14" s="284">
        <v>14383680</v>
      </c>
      <c r="I14" s="284">
        <v>735603</v>
      </c>
      <c r="J14" s="284">
        <v>14383680</v>
      </c>
      <c r="K14" s="284"/>
      <c r="L14" s="284">
        <v>14383680</v>
      </c>
      <c r="M14" s="284">
        <f>14870300+2350000</f>
        <v>17220300</v>
      </c>
      <c r="N14" s="284">
        <v>14383680</v>
      </c>
      <c r="O14" s="284">
        <f>14870300+2350000</f>
        <v>17220300</v>
      </c>
      <c r="P14" s="284">
        <v>14383680</v>
      </c>
      <c r="Q14" s="284">
        <f>14870300+2350000</f>
        <v>17220300</v>
      </c>
      <c r="R14" s="284">
        <v>14383680</v>
      </c>
      <c r="S14" s="284">
        <f>14870300+2350000</f>
        <v>17220300</v>
      </c>
      <c r="T14" s="284">
        <v>14383680</v>
      </c>
      <c r="U14" s="284">
        <f>14870300+2350000+382000</f>
        <v>17602300</v>
      </c>
      <c r="V14" s="284">
        <v>14383680</v>
      </c>
      <c r="W14" s="284">
        <f>14870300+2350000+382000</f>
        <v>17602300</v>
      </c>
      <c r="X14" s="284">
        <v>14383720</v>
      </c>
      <c r="Y14" s="284">
        <f>226443658-89221800+18246+382025+1081825-735603</f>
        <v>137968351</v>
      </c>
      <c r="Z14" s="286">
        <f>+X14+V14+T14+R14+P14+N14+L14+J14+H14+F14+D14+B14</f>
        <v>172604200</v>
      </c>
      <c r="AA14" s="285">
        <f>+Y14+W14+U14+S14+Q14+O14+M14+K14+I14+G14+E14+C14</f>
        <v>242789754</v>
      </c>
      <c r="AB14" s="91">
        <f>+'4.sz.mell.'!E61</f>
        <v>242789754</v>
      </c>
      <c r="AC14" s="359">
        <f>+AB14-AA14</f>
        <v>0</v>
      </c>
      <c r="AD14" s="96"/>
    </row>
    <row r="15" spans="1:30" s="95" customFormat="1" ht="24.95" customHeight="1">
      <c r="A15" s="90" t="s">
        <v>83</v>
      </c>
      <c r="B15" s="284">
        <v>2724000</v>
      </c>
      <c r="C15" s="284"/>
      <c r="D15" s="284">
        <v>2724000</v>
      </c>
      <c r="E15" s="284"/>
      <c r="F15" s="284">
        <v>2724000</v>
      </c>
      <c r="G15" s="284"/>
      <c r="H15" s="284">
        <v>2724000</v>
      </c>
      <c r="I15" s="284"/>
      <c r="J15" s="284">
        <v>2724000</v>
      </c>
      <c r="K15" s="284"/>
      <c r="L15" s="284">
        <v>2724000</v>
      </c>
      <c r="M15" s="284">
        <f>3356047+240000</f>
        <v>3596047</v>
      </c>
      <c r="N15" s="284">
        <v>2724000</v>
      </c>
      <c r="O15" s="284">
        <f>3356047+240000</f>
        <v>3596047</v>
      </c>
      <c r="P15" s="284">
        <v>2724000</v>
      </c>
      <c r="Q15" s="284">
        <f>3356047+240000</f>
        <v>3596047</v>
      </c>
      <c r="R15" s="284">
        <v>2724000</v>
      </c>
      <c r="S15" s="284">
        <f>3356047+240000</f>
        <v>3596047</v>
      </c>
      <c r="T15" s="284">
        <v>2724000</v>
      </c>
      <c r="U15" s="284">
        <f>3356047+240000+67990</f>
        <v>3664037</v>
      </c>
      <c r="V15" s="284">
        <v>2724000</v>
      </c>
      <c r="W15" s="284">
        <f>3356047+240000+67990</f>
        <v>3664037</v>
      </c>
      <c r="X15" s="284">
        <v>2731500</v>
      </c>
      <c r="Y15" s="284">
        <f>40272465-20140934+67995+1139657</f>
        <v>21339183</v>
      </c>
      <c r="Z15" s="286">
        <f t="shared" ref="Z15:Z22" si="4">+X15+V15+T15+R15+P15+N15+L15+J15+H15+F15+D15+B15</f>
        <v>32695500</v>
      </c>
      <c r="AA15" s="285">
        <f t="shared" ref="Z15:AA23" si="5">+Y15+W15+U15+S15+Q15+O15+M15+K15+I15+G15+E15+C15</f>
        <v>43051445</v>
      </c>
      <c r="AB15" s="91">
        <f>+'4.sz.mell.'!G61</f>
        <v>328210111</v>
      </c>
      <c r="AC15" s="359">
        <f t="shared" ref="AC15:AC23" si="6">+AB15-AA15</f>
        <v>285158666</v>
      </c>
      <c r="AD15" s="96"/>
    </row>
    <row r="16" spans="1:30" s="95" customFormat="1" ht="24.95" customHeight="1">
      <c r="A16" s="90" t="s">
        <v>84</v>
      </c>
      <c r="B16" s="284">
        <v>11300000</v>
      </c>
      <c r="C16" s="284"/>
      <c r="D16" s="284">
        <v>11300000</v>
      </c>
      <c r="E16" s="284"/>
      <c r="F16" s="284">
        <v>11300000</v>
      </c>
      <c r="G16" s="284"/>
      <c r="H16" s="284">
        <v>11300000</v>
      </c>
      <c r="I16" s="284"/>
      <c r="J16" s="284">
        <v>11300000</v>
      </c>
      <c r="K16" s="284"/>
      <c r="L16" s="284">
        <v>11300000</v>
      </c>
      <c r="M16" s="284">
        <v>12153611</v>
      </c>
      <c r="N16" s="284">
        <v>11300000</v>
      </c>
      <c r="O16" s="284">
        <f>12153611+3250000</f>
        <v>15403611</v>
      </c>
      <c r="P16" s="284">
        <v>11300000</v>
      </c>
      <c r="Q16" s="284">
        <f>12153611+3250000</f>
        <v>15403611</v>
      </c>
      <c r="R16" s="284">
        <v>11300000</v>
      </c>
      <c r="S16" s="284">
        <f>12153611+3250000</f>
        <v>15403611</v>
      </c>
      <c r="T16" s="284">
        <v>11300000</v>
      </c>
      <c r="U16" s="284">
        <f>12153611+3250000-957000</f>
        <v>14446611</v>
      </c>
      <c r="V16" s="284">
        <v>11300000</v>
      </c>
      <c r="W16" s="284">
        <f>12153611+3250000-957000</f>
        <v>14446611</v>
      </c>
      <c r="X16" s="284">
        <v>11329000</v>
      </c>
      <c r="Y16" s="284">
        <f>145843343-72921666+3347429-958897+7371797</f>
        <v>82682006</v>
      </c>
      <c r="Z16" s="286">
        <f t="shared" si="4"/>
        <v>135629000</v>
      </c>
      <c r="AA16" s="285">
        <f t="shared" si="5"/>
        <v>169939672</v>
      </c>
      <c r="AB16" s="91">
        <f>+'4.sz.mell.'!I61</f>
        <v>166475275</v>
      </c>
      <c r="AC16" s="359">
        <f t="shared" si="6"/>
        <v>-3464397</v>
      </c>
      <c r="AD16" s="96"/>
    </row>
    <row r="17" spans="1:30" s="95" customFormat="1" ht="24.95" customHeight="1">
      <c r="A17" s="90" t="s">
        <v>89</v>
      </c>
      <c r="B17" s="284">
        <v>315000</v>
      </c>
      <c r="C17" s="284">
        <v>315000</v>
      </c>
      <c r="D17" s="284">
        <v>315000</v>
      </c>
      <c r="E17" s="284">
        <v>315000</v>
      </c>
      <c r="F17" s="284">
        <v>315000</v>
      </c>
      <c r="G17" s="284">
        <v>315000</v>
      </c>
      <c r="H17" s="284">
        <v>315000</v>
      </c>
      <c r="I17" s="284">
        <v>315000</v>
      </c>
      <c r="J17" s="284">
        <v>315000</v>
      </c>
      <c r="K17" s="284">
        <v>315000</v>
      </c>
      <c r="L17" s="284">
        <v>315000</v>
      </c>
      <c r="M17" s="284">
        <v>315000</v>
      </c>
      <c r="N17" s="284">
        <v>315000</v>
      </c>
      <c r="O17" s="284">
        <v>315000</v>
      </c>
      <c r="P17" s="284">
        <v>315000</v>
      </c>
      <c r="Q17" s="284">
        <f>315000+588880</f>
        <v>903880</v>
      </c>
      <c r="R17" s="284">
        <v>315000</v>
      </c>
      <c r="S17" s="284">
        <v>315000</v>
      </c>
      <c r="T17" s="284">
        <v>315000</v>
      </c>
      <c r="U17" s="284">
        <v>315000</v>
      </c>
      <c r="V17" s="284">
        <v>315000</v>
      </c>
      <c r="W17" s="284">
        <v>315000</v>
      </c>
      <c r="X17" s="284">
        <v>316000</v>
      </c>
      <c r="Y17" s="284">
        <f>+X17+8265+500000</f>
        <v>824265</v>
      </c>
      <c r="Z17" s="286">
        <f t="shared" si="4"/>
        <v>3781000</v>
      </c>
      <c r="AA17" s="285">
        <f t="shared" si="5"/>
        <v>4878145</v>
      </c>
      <c r="AB17" s="91">
        <f>+'4.sz.mell.'!M61</f>
        <v>4878145</v>
      </c>
      <c r="AC17" s="359">
        <f t="shared" si="6"/>
        <v>0</v>
      </c>
      <c r="AD17" s="96"/>
    </row>
    <row r="18" spans="1:30" s="95" customFormat="1" ht="24.95" customHeight="1">
      <c r="A18" s="90" t="s">
        <v>85</v>
      </c>
      <c r="B18" s="284">
        <v>6200000</v>
      </c>
      <c r="C18" s="284">
        <v>7349000</v>
      </c>
      <c r="D18" s="284">
        <v>6200000</v>
      </c>
      <c r="E18" s="284">
        <v>7349000</v>
      </c>
      <c r="F18" s="284">
        <v>6200000</v>
      </c>
      <c r="G18" s="284">
        <v>7349000</v>
      </c>
      <c r="H18" s="284">
        <v>6200000</v>
      </c>
      <c r="I18" s="284">
        <v>7349000</v>
      </c>
      <c r="J18" s="284">
        <v>6200000</v>
      </c>
      <c r="K18" s="284">
        <v>7349000</v>
      </c>
      <c r="L18" s="284">
        <v>6200000</v>
      </c>
      <c r="M18" s="284">
        <f>7349000-2300000</f>
        <v>5049000</v>
      </c>
      <c r="N18" s="284">
        <v>6200000</v>
      </c>
      <c r="O18" s="284">
        <f>7349000-2300000</f>
        <v>5049000</v>
      </c>
      <c r="P18" s="284">
        <v>6200000</v>
      </c>
      <c r="Q18" s="284">
        <f>7349000-2300000</f>
        <v>5049000</v>
      </c>
      <c r="R18" s="284">
        <v>6200000</v>
      </c>
      <c r="S18" s="284">
        <f>7349000-2300000</f>
        <v>5049000</v>
      </c>
      <c r="T18" s="284">
        <v>6200000</v>
      </c>
      <c r="U18" s="284">
        <f>7349000-2300000+583000</f>
        <v>5632000</v>
      </c>
      <c r="V18" s="284">
        <v>6200000</v>
      </c>
      <c r="W18" s="284">
        <f>7349000-2300000+583000</f>
        <v>5632000</v>
      </c>
      <c r="X18" s="284">
        <v>6784709</v>
      </c>
      <c r="Y18" s="284">
        <f>88195778-80839000+100-187354+585900+564643</f>
        <v>8320067</v>
      </c>
      <c r="Z18" s="286">
        <f t="shared" si="4"/>
        <v>74984709</v>
      </c>
      <c r="AA18" s="285">
        <f t="shared" si="5"/>
        <v>76525067</v>
      </c>
      <c r="AB18" s="91">
        <f>+'4.sz.mell.'!K61</f>
        <v>76525067</v>
      </c>
      <c r="AC18" s="359">
        <f t="shared" si="6"/>
        <v>0</v>
      </c>
      <c r="AD18" s="96"/>
    </row>
    <row r="19" spans="1:30" s="95" customFormat="1" ht="24.95" customHeight="1">
      <c r="A19" s="90" t="s">
        <v>287</v>
      </c>
      <c r="B19" s="284">
        <v>9649634</v>
      </c>
      <c r="C19" s="284">
        <v>9649634</v>
      </c>
      <c r="D19" s="287">
        <v>0</v>
      </c>
      <c r="E19" s="287">
        <v>0</v>
      </c>
      <c r="F19" s="287">
        <v>0</v>
      </c>
      <c r="G19" s="287">
        <v>0</v>
      </c>
      <c r="H19" s="287">
        <v>0</v>
      </c>
      <c r="I19" s="287">
        <v>0</v>
      </c>
      <c r="J19" s="287">
        <v>0</v>
      </c>
      <c r="K19" s="287">
        <v>0</v>
      </c>
      <c r="L19" s="287">
        <v>0</v>
      </c>
      <c r="M19" s="287">
        <v>0</v>
      </c>
      <c r="N19" s="287">
        <v>0</v>
      </c>
      <c r="O19" s="287">
        <v>0</v>
      </c>
      <c r="P19" s="287">
        <v>0</v>
      </c>
      <c r="Q19" s="287">
        <v>0</v>
      </c>
      <c r="R19" s="287">
        <v>0</v>
      </c>
      <c r="S19" s="287">
        <v>0</v>
      </c>
      <c r="T19" s="287">
        <v>0</v>
      </c>
      <c r="U19" s="287">
        <v>0</v>
      </c>
      <c r="V19" s="287">
        <v>0</v>
      </c>
      <c r="W19" s="287">
        <v>0</v>
      </c>
      <c r="X19" s="287">
        <v>0</v>
      </c>
      <c r="Y19" s="287">
        <v>0</v>
      </c>
      <c r="Z19" s="286">
        <f t="shared" si="4"/>
        <v>9649634</v>
      </c>
      <c r="AA19" s="285">
        <f t="shared" si="5"/>
        <v>9649634</v>
      </c>
      <c r="AB19" s="91">
        <f>+'4.sz.mell.'!Q61</f>
        <v>9649634</v>
      </c>
      <c r="AC19" s="359">
        <f t="shared" si="6"/>
        <v>0</v>
      </c>
      <c r="AD19" s="96"/>
    </row>
    <row r="20" spans="1:30" s="95" customFormat="1" ht="24.95" customHeight="1">
      <c r="A20" s="90" t="s">
        <v>522</v>
      </c>
      <c r="B20" s="284">
        <v>0</v>
      </c>
      <c r="C20" s="284">
        <v>0</v>
      </c>
      <c r="D20" s="287">
        <v>0</v>
      </c>
      <c r="E20" s="287">
        <v>0</v>
      </c>
      <c r="F20" s="287">
        <v>0</v>
      </c>
      <c r="G20" s="287">
        <v>0</v>
      </c>
      <c r="H20" s="287">
        <v>0</v>
      </c>
      <c r="I20" s="287">
        <v>0</v>
      </c>
      <c r="J20" s="287">
        <v>0</v>
      </c>
      <c r="K20" s="287">
        <v>0</v>
      </c>
      <c r="L20" s="287">
        <v>0</v>
      </c>
      <c r="M20" s="287">
        <v>0</v>
      </c>
      <c r="N20" s="287">
        <v>0</v>
      </c>
      <c r="O20" s="287">
        <v>0</v>
      </c>
      <c r="P20" s="287">
        <v>0</v>
      </c>
      <c r="Q20" s="287">
        <v>0</v>
      </c>
      <c r="R20" s="287">
        <v>0</v>
      </c>
      <c r="S20" s="287">
        <v>0</v>
      </c>
      <c r="T20" s="287">
        <v>0</v>
      </c>
      <c r="U20" s="287">
        <v>0</v>
      </c>
      <c r="V20" s="287">
        <v>0</v>
      </c>
      <c r="W20" s="287">
        <v>703700</v>
      </c>
      <c r="X20" s="287">
        <v>0</v>
      </c>
      <c r="Y20" s="287">
        <v>39985</v>
      </c>
      <c r="Z20" s="286">
        <f t="shared" ref="Z20" si="7">+X20+V20+T20+R20+P20+N20+L20+J20+H20+F20+D20+B20</f>
        <v>0</v>
      </c>
      <c r="AA20" s="285">
        <f t="shared" ref="AA20" si="8">+Y20+W20+U20+S20+Q20+O20+M20+K20+I20+G20+E20+C20</f>
        <v>743685</v>
      </c>
      <c r="AB20" s="91"/>
      <c r="AC20" s="359"/>
      <c r="AD20" s="96"/>
    </row>
    <row r="21" spans="1:30" ht="24.95" customHeight="1">
      <c r="A21" s="90" t="s">
        <v>86</v>
      </c>
      <c r="B21" s="287">
        <v>0</v>
      </c>
      <c r="C21" s="287">
        <v>0</v>
      </c>
      <c r="D21" s="287">
        <v>0</v>
      </c>
      <c r="E21" s="287">
        <v>0</v>
      </c>
      <c r="F21" s="284">
        <v>0</v>
      </c>
      <c r="G21" s="284">
        <v>0</v>
      </c>
      <c r="H21" s="284">
        <v>0</v>
      </c>
      <c r="I21" s="284">
        <v>0</v>
      </c>
      <c r="J21" s="284">
        <v>20000000</v>
      </c>
      <c r="K21" s="284">
        <f>+J21-3194874</f>
        <v>16805126</v>
      </c>
      <c r="L21" s="284">
        <f>30000000-14425000</f>
        <v>15575000</v>
      </c>
      <c r="M21" s="284">
        <f>30000000-14425000</f>
        <v>15575000</v>
      </c>
      <c r="N21" s="284">
        <v>30000000</v>
      </c>
      <c r="O21" s="284">
        <f>30000000-4069412</f>
        <v>25930588</v>
      </c>
      <c r="P21" s="284">
        <v>0</v>
      </c>
      <c r="Q21" s="284">
        <v>0</v>
      </c>
      <c r="R21" s="284">
        <v>15000000</v>
      </c>
      <c r="S21" s="284">
        <f>15000000-14360208</f>
        <v>639792</v>
      </c>
      <c r="T21" s="284">
        <v>0</v>
      </c>
      <c r="U21" s="284">
        <v>0</v>
      </c>
      <c r="V21" s="284">
        <v>0</v>
      </c>
      <c r="W21" s="284">
        <v>0</v>
      </c>
      <c r="X21" s="284">
        <v>11528299</v>
      </c>
      <c r="Y21" s="284">
        <f>11528299-2895673</f>
        <v>8632626</v>
      </c>
      <c r="Z21" s="286">
        <f t="shared" si="4"/>
        <v>92103299</v>
      </c>
      <c r="AA21" s="285">
        <f t="shared" si="5"/>
        <v>67583132</v>
      </c>
      <c r="AB21" s="91">
        <f>+'4.sz.mell.'!O61</f>
        <v>67583132</v>
      </c>
      <c r="AC21" s="359">
        <f t="shared" si="6"/>
        <v>0</v>
      </c>
      <c r="AD21" s="79"/>
    </row>
    <row r="22" spans="1:30" ht="24.95" customHeight="1">
      <c r="A22" s="90" t="s">
        <v>59</v>
      </c>
      <c r="B22" s="287">
        <v>0</v>
      </c>
      <c r="C22" s="287">
        <v>0</v>
      </c>
      <c r="D22" s="287">
        <v>0</v>
      </c>
      <c r="E22" s="287">
        <v>0</v>
      </c>
      <c r="F22" s="287">
        <v>0</v>
      </c>
      <c r="G22" s="287">
        <v>0</v>
      </c>
      <c r="H22" s="287">
        <v>812024</v>
      </c>
      <c r="I22" s="287">
        <v>812024</v>
      </c>
      <c r="J22" s="284">
        <v>20000000</v>
      </c>
      <c r="K22" s="284">
        <f>+J22-15069590</f>
        <v>4930410</v>
      </c>
      <c r="L22" s="287">
        <v>19930411</v>
      </c>
      <c r="M22" s="287">
        <f>+L22-15069590</f>
        <v>4860821</v>
      </c>
      <c r="N22" s="287">
        <v>42000000</v>
      </c>
      <c r="O22" s="287">
        <f>42000000+22000000</f>
        <v>64000000</v>
      </c>
      <c r="P22" s="287">
        <v>68000000</v>
      </c>
      <c r="Q22" s="287">
        <f>68000000+24851561</f>
        <v>92851561</v>
      </c>
      <c r="R22" s="284">
        <v>72000000</v>
      </c>
      <c r="S22" s="284">
        <v>72000000</v>
      </c>
      <c r="T22" s="284">
        <v>32015699</v>
      </c>
      <c r="U22" s="284">
        <v>32015699</v>
      </c>
      <c r="V22" s="284">
        <v>40642681</v>
      </c>
      <c r="W22" s="284">
        <f>40642681+14127235</f>
        <v>54769916</v>
      </c>
      <c r="X22" s="284">
        <v>32047598</v>
      </c>
      <c r="Y22" s="284">
        <f>32047598-4352299</f>
        <v>27695299</v>
      </c>
      <c r="Z22" s="286">
        <f t="shared" si="4"/>
        <v>327448413</v>
      </c>
      <c r="AA22" s="285">
        <f t="shared" si="5"/>
        <v>353935730</v>
      </c>
      <c r="AB22" s="91">
        <f>+'4.sz.mell.'!U61+'4.sz.mell.'!W61</f>
        <v>353935730</v>
      </c>
      <c r="AC22" s="359">
        <f t="shared" si="6"/>
        <v>0</v>
      </c>
      <c r="AD22" s="79"/>
    </row>
    <row r="23" spans="1:30" ht="24.95" customHeight="1">
      <c r="A23" s="93" t="s">
        <v>87</v>
      </c>
      <c r="B23" s="286">
        <f>SUM(B14:B22)</f>
        <v>44572314</v>
      </c>
      <c r="C23" s="286">
        <f t="shared" ref="C23:Y23" si="9">SUM(C14:C22)</f>
        <v>17313634</v>
      </c>
      <c r="D23" s="286">
        <f t="shared" si="9"/>
        <v>34922680</v>
      </c>
      <c r="E23" s="286">
        <f t="shared" si="9"/>
        <v>7664000</v>
      </c>
      <c r="F23" s="286">
        <f t="shared" si="9"/>
        <v>34922680</v>
      </c>
      <c r="G23" s="286">
        <f t="shared" si="9"/>
        <v>7664000</v>
      </c>
      <c r="H23" s="286">
        <f t="shared" si="9"/>
        <v>35734704</v>
      </c>
      <c r="I23" s="286">
        <f t="shared" si="9"/>
        <v>9211627</v>
      </c>
      <c r="J23" s="286">
        <f t="shared" si="9"/>
        <v>74922680</v>
      </c>
      <c r="K23" s="286">
        <f t="shared" si="9"/>
        <v>29399536</v>
      </c>
      <c r="L23" s="286">
        <f t="shared" si="9"/>
        <v>70428091</v>
      </c>
      <c r="M23" s="286">
        <f t="shared" si="9"/>
        <v>58769779</v>
      </c>
      <c r="N23" s="286">
        <f t="shared" si="9"/>
        <v>106922680</v>
      </c>
      <c r="O23" s="286">
        <f t="shared" si="9"/>
        <v>131514546</v>
      </c>
      <c r="P23" s="286">
        <f t="shared" si="9"/>
        <v>102922680</v>
      </c>
      <c r="Q23" s="286">
        <f t="shared" si="9"/>
        <v>135024399</v>
      </c>
      <c r="R23" s="286">
        <f t="shared" si="9"/>
        <v>121922680</v>
      </c>
      <c r="S23" s="286">
        <f t="shared" si="9"/>
        <v>114223750</v>
      </c>
      <c r="T23" s="286">
        <f t="shared" si="9"/>
        <v>66938379</v>
      </c>
      <c r="U23" s="286">
        <f t="shared" si="9"/>
        <v>73675647</v>
      </c>
      <c r="V23" s="286">
        <f t="shared" si="9"/>
        <v>75565361</v>
      </c>
      <c r="W23" s="286">
        <f t="shared" si="9"/>
        <v>97133564</v>
      </c>
      <c r="X23" s="286">
        <f t="shared" si="9"/>
        <v>79120826</v>
      </c>
      <c r="Y23" s="286">
        <f t="shared" si="9"/>
        <v>287501782</v>
      </c>
      <c r="Z23" s="285">
        <f t="shared" si="5"/>
        <v>848895755</v>
      </c>
      <c r="AA23" s="285">
        <f>+Y23+W23+U23+S23+Q23+O23+M23+K23+I23+G23+E23+C23</f>
        <v>969096264</v>
      </c>
      <c r="AB23" s="91">
        <f>+'4.sz.mell.'!Y61</f>
        <v>1250790533</v>
      </c>
      <c r="AC23" s="359">
        <f t="shared" si="6"/>
        <v>281694269</v>
      </c>
      <c r="AD23" s="79"/>
    </row>
    <row r="24" spans="1:30" ht="24.95" customHeight="1">
      <c r="A24" s="93" t="s">
        <v>88</v>
      </c>
      <c r="B24" s="286">
        <f>B12-B23</f>
        <v>-15802314</v>
      </c>
      <c r="C24" s="286">
        <f t="shared" ref="C24:Y24" si="10">C12-C23</f>
        <v>17279602</v>
      </c>
      <c r="D24" s="286">
        <f t="shared" si="10"/>
        <v>-5952680</v>
      </c>
      <c r="E24" s="286">
        <f t="shared" si="10"/>
        <v>27129236</v>
      </c>
      <c r="F24" s="286">
        <f t="shared" si="10"/>
        <v>-760656</v>
      </c>
      <c r="G24" s="286">
        <f t="shared" si="10"/>
        <v>32321260</v>
      </c>
      <c r="H24" s="286">
        <f t="shared" si="10"/>
        <v>43175296</v>
      </c>
      <c r="I24" s="286">
        <f t="shared" si="10"/>
        <v>75518952</v>
      </c>
      <c r="J24" s="286">
        <f t="shared" si="10"/>
        <v>47957731</v>
      </c>
      <c r="K24" s="286">
        <f t="shared" si="10"/>
        <v>148903505</v>
      </c>
      <c r="L24" s="286">
        <f t="shared" si="10"/>
        <v>168696909</v>
      </c>
      <c r="M24" s="286">
        <f t="shared" si="10"/>
        <v>188053457</v>
      </c>
      <c r="N24" s="286">
        <f t="shared" si="10"/>
        <v>-65406981</v>
      </c>
      <c r="O24" s="286">
        <f t="shared" si="10"/>
        <v>-84175611</v>
      </c>
      <c r="P24" s="286">
        <f t="shared" si="10"/>
        <v>-28282580</v>
      </c>
      <c r="Q24" s="286">
        <f t="shared" si="10"/>
        <v>-76417163</v>
      </c>
      <c r="R24" s="286">
        <f t="shared" si="10"/>
        <v>-30269967</v>
      </c>
      <c r="S24" s="286">
        <f t="shared" si="10"/>
        <v>-9608736</v>
      </c>
      <c r="T24" s="286">
        <f t="shared" si="10"/>
        <v>-36088379</v>
      </c>
      <c r="U24" s="286">
        <f t="shared" si="10"/>
        <v>-36262696</v>
      </c>
      <c r="V24" s="286">
        <f t="shared" si="10"/>
        <v>-45015361</v>
      </c>
      <c r="W24" s="286">
        <f t="shared" si="10"/>
        <v>-60760328</v>
      </c>
      <c r="X24" s="286">
        <f t="shared" si="10"/>
        <v>-32251018</v>
      </c>
      <c r="Y24" s="286">
        <f t="shared" si="10"/>
        <v>-221981478</v>
      </c>
      <c r="Z24" s="286">
        <f>Z12-Z23</f>
        <v>0</v>
      </c>
      <c r="AA24" s="285">
        <f t="shared" si="0"/>
        <v>0</v>
      </c>
      <c r="AB24" s="91"/>
      <c r="AD24" s="79"/>
    </row>
    <row r="35" spans="7:7">
      <c r="G35" s="83">
        <v>285158666</v>
      </c>
    </row>
    <row r="52" spans="4:17">
      <c r="D52" s="83">
        <f>SUM(D41:D51)</f>
        <v>0</v>
      </c>
      <c r="E52" s="399">
        <f>+'4a.sz.mell.'!E61</f>
        <v>56643024</v>
      </c>
    </row>
    <row r="54" spans="4:17">
      <c r="E54" s="83">
        <f>+D52+D54</f>
        <v>0</v>
      </c>
    </row>
    <row r="63" spans="4:17">
      <c r="Q63" s="78">
        <f>+O61+M61+K61+I61+G61+E61</f>
        <v>0</v>
      </c>
    </row>
    <row r="67" spans="16:16">
      <c r="P67" s="92">
        <f>+Q61-'4.sz.mell.'!Y61</f>
        <v>-1250790533</v>
      </c>
    </row>
  </sheetData>
  <mergeCells count="15">
    <mergeCell ref="A1:M1"/>
    <mergeCell ref="A2:M2"/>
    <mergeCell ref="F4:G4"/>
    <mergeCell ref="D4:E4"/>
    <mergeCell ref="B4:C4"/>
    <mergeCell ref="H4:I4"/>
    <mergeCell ref="L4:M4"/>
    <mergeCell ref="J4:K4"/>
    <mergeCell ref="Z4:AA4"/>
    <mergeCell ref="R4:S4"/>
    <mergeCell ref="P4:Q4"/>
    <mergeCell ref="N4:O4"/>
    <mergeCell ref="X4:Y4"/>
    <mergeCell ref="V4:W4"/>
    <mergeCell ref="T4:U4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3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Q69"/>
  <sheetViews>
    <sheetView zoomScaleNormal="100" workbookViewId="0">
      <selection activeCell="K7" sqref="K7"/>
    </sheetView>
  </sheetViews>
  <sheetFormatPr defaultColWidth="8.85546875" defaultRowHeight="15"/>
  <cols>
    <col min="1" max="1" width="8.85546875" style="29"/>
    <col min="2" max="2" width="8.85546875" style="31" customWidth="1"/>
    <col min="3" max="3" width="45.5703125" style="75" customWidth="1"/>
    <col min="4" max="4" width="16.28515625" style="102" customWidth="1"/>
    <col min="5" max="5" width="21.5703125" style="31" customWidth="1"/>
    <col min="6" max="6" width="8.85546875" style="31"/>
    <col min="7" max="7" width="10.140625" style="31" bestFit="1" customWidth="1"/>
    <col min="8" max="8" width="8.85546875" style="31"/>
    <col min="9" max="16384" width="8.85546875" style="29"/>
  </cols>
  <sheetData>
    <row r="1" spans="1:9" ht="15.75">
      <c r="A1" s="481" t="s">
        <v>547</v>
      </c>
      <c r="B1" s="481"/>
      <c r="C1" s="481"/>
      <c r="D1" s="481"/>
      <c r="E1" s="481"/>
      <c r="F1" s="333"/>
    </row>
    <row r="2" spans="1:9" ht="15.75">
      <c r="C2" s="101"/>
    </row>
    <row r="3" spans="1:9" ht="42" customHeight="1">
      <c r="A3" s="470" t="s">
        <v>301</v>
      </c>
      <c r="B3" s="470"/>
      <c r="C3" s="470"/>
      <c r="D3" s="470"/>
      <c r="E3" s="470"/>
      <c r="F3" s="184"/>
    </row>
    <row r="4" spans="1:9" ht="24.75" customHeight="1"/>
    <row r="5" spans="1:9" ht="25.5" customHeight="1">
      <c r="B5" s="488" t="s">
        <v>91</v>
      </c>
      <c r="C5" s="488"/>
      <c r="D5" s="488"/>
      <c r="E5" s="488"/>
      <c r="F5" s="488"/>
    </row>
    <row r="6" spans="1:9" ht="17.25" customHeight="1">
      <c r="C6" s="76"/>
      <c r="D6" s="202" t="s">
        <v>253</v>
      </c>
    </row>
    <row r="7" spans="1:9" ht="17.25" customHeight="1">
      <c r="C7" s="60" t="s">
        <v>92</v>
      </c>
      <c r="D7" s="61" t="s">
        <v>354</v>
      </c>
      <c r="E7" s="61" t="s">
        <v>420</v>
      </c>
    </row>
    <row r="8" spans="1:9" ht="17.25" customHeight="1">
      <c r="C8" s="59" t="s">
        <v>331</v>
      </c>
      <c r="D8" s="262">
        <v>1722000</v>
      </c>
      <c r="E8" s="262">
        <v>0</v>
      </c>
    </row>
    <row r="9" spans="1:9" ht="17.25" customHeight="1">
      <c r="C9" s="59" t="s">
        <v>347</v>
      </c>
      <c r="D9" s="262">
        <v>618400</v>
      </c>
      <c r="E9" s="262">
        <v>0</v>
      </c>
    </row>
    <row r="10" spans="1:9" ht="17.25" customHeight="1">
      <c r="C10" s="59" t="s">
        <v>93</v>
      </c>
      <c r="D10" s="262">
        <v>90000</v>
      </c>
      <c r="E10" s="262">
        <v>90000</v>
      </c>
    </row>
    <row r="11" spans="1:9" ht="17.25" customHeight="1">
      <c r="C11" s="59" t="s">
        <v>94</v>
      </c>
      <c r="D11" s="262">
        <v>140000</v>
      </c>
      <c r="E11" s="262">
        <v>0</v>
      </c>
    </row>
    <row r="12" spans="1:9" ht="17.25" customHeight="1">
      <c r="C12" s="59" t="s">
        <v>95</v>
      </c>
      <c r="D12" s="262">
        <v>250000</v>
      </c>
      <c r="E12" s="262">
        <v>250000</v>
      </c>
    </row>
    <row r="13" spans="1:9" ht="17.25" customHeight="1">
      <c r="C13" s="59" t="s">
        <v>246</v>
      </c>
      <c r="D13" s="262">
        <v>2400000</v>
      </c>
      <c r="E13" s="262">
        <v>2400000</v>
      </c>
    </row>
    <row r="14" spans="1:9" ht="17.25" customHeight="1">
      <c r="C14" s="59" t="s">
        <v>278</v>
      </c>
      <c r="D14" s="262">
        <v>1500000</v>
      </c>
      <c r="E14" s="262">
        <v>1500000</v>
      </c>
      <c r="I14" s="29">
        <v>735603</v>
      </c>
    </row>
    <row r="15" spans="1:9" ht="17.25" customHeight="1">
      <c r="C15" s="59" t="s">
        <v>247</v>
      </c>
      <c r="D15" s="262">
        <v>500000</v>
      </c>
      <c r="E15" s="262">
        <v>0</v>
      </c>
    </row>
    <row r="16" spans="1:9" ht="17.25" customHeight="1">
      <c r="C16" s="59" t="s">
        <v>248</v>
      </c>
      <c r="D16" s="262">
        <v>67134309</v>
      </c>
      <c r="E16" s="262">
        <f>71037706-E24</f>
        <v>68959591</v>
      </c>
    </row>
    <row r="17" spans="3:7" ht="17.25" customHeight="1">
      <c r="C17" s="59" t="s">
        <v>279</v>
      </c>
      <c r="D17" s="262">
        <v>175000</v>
      </c>
      <c r="E17" s="262">
        <v>175000</v>
      </c>
    </row>
    <row r="18" spans="3:7" ht="17.25" customHeight="1">
      <c r="C18" s="59" t="s">
        <v>280</v>
      </c>
      <c r="D18" s="262">
        <v>65000</v>
      </c>
      <c r="E18" s="262">
        <v>65000</v>
      </c>
    </row>
    <row r="19" spans="3:7" ht="17.25" customHeight="1">
      <c r="C19" s="59" t="s">
        <v>281</v>
      </c>
      <c r="D19" s="262">
        <v>20000</v>
      </c>
      <c r="E19" s="262">
        <v>20000</v>
      </c>
    </row>
    <row r="20" spans="3:7" ht="17.25" customHeight="1">
      <c r="C20" s="190" t="s">
        <v>282</v>
      </c>
      <c r="D20" s="262">
        <v>200000</v>
      </c>
      <c r="E20" s="262">
        <v>200000</v>
      </c>
    </row>
    <row r="21" spans="3:7" ht="20.25" customHeight="1">
      <c r="C21" s="190" t="s">
        <v>285</v>
      </c>
      <c r="D21" s="262">
        <v>150000</v>
      </c>
      <c r="E21" s="262">
        <v>170000</v>
      </c>
    </row>
    <row r="22" spans="3:7" ht="20.25" customHeight="1">
      <c r="C22" s="190" t="s">
        <v>421</v>
      </c>
      <c r="D22" s="262">
        <v>0</v>
      </c>
      <c r="E22" s="262">
        <v>67585</v>
      </c>
    </row>
    <row r="23" spans="3:7" ht="20.25" customHeight="1">
      <c r="C23" s="190" t="s">
        <v>471</v>
      </c>
      <c r="D23" s="262">
        <v>0</v>
      </c>
      <c r="E23" s="262">
        <v>510000</v>
      </c>
    </row>
    <row r="24" spans="3:7" ht="20.25" customHeight="1">
      <c r="C24" s="190" t="s">
        <v>523</v>
      </c>
      <c r="D24" s="262">
        <v>0</v>
      </c>
      <c r="E24" s="262">
        <v>2078115</v>
      </c>
    </row>
    <row r="25" spans="3:7" ht="20.25" customHeight="1">
      <c r="C25" s="190" t="s">
        <v>532</v>
      </c>
      <c r="D25" s="262">
        <v>0</v>
      </c>
      <c r="E25" s="262">
        <v>31326</v>
      </c>
    </row>
    <row r="26" spans="3:7" ht="20.25" customHeight="1">
      <c r="C26" s="190" t="s">
        <v>533</v>
      </c>
      <c r="D26" s="262">
        <v>0</v>
      </c>
      <c r="E26" s="262">
        <v>8450</v>
      </c>
    </row>
    <row r="27" spans="3:7" ht="17.25" customHeight="1">
      <c r="C27" s="103" t="s">
        <v>57</v>
      </c>
      <c r="D27" s="191">
        <f>SUM(D8:D23)</f>
        <v>74964709</v>
      </c>
      <c r="E27" s="191">
        <f>SUM(E8:E26)</f>
        <v>76525067</v>
      </c>
      <c r="G27" s="36">
        <f>+'1.sz.mell.'!D81+'1.sz.mell.'!D82</f>
        <v>76493741</v>
      </c>
    </row>
    <row r="28" spans="3:7" ht="30" customHeight="1">
      <c r="C28" s="104"/>
      <c r="D28" s="192"/>
      <c r="G28" s="36">
        <f>+E27-G27</f>
        <v>31326</v>
      </c>
    </row>
    <row r="29" spans="3:7" ht="25.5" customHeight="1">
      <c r="C29" s="105" t="s">
        <v>96</v>
      </c>
      <c r="D29" s="193">
        <v>0</v>
      </c>
      <c r="E29" s="193">
        <v>0</v>
      </c>
    </row>
    <row r="30" spans="3:7" ht="24.75" customHeight="1">
      <c r="C30" s="103" t="s">
        <v>57</v>
      </c>
      <c r="D30" s="191">
        <v>0</v>
      </c>
      <c r="E30" s="191">
        <v>0</v>
      </c>
    </row>
    <row r="31" spans="3:7" ht="18" customHeight="1">
      <c r="C31" s="106"/>
      <c r="D31" s="194"/>
    </row>
    <row r="32" spans="3:7" ht="18" customHeight="1">
      <c r="C32" s="107" t="s">
        <v>97</v>
      </c>
      <c r="D32" s="191">
        <f>SUM(D27,D30)</f>
        <v>74964709</v>
      </c>
      <c r="E32" s="191">
        <f>SUM(E27,E30)</f>
        <v>76525067</v>
      </c>
    </row>
    <row r="33" spans="5:7" ht="18" customHeight="1"/>
    <row r="34" spans="5:7">
      <c r="E34" s="36"/>
    </row>
    <row r="35" spans="5:7">
      <c r="G35" s="31">
        <v>285158666</v>
      </c>
    </row>
    <row r="54" spans="4:5">
      <c r="D54" s="102">
        <f>SUM(D43:D53)</f>
        <v>0</v>
      </c>
      <c r="E54" s="36">
        <f>+'4a.sz.mell.'!E61</f>
        <v>56643024</v>
      </c>
    </row>
    <row r="56" spans="4:5">
      <c r="E56" s="36">
        <f>+D54+D56</f>
        <v>0</v>
      </c>
    </row>
    <row r="65" spans="16:17">
      <c r="Q65" s="29">
        <f>+O63+M63+K63+I63+G63+E63</f>
        <v>0</v>
      </c>
    </row>
    <row r="69" spans="16:17">
      <c r="P69" s="109">
        <f>+Q63-'4.sz.mell.'!Y61</f>
        <v>-1250790533</v>
      </c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I35"/>
  <sheetViews>
    <sheetView zoomScaleNormal="100" workbookViewId="0">
      <selection activeCell="L17" sqref="L17"/>
    </sheetView>
  </sheetViews>
  <sheetFormatPr defaultColWidth="8.85546875" defaultRowHeight="12.75"/>
  <cols>
    <col min="1" max="3" width="8.85546875" style="29"/>
    <col min="4" max="4" width="66.5703125" style="29" bestFit="1" customWidth="1"/>
    <col min="5" max="5" width="13" style="109" customWidth="1"/>
    <col min="6" max="6" width="16.85546875" style="29" customWidth="1"/>
    <col min="7" max="16384" width="8.85546875" style="29"/>
  </cols>
  <sheetData>
    <row r="1" spans="1:9" ht="15.75">
      <c r="A1" s="481" t="s">
        <v>548</v>
      </c>
      <c r="B1" s="481"/>
      <c r="C1" s="481"/>
      <c r="D1" s="481"/>
      <c r="E1" s="481"/>
      <c r="F1" s="481"/>
      <c r="G1" s="481"/>
      <c r="H1" s="333"/>
    </row>
    <row r="3" spans="1:9" ht="48.75" customHeight="1">
      <c r="A3" s="490" t="s">
        <v>302</v>
      </c>
      <c r="B3" s="490"/>
      <c r="C3" s="490"/>
      <c r="D3" s="490"/>
      <c r="E3" s="490"/>
      <c r="F3" s="490"/>
      <c r="G3" s="490"/>
      <c r="H3" s="313"/>
    </row>
    <row r="4" spans="1:9" ht="18.75">
      <c r="D4" s="489" t="s">
        <v>38</v>
      </c>
      <c r="F4" s="300"/>
    </row>
    <row r="5" spans="1:9" ht="18.75">
      <c r="D5" s="489"/>
      <c r="F5" s="301" t="s">
        <v>253</v>
      </c>
    </row>
    <row r="6" spans="1:9" ht="18.75">
      <c r="D6" s="302" t="s">
        <v>98</v>
      </c>
      <c r="F6" s="303"/>
    </row>
    <row r="7" spans="1:9" ht="18.75">
      <c r="D7" s="304" t="s">
        <v>51</v>
      </c>
      <c r="F7" s="305">
        <v>0</v>
      </c>
    </row>
    <row r="8" spans="1:9" ht="18.75">
      <c r="D8" s="302" t="s">
        <v>99</v>
      </c>
      <c r="F8" s="306">
        <v>0</v>
      </c>
    </row>
    <row r="9" spans="1:9" ht="18.75">
      <c r="D9" s="302"/>
      <c r="F9" s="306"/>
    </row>
    <row r="10" spans="1:9" ht="18.75">
      <c r="D10" s="307" t="s">
        <v>39</v>
      </c>
      <c r="F10" s="308"/>
    </row>
    <row r="11" spans="1:9" ht="18.75">
      <c r="D11" s="302" t="s">
        <v>100</v>
      </c>
      <c r="F11" s="303"/>
    </row>
    <row r="12" spans="1:9" ht="18.75">
      <c r="D12" s="304" t="s">
        <v>171</v>
      </c>
      <c r="F12" s="303">
        <v>567000</v>
      </c>
    </row>
    <row r="13" spans="1:9" ht="18.75">
      <c r="D13" s="304" t="s">
        <v>172</v>
      </c>
      <c r="F13" s="303">
        <v>800000</v>
      </c>
    </row>
    <row r="14" spans="1:9" ht="18.75">
      <c r="D14" s="304" t="s">
        <v>50</v>
      </c>
      <c r="F14" s="303">
        <v>700000</v>
      </c>
      <c r="I14" s="29">
        <v>735603</v>
      </c>
    </row>
    <row r="15" spans="1:9" ht="18.75">
      <c r="D15" s="304" t="s">
        <v>283</v>
      </c>
      <c r="F15" s="303">
        <f>1600000-75000</f>
        <v>1525000</v>
      </c>
    </row>
    <row r="16" spans="1:9" ht="18.75">
      <c r="D16" s="302" t="s">
        <v>101</v>
      </c>
      <c r="F16" s="306">
        <f>SUM(F12:F15)</f>
        <v>3592000</v>
      </c>
    </row>
    <row r="17" spans="4:6" ht="18.75">
      <c r="D17" s="302"/>
      <c r="F17" s="306"/>
    </row>
    <row r="18" spans="4:6" ht="18.75">
      <c r="D18" s="302" t="s">
        <v>102</v>
      </c>
      <c r="F18" s="306">
        <f>SUM(F8,F16)</f>
        <v>3592000</v>
      </c>
    </row>
    <row r="19" spans="4:6" ht="18">
      <c r="D19" s="298"/>
      <c r="F19" s="309"/>
    </row>
    <row r="20" spans="4:6" ht="18.75">
      <c r="D20" s="310" t="s">
        <v>103</v>
      </c>
      <c r="F20" s="309"/>
    </row>
    <row r="21" spans="4:6" ht="18.75">
      <c r="D21" s="310" t="s">
        <v>104</v>
      </c>
      <c r="F21" s="311">
        <v>0</v>
      </c>
    </row>
    <row r="22" spans="4:6" ht="18.75">
      <c r="D22" s="312" t="s">
        <v>105</v>
      </c>
      <c r="F22" s="311">
        <f>+F12+F13</f>
        <v>1367000</v>
      </c>
    </row>
    <row r="23" spans="4:6" ht="18">
      <c r="D23" s="298"/>
      <c r="E23" s="309"/>
    </row>
    <row r="24" spans="4:6">
      <c r="D24" s="110"/>
    </row>
    <row r="25" spans="4:6">
      <c r="D25" s="62"/>
    </row>
    <row r="26" spans="4:6">
      <c r="D26" s="62"/>
    </row>
    <row r="27" spans="4:6">
      <c r="D27" s="62"/>
    </row>
    <row r="28" spans="4:6">
      <c r="D28" s="62"/>
    </row>
    <row r="29" spans="4:6">
      <c r="D29" s="62"/>
    </row>
    <row r="33" spans="4:7">
      <c r="D33" s="146"/>
      <c r="E33" s="147"/>
    </row>
    <row r="35" spans="4:7">
      <c r="G35" s="29">
        <v>285158666</v>
      </c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Q67"/>
  <sheetViews>
    <sheetView tabSelected="1" zoomScaleNormal="100" workbookViewId="0">
      <selection activeCell="F34" sqref="F34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21.28515625" customWidth="1"/>
  </cols>
  <sheetData>
    <row r="1" spans="1:11" ht="15.75">
      <c r="A1" s="481" t="s">
        <v>549</v>
      </c>
      <c r="B1" s="481"/>
      <c r="C1" s="481"/>
      <c r="D1" s="481"/>
      <c r="E1" s="481"/>
      <c r="F1" s="481"/>
      <c r="G1" s="481"/>
      <c r="H1" s="481"/>
      <c r="I1" s="145"/>
      <c r="J1" s="145"/>
      <c r="K1" s="145"/>
    </row>
    <row r="2" spans="1:11" ht="15.75">
      <c r="A2" s="100"/>
      <c r="B2" s="100"/>
      <c r="C2" s="100"/>
      <c r="D2" s="100"/>
      <c r="E2" s="100"/>
      <c r="F2" s="100"/>
      <c r="G2" s="100"/>
      <c r="H2" s="100"/>
      <c r="I2" s="145"/>
      <c r="J2" s="145"/>
      <c r="K2" s="145"/>
    </row>
    <row r="3" spans="1:11" ht="30" customHeight="1">
      <c r="A3" s="491" t="s">
        <v>156</v>
      </c>
      <c r="B3" s="491"/>
      <c r="C3" s="491"/>
      <c r="D3" s="491"/>
      <c r="E3" s="491"/>
      <c r="F3" s="491"/>
      <c r="G3" s="491"/>
      <c r="H3" s="491"/>
      <c r="I3" s="161"/>
      <c r="J3" s="161"/>
      <c r="K3" s="161"/>
    </row>
    <row r="4" spans="1:11" ht="30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1" ht="30" customHeight="1" thickBot="1">
      <c r="H5" s="99" t="s">
        <v>253</v>
      </c>
    </row>
    <row r="6" spans="1:11" ht="30" customHeight="1" thickBot="1">
      <c r="A6" s="199" t="s">
        <v>63</v>
      </c>
      <c r="B6" s="492">
        <v>2018</v>
      </c>
      <c r="C6" s="493"/>
      <c r="D6" s="492">
        <v>2019</v>
      </c>
      <c r="E6" s="493"/>
      <c r="F6" s="492">
        <v>2020</v>
      </c>
      <c r="G6" s="493"/>
      <c r="H6" s="492">
        <v>2021</v>
      </c>
      <c r="I6" s="493"/>
    </row>
    <row r="7" spans="1:11" ht="30" customHeight="1" thickBot="1">
      <c r="A7" s="360"/>
      <c r="B7" s="395" t="s">
        <v>354</v>
      </c>
      <c r="C7" s="395" t="s">
        <v>420</v>
      </c>
      <c r="D7" s="395" t="s">
        <v>354</v>
      </c>
      <c r="E7" s="395" t="s">
        <v>420</v>
      </c>
      <c r="F7" s="395" t="s">
        <v>354</v>
      </c>
      <c r="G7" s="395" t="s">
        <v>420</v>
      </c>
      <c r="H7" s="395" t="s">
        <v>354</v>
      </c>
      <c r="I7" s="395" t="s">
        <v>420</v>
      </c>
    </row>
    <row r="8" spans="1:11" ht="15" customHeight="1">
      <c r="A8" s="148" t="s">
        <v>149</v>
      </c>
      <c r="B8" s="396">
        <v>268051083</v>
      </c>
      <c r="C8" s="396">
        <f>+'1.sz.mell.'!D24</f>
        <v>285158666</v>
      </c>
      <c r="D8" s="396">
        <v>310000000</v>
      </c>
      <c r="E8" s="396">
        <v>310000000</v>
      </c>
      <c r="F8" s="396">
        <v>315000000</v>
      </c>
      <c r="G8" s="396">
        <v>315000000</v>
      </c>
      <c r="H8" s="394">
        <v>320000000</v>
      </c>
      <c r="I8" s="394">
        <v>320000000</v>
      </c>
    </row>
    <row r="9" spans="1:11" ht="30" customHeight="1">
      <c r="A9" s="149" t="s">
        <v>150</v>
      </c>
      <c r="B9" s="263">
        <v>24579725</v>
      </c>
      <c r="C9" s="263">
        <f>+'1.sz.mell.'!D34</f>
        <v>86483925</v>
      </c>
      <c r="D9" s="263">
        <v>34000000</v>
      </c>
      <c r="E9" s="263">
        <v>34000000</v>
      </c>
      <c r="F9" s="263">
        <v>38000000</v>
      </c>
      <c r="G9" s="263">
        <v>38000000</v>
      </c>
      <c r="H9" s="266">
        <v>42000000</v>
      </c>
      <c r="I9" s="266">
        <v>42000000</v>
      </c>
    </row>
    <row r="10" spans="1:11" ht="15" customHeight="1">
      <c r="A10" s="150" t="s">
        <v>79</v>
      </c>
      <c r="B10" s="263">
        <v>59270000</v>
      </c>
      <c r="C10" s="263">
        <f>+'1.sz.mell.'!D41</f>
        <v>59270000</v>
      </c>
      <c r="D10" s="263">
        <v>53000000</v>
      </c>
      <c r="E10" s="263">
        <v>53000000</v>
      </c>
      <c r="F10" s="263">
        <v>55000000</v>
      </c>
      <c r="G10" s="263">
        <v>55000000</v>
      </c>
      <c r="H10" s="266">
        <v>57000000</v>
      </c>
      <c r="I10" s="266">
        <v>57000000</v>
      </c>
    </row>
    <row r="11" spans="1:11" ht="15" customHeight="1">
      <c r="A11" s="150" t="s">
        <v>80</v>
      </c>
      <c r="B11" s="263">
        <v>51891000</v>
      </c>
      <c r="C11" s="263">
        <f>+'1.sz.mell.'!D53</f>
        <v>56325024</v>
      </c>
      <c r="D11" s="263">
        <v>48000000</v>
      </c>
      <c r="E11" s="263">
        <v>48000000</v>
      </c>
      <c r="F11" s="263">
        <v>46000000</v>
      </c>
      <c r="G11" s="263">
        <v>46000000</v>
      </c>
      <c r="H11" s="266">
        <v>45000000</v>
      </c>
      <c r="I11" s="266">
        <v>45000000</v>
      </c>
    </row>
    <row r="12" spans="1:11" ht="15" customHeight="1">
      <c r="A12" s="150" t="s">
        <v>151</v>
      </c>
      <c r="B12" s="263">
        <v>318000</v>
      </c>
      <c r="C12" s="263">
        <f>+'1.sz.mell.'!D55</f>
        <v>318000</v>
      </c>
      <c r="D12" s="263">
        <v>0</v>
      </c>
      <c r="E12" s="263">
        <v>0</v>
      </c>
      <c r="F12" s="263">
        <v>0</v>
      </c>
      <c r="G12" s="263">
        <v>0</v>
      </c>
      <c r="H12" s="266">
        <v>0</v>
      </c>
      <c r="I12" s="266">
        <v>0</v>
      </c>
    </row>
    <row r="13" spans="1:11" ht="15" customHeight="1">
      <c r="A13" s="150" t="s">
        <v>7</v>
      </c>
      <c r="B13" s="263">
        <v>0</v>
      </c>
      <c r="C13" s="263">
        <v>0</v>
      </c>
      <c r="D13" s="263">
        <v>0</v>
      </c>
      <c r="E13" s="263">
        <v>0</v>
      </c>
      <c r="F13" s="263">
        <v>0</v>
      </c>
      <c r="G13" s="263">
        <v>0</v>
      </c>
      <c r="H13" s="266">
        <v>0</v>
      </c>
      <c r="I13" s="266">
        <v>0</v>
      </c>
    </row>
    <row r="14" spans="1:11" ht="15" customHeight="1">
      <c r="A14" s="150" t="s">
        <v>152</v>
      </c>
      <c r="B14" s="263">
        <v>279283234</v>
      </c>
      <c r="C14" s="263">
        <f>+'1.sz.mell.'!D64</f>
        <v>315960821</v>
      </c>
      <c r="D14" s="263">
        <v>500000</v>
      </c>
      <c r="E14" s="263">
        <v>500000</v>
      </c>
      <c r="F14" s="263">
        <v>200000</v>
      </c>
      <c r="G14" s="263">
        <v>200000</v>
      </c>
      <c r="H14" s="266">
        <v>0</v>
      </c>
      <c r="I14" s="266">
        <v>735603</v>
      </c>
    </row>
    <row r="15" spans="1:11" ht="15" customHeight="1" thickBot="1">
      <c r="A15" s="151" t="s">
        <v>153</v>
      </c>
      <c r="B15" s="264">
        <v>165502713</v>
      </c>
      <c r="C15" s="264">
        <f>+'1.sz.mell.'!D66</f>
        <v>165579828</v>
      </c>
      <c r="D15" s="264">
        <v>120000000</v>
      </c>
      <c r="E15" s="264">
        <v>120000000</v>
      </c>
      <c r="F15" s="264">
        <v>80000000</v>
      </c>
      <c r="G15" s="264">
        <v>80000000</v>
      </c>
      <c r="H15" s="267">
        <v>75000000</v>
      </c>
      <c r="I15" s="267">
        <v>75000000</v>
      </c>
    </row>
    <row r="16" spans="1:11" ht="15" customHeight="1" thickBot="1">
      <c r="A16" s="152" t="s">
        <v>140</v>
      </c>
      <c r="B16" s="265">
        <f>SUM(B8:B15)</f>
        <v>848895755</v>
      </c>
      <c r="C16" s="265">
        <f>SUM(C8:C15)</f>
        <v>969096264</v>
      </c>
      <c r="D16" s="265">
        <f>SUM(D8:D15)</f>
        <v>565500000</v>
      </c>
      <c r="E16" s="265">
        <f t="shared" ref="E16:I16" si="0">SUM(E8:E15)</f>
        <v>565500000</v>
      </c>
      <c r="F16" s="265">
        <f t="shared" si="0"/>
        <v>534200000</v>
      </c>
      <c r="G16" s="265">
        <f t="shared" si="0"/>
        <v>534200000</v>
      </c>
      <c r="H16" s="265">
        <f t="shared" si="0"/>
        <v>539000000</v>
      </c>
      <c r="I16" s="265">
        <f t="shared" si="0"/>
        <v>539735603</v>
      </c>
    </row>
    <row r="17" spans="1:9" ht="30" customHeight="1" thickBot="1">
      <c r="B17" s="225"/>
      <c r="C17" s="225"/>
      <c r="D17" s="225"/>
      <c r="E17" s="225"/>
      <c r="F17" s="225"/>
      <c r="G17" s="225"/>
      <c r="H17" s="225"/>
      <c r="I17" s="225"/>
    </row>
    <row r="18" spans="1:9" ht="15" customHeight="1">
      <c r="A18" s="148" t="s">
        <v>17</v>
      </c>
      <c r="B18" s="268">
        <v>172604200</v>
      </c>
      <c r="C18" s="268">
        <f>+'1.sz.mell.'!D74</f>
        <v>242789754</v>
      </c>
      <c r="D18" s="273">
        <v>176000000</v>
      </c>
      <c r="E18" s="273">
        <v>176000000</v>
      </c>
      <c r="F18" s="274">
        <v>179000000</v>
      </c>
      <c r="G18" s="274">
        <v>179000000</v>
      </c>
      <c r="H18" s="275">
        <v>181000000</v>
      </c>
      <c r="I18" s="275">
        <v>181000000</v>
      </c>
    </row>
    <row r="19" spans="1:9" ht="15" customHeight="1">
      <c r="A19" s="150" t="s">
        <v>154</v>
      </c>
      <c r="B19" s="269">
        <v>32695500</v>
      </c>
      <c r="C19" s="269">
        <f>+'1.sz.mell.'!D75</f>
        <v>328210111</v>
      </c>
      <c r="D19" s="276">
        <v>35000000</v>
      </c>
      <c r="E19" s="276">
        <v>35000000</v>
      </c>
      <c r="F19" s="277">
        <v>37000000</v>
      </c>
      <c r="G19" s="277">
        <v>37000000</v>
      </c>
      <c r="H19" s="278">
        <v>39000000</v>
      </c>
      <c r="I19" s="278">
        <v>39000000</v>
      </c>
    </row>
    <row r="20" spans="1:9" ht="15" customHeight="1">
      <c r="A20" s="150" t="s">
        <v>19</v>
      </c>
      <c r="B20" s="269">
        <v>135629000</v>
      </c>
      <c r="C20" s="269">
        <f>+'1.sz.mell.'!D76</f>
        <v>166475275</v>
      </c>
      <c r="D20" s="276">
        <f>16000000+137000000-D25</f>
        <v>152476284</v>
      </c>
      <c r="E20" s="276">
        <f>16000000+137000000-E25</f>
        <v>152476284</v>
      </c>
      <c r="F20" s="277">
        <f>13000000+140000000-F25</f>
        <v>152449986</v>
      </c>
      <c r="G20" s="277">
        <f>13000000+140000000-G25</f>
        <v>152449986</v>
      </c>
      <c r="H20" s="278">
        <f>150000000-H25</f>
        <v>149471743</v>
      </c>
      <c r="I20" s="278">
        <f>150000000-I25</f>
        <v>149471743</v>
      </c>
    </row>
    <row r="21" spans="1:9" ht="15" customHeight="1">
      <c r="A21" s="150" t="s">
        <v>525</v>
      </c>
      <c r="B21" s="269">
        <v>0</v>
      </c>
      <c r="C21" s="269">
        <f>+'1.sz.mell.'!D78</f>
        <v>31326</v>
      </c>
      <c r="D21" s="276">
        <v>0</v>
      </c>
      <c r="E21" s="276">
        <v>0</v>
      </c>
      <c r="F21" s="277">
        <v>0</v>
      </c>
      <c r="G21" s="277">
        <v>0</v>
      </c>
      <c r="H21" s="278">
        <v>0</v>
      </c>
      <c r="I21" s="278">
        <v>0</v>
      </c>
    </row>
    <row r="22" spans="1:9" ht="15" customHeight="1">
      <c r="A22" s="150" t="s">
        <v>143</v>
      </c>
      <c r="B22" s="269">
        <v>3781000</v>
      </c>
      <c r="C22" s="269">
        <f>+'1.sz.mell.'!D77</f>
        <v>4878145</v>
      </c>
      <c r="D22" s="276">
        <v>4000000</v>
      </c>
      <c r="E22" s="276">
        <v>4000000</v>
      </c>
      <c r="F22" s="277">
        <v>5000000</v>
      </c>
      <c r="G22" s="277">
        <v>5000000</v>
      </c>
      <c r="H22" s="278">
        <v>6000000</v>
      </c>
      <c r="I22" s="278">
        <v>6000000</v>
      </c>
    </row>
    <row r="23" spans="1:9" ht="15" customHeight="1">
      <c r="A23" s="150" t="s">
        <v>85</v>
      </c>
      <c r="B23" s="269">
        <f>72104709+2880000</f>
        <v>74984709</v>
      </c>
      <c r="C23" s="269">
        <f>+'1.sz.mell.'!D81+'1.sz.mell.'!D82</f>
        <v>76493741</v>
      </c>
      <c r="D23" s="276">
        <v>76000000</v>
      </c>
      <c r="E23" s="276">
        <v>76000000</v>
      </c>
      <c r="F23" s="277">
        <v>78000000</v>
      </c>
      <c r="G23" s="277">
        <v>78000000</v>
      </c>
      <c r="H23" s="278">
        <v>82000000</v>
      </c>
      <c r="I23" s="278">
        <v>82000000</v>
      </c>
    </row>
    <row r="24" spans="1:9" ht="15" customHeight="1">
      <c r="A24" s="150" t="s">
        <v>270</v>
      </c>
      <c r="B24" s="269">
        <v>9649634</v>
      </c>
      <c r="C24" s="269">
        <f>+'1.sz.mell.'!D79</f>
        <v>9649634</v>
      </c>
      <c r="D24" s="276">
        <v>0</v>
      </c>
      <c r="E24" s="276">
        <v>0</v>
      </c>
      <c r="F24" s="277">
        <v>0</v>
      </c>
      <c r="G24" s="277">
        <v>0</v>
      </c>
      <c r="H24" s="278">
        <v>0</v>
      </c>
      <c r="I24" s="278">
        <v>0</v>
      </c>
    </row>
    <row r="25" spans="1:9" ht="15" customHeight="1">
      <c r="A25" s="150" t="s">
        <v>524</v>
      </c>
      <c r="B25" s="269">
        <v>0</v>
      </c>
      <c r="C25" s="269">
        <f>+'1.sz.mell.'!D80</f>
        <v>743685</v>
      </c>
      <c r="D25" s="276">
        <v>523716</v>
      </c>
      <c r="E25" s="397">
        <v>523716</v>
      </c>
      <c r="F25" s="277">
        <v>550014</v>
      </c>
      <c r="G25" s="277">
        <v>550014</v>
      </c>
      <c r="H25" s="278">
        <v>528257</v>
      </c>
      <c r="I25" s="278">
        <v>528257</v>
      </c>
    </row>
    <row r="26" spans="1:9" ht="15" customHeight="1">
      <c r="A26" s="150" t="s">
        <v>86</v>
      </c>
      <c r="B26" s="269">
        <v>92103299</v>
      </c>
      <c r="C26" s="269">
        <f>+'1.sz.mell.'!D84+'1.sz.mell.'!D85</f>
        <v>67583132</v>
      </c>
      <c r="D26" s="276">
        <v>5000000</v>
      </c>
      <c r="E26" s="276">
        <v>5000000</v>
      </c>
      <c r="F26" s="277">
        <v>5000000</v>
      </c>
      <c r="G26" s="277">
        <v>5000000</v>
      </c>
      <c r="H26" s="278">
        <v>5000000</v>
      </c>
      <c r="I26" s="278">
        <v>5000000</v>
      </c>
    </row>
    <row r="27" spans="1:9" ht="15" customHeight="1" thickBot="1">
      <c r="A27" s="151" t="s">
        <v>59</v>
      </c>
      <c r="B27" s="270">
        <v>327448413</v>
      </c>
      <c r="C27" s="270">
        <f>+'1.sz.mell.'!D90</f>
        <v>353935730</v>
      </c>
      <c r="D27" s="279">
        <v>116500000</v>
      </c>
      <c r="E27" s="279">
        <v>116500000</v>
      </c>
      <c r="F27" s="280">
        <v>77200000</v>
      </c>
      <c r="G27" s="280">
        <v>77200000</v>
      </c>
      <c r="H27" s="281">
        <v>76000000</v>
      </c>
      <c r="I27" s="281">
        <v>76000000</v>
      </c>
    </row>
    <row r="28" spans="1:9" ht="15" customHeight="1" thickBot="1">
      <c r="A28" s="152" t="s">
        <v>147</v>
      </c>
      <c r="B28" s="271">
        <f>SUM(B18:B27)</f>
        <v>848895755</v>
      </c>
      <c r="C28" s="271">
        <f>SUM(C18:C27)</f>
        <v>1250790533</v>
      </c>
      <c r="D28" s="282">
        <f>SUM(D18:D27)</f>
        <v>565500000</v>
      </c>
      <c r="E28" s="282">
        <f t="shared" ref="E28:I28" si="1">SUM(E18:E27)</f>
        <v>565500000</v>
      </c>
      <c r="F28" s="282">
        <f t="shared" si="1"/>
        <v>534200000</v>
      </c>
      <c r="G28" s="282">
        <f t="shared" si="1"/>
        <v>534200000</v>
      </c>
      <c r="H28" s="282">
        <f t="shared" si="1"/>
        <v>539000000</v>
      </c>
      <c r="I28" s="282">
        <f t="shared" si="1"/>
        <v>539000000</v>
      </c>
    </row>
    <row r="29" spans="1:9" ht="30" customHeight="1">
      <c r="C29" s="272"/>
      <c r="D29" s="272"/>
      <c r="E29" s="272"/>
      <c r="F29" s="272"/>
      <c r="G29" s="272"/>
      <c r="H29" s="272"/>
    </row>
    <row r="35" spans="7:7">
      <c r="G35">
        <v>285158666</v>
      </c>
    </row>
    <row r="52" spans="4:17">
      <c r="D52">
        <f>SUM(D41:D51)</f>
        <v>0</v>
      </c>
      <c r="E52" s="398">
        <f>+'4a.sz.mell.'!E61</f>
        <v>56643024</v>
      </c>
    </row>
    <row r="54" spans="4:17">
      <c r="E54">
        <f>+D52+D54</f>
        <v>0</v>
      </c>
    </row>
    <row r="63" spans="4:17">
      <c r="Q63">
        <f>+O61+M61+K61+I61+G61+E61</f>
        <v>0</v>
      </c>
    </row>
    <row r="67" spans="16:16">
      <c r="P67" s="398">
        <f>+Q61-'4.sz.mell.'!Y61</f>
        <v>-1250790533</v>
      </c>
    </row>
  </sheetData>
  <mergeCells count="6">
    <mergeCell ref="A1:H1"/>
    <mergeCell ref="A3:H3"/>
    <mergeCell ref="B6:C6"/>
    <mergeCell ref="H6:I6"/>
    <mergeCell ref="F6:G6"/>
    <mergeCell ref="D6:E6"/>
  </mergeCells>
  <phoneticPr fontId="0" type="noConversion"/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Q67"/>
  <sheetViews>
    <sheetView view="pageBreakPreview" topLeftCell="A10" zoomScale="140" zoomScaleNormal="140" zoomScaleSheetLayoutView="140" workbookViewId="0">
      <selection activeCell="A3" sqref="A3:E3"/>
    </sheetView>
  </sheetViews>
  <sheetFormatPr defaultRowHeight="15.75"/>
  <cols>
    <col min="1" max="1" width="1" style="2" customWidth="1"/>
    <col min="2" max="2" width="42.5703125" style="2" customWidth="1"/>
    <col min="3" max="3" width="12.85546875" style="2" customWidth="1"/>
    <col min="4" max="4" width="15" style="2" customWidth="1"/>
    <col min="5" max="5" width="13.5703125" style="2" customWidth="1"/>
    <col min="6" max="6" width="15" style="2" customWidth="1"/>
    <col min="7" max="16384" width="9.140625" style="2"/>
  </cols>
  <sheetData>
    <row r="1" spans="1:17" ht="22.5" customHeight="1">
      <c r="A1" s="412" t="s">
        <v>537</v>
      </c>
      <c r="B1" s="412"/>
      <c r="C1" s="412"/>
      <c r="D1" s="412"/>
      <c r="E1" s="412"/>
      <c r="F1" s="1"/>
      <c r="G1" s="1"/>
    </row>
    <row r="2" spans="1:17">
      <c r="B2" s="3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2.25" customHeight="1">
      <c r="A3" s="420" t="s">
        <v>291</v>
      </c>
      <c r="B3" s="420"/>
      <c r="C3" s="420"/>
      <c r="D3" s="420"/>
      <c r="E3" s="420"/>
      <c r="F3" s="200"/>
      <c r="G3" s="159"/>
    </row>
    <row r="4" spans="1:17">
      <c r="B4" s="418"/>
      <c r="C4" s="418"/>
      <c r="D4" s="418"/>
      <c r="E4" s="418"/>
    </row>
    <row r="5" spans="1:17">
      <c r="C5" s="419" t="s">
        <v>253</v>
      </c>
      <c r="D5" s="419"/>
      <c r="E5" s="419"/>
    </row>
    <row r="6" spans="1:17" s="4" customFormat="1" ht="21" customHeight="1">
      <c r="B6" s="417" t="s">
        <v>0</v>
      </c>
      <c r="C6" s="417"/>
      <c r="D6" s="417"/>
      <c r="E6" s="417"/>
      <c r="F6" s="417"/>
    </row>
    <row r="7" spans="1:17" s="4" customFormat="1" ht="42" customHeight="1" thickBot="1">
      <c r="B7" s="196" t="s">
        <v>1</v>
      </c>
      <c r="C7" s="198" t="s">
        <v>173</v>
      </c>
      <c r="D7" s="197" t="s">
        <v>254</v>
      </c>
      <c r="E7" s="197" t="s">
        <v>292</v>
      </c>
      <c r="F7" s="197" t="s">
        <v>362</v>
      </c>
    </row>
    <row r="8" spans="1:17" s="4" customFormat="1" ht="15" customHeight="1">
      <c r="B8" s="5" t="s">
        <v>2</v>
      </c>
      <c r="C8" s="206">
        <v>45765000</v>
      </c>
      <c r="D8" s="206">
        <v>37599000</v>
      </c>
      <c r="E8" s="206">
        <v>51891000</v>
      </c>
      <c r="F8" s="206">
        <f>+'1.sz.mell.'!D53</f>
        <v>56325024</v>
      </c>
    </row>
    <row r="9" spans="1:17" s="4" customFormat="1" ht="15" customHeight="1">
      <c r="B9" s="6" t="s">
        <v>257</v>
      </c>
      <c r="C9" s="207">
        <v>30400000</v>
      </c>
      <c r="D9" s="207">
        <v>42850000</v>
      </c>
      <c r="E9" s="207">
        <v>59270000</v>
      </c>
      <c r="F9" s="207">
        <f>+'1.sz.mell.'!D41</f>
        <v>59270000</v>
      </c>
    </row>
    <row r="10" spans="1:17" s="4" customFormat="1" ht="15" customHeight="1">
      <c r="B10" s="7" t="s">
        <v>252</v>
      </c>
      <c r="C10" s="208">
        <v>282130000</v>
      </c>
      <c r="D10" s="208">
        <v>277309685</v>
      </c>
      <c r="E10" s="328">
        <f>268051083+318000</f>
        <v>268369083</v>
      </c>
      <c r="F10" s="328">
        <f>+'1.sz.mell.'!D24+'1.sz.mell.'!D55</f>
        <v>285476666</v>
      </c>
    </row>
    <row r="11" spans="1:17" s="4" customFormat="1" ht="15" customHeight="1">
      <c r="B11" s="7" t="s">
        <v>259</v>
      </c>
      <c r="C11" s="208">
        <v>47369000</v>
      </c>
      <c r="D11" s="208">
        <v>33400115</v>
      </c>
      <c r="E11" s="328">
        <f>24579725</f>
        <v>24579725</v>
      </c>
      <c r="F11" s="328">
        <f>+'1.sz.mell.'!D34</f>
        <v>86483925</v>
      </c>
    </row>
    <row r="12" spans="1:17" s="4" customFormat="1" ht="15" customHeight="1">
      <c r="B12" s="7" t="s">
        <v>3</v>
      </c>
      <c r="C12" s="208">
        <v>11819000</v>
      </c>
      <c r="D12" s="208">
        <v>12600000</v>
      </c>
      <c r="E12" s="208">
        <v>13848000</v>
      </c>
      <c r="F12" s="208">
        <f>+'1.sz.mell.'!D25</f>
        <v>13848000</v>
      </c>
    </row>
    <row r="13" spans="1:17" s="4" customFormat="1" ht="15" customHeight="1">
      <c r="B13" s="8" t="s">
        <v>4</v>
      </c>
      <c r="C13" s="209">
        <v>34310000</v>
      </c>
      <c r="D13" s="209">
        <v>47523000</v>
      </c>
      <c r="E13" s="209">
        <v>81549342</v>
      </c>
      <c r="F13" s="209">
        <f>165579828-F23</f>
        <v>81626457</v>
      </c>
    </row>
    <row r="14" spans="1:17" s="4" customFormat="1" ht="15" customHeight="1">
      <c r="B14" s="8" t="s">
        <v>284</v>
      </c>
      <c r="C14" s="209">
        <v>0</v>
      </c>
      <c r="D14" s="209">
        <v>0</v>
      </c>
      <c r="E14" s="209">
        <v>0</v>
      </c>
      <c r="F14" s="209">
        <v>0</v>
      </c>
      <c r="I14" s="4">
        <v>735603</v>
      </c>
    </row>
    <row r="15" spans="1:17" s="4" customFormat="1" ht="15" customHeight="1" thickBot="1">
      <c r="B15" s="8" t="s">
        <v>5</v>
      </c>
      <c r="C15" s="209">
        <v>0</v>
      </c>
      <c r="D15" s="209">
        <v>0</v>
      </c>
      <c r="E15" s="209">
        <v>0</v>
      </c>
      <c r="F15" s="209">
        <v>0</v>
      </c>
    </row>
    <row r="16" spans="1:17" s="9" customFormat="1" ht="15" customHeight="1" thickBot="1">
      <c r="B16" s="10" t="s">
        <v>6</v>
      </c>
      <c r="C16" s="210">
        <f>C8+C9+C10+C11+C13+C15</f>
        <v>439974000</v>
      </c>
      <c r="D16" s="210">
        <f>D8+D9+D10+D11+D13+D15</f>
        <v>438681800</v>
      </c>
      <c r="E16" s="210">
        <f>E8+E9+E10+E11+E13+E15</f>
        <v>485659150</v>
      </c>
      <c r="F16" s="210">
        <f>F8+F9+F10+F11+F13+F15</f>
        <v>569182072</v>
      </c>
    </row>
    <row r="17" spans="2:6" s="4" customFormat="1" ht="15" customHeight="1">
      <c r="B17" s="11" t="s">
        <v>7</v>
      </c>
      <c r="C17" s="206">
        <v>0</v>
      </c>
      <c r="D17" s="206">
        <v>1500000</v>
      </c>
      <c r="E17" s="206">
        <v>0</v>
      </c>
      <c r="F17" s="206">
        <v>0</v>
      </c>
    </row>
    <row r="18" spans="2:6" s="4" customFormat="1" ht="15" customHeight="1">
      <c r="B18" s="7" t="s">
        <v>8</v>
      </c>
      <c r="C18" s="207">
        <v>0</v>
      </c>
      <c r="D18" s="207">
        <v>0</v>
      </c>
      <c r="E18" s="207">
        <v>0</v>
      </c>
      <c r="F18" s="207">
        <v>0</v>
      </c>
    </row>
    <row r="19" spans="2:6" s="4" customFormat="1" ht="15" customHeight="1">
      <c r="B19" s="7" t="s">
        <v>9</v>
      </c>
      <c r="C19" s="208">
        <v>0</v>
      </c>
      <c r="D19" s="208">
        <v>60200000</v>
      </c>
      <c r="E19" s="208"/>
      <c r="F19" s="208"/>
    </row>
    <row r="20" spans="2:6" s="4" customFormat="1" ht="15" customHeight="1">
      <c r="B20" s="7" t="s">
        <v>10</v>
      </c>
      <c r="C20" s="208">
        <v>0</v>
      </c>
      <c r="D20" s="208">
        <v>0</v>
      </c>
      <c r="E20" s="208">
        <f>246525100+32758134</f>
        <v>279283234</v>
      </c>
      <c r="F20" s="208">
        <f>+'1.sz.mell.'!D64</f>
        <v>315960821</v>
      </c>
    </row>
    <row r="21" spans="2:6" s="4" customFormat="1" ht="15" customHeight="1">
      <c r="B21" s="7" t="s">
        <v>11</v>
      </c>
      <c r="C21" s="208">
        <v>700000</v>
      </c>
      <c r="D21" s="208">
        <v>200000</v>
      </c>
      <c r="E21" s="208">
        <v>0</v>
      </c>
      <c r="F21" s="208">
        <v>0</v>
      </c>
    </row>
    <row r="22" spans="2:6" s="4" customFormat="1" ht="15" customHeight="1">
      <c r="B22" s="7" t="s">
        <v>12</v>
      </c>
      <c r="C22" s="208">
        <v>0</v>
      </c>
      <c r="D22" s="208">
        <v>0</v>
      </c>
      <c r="E22" s="208">
        <v>0</v>
      </c>
      <c r="F22" s="208">
        <v>0</v>
      </c>
    </row>
    <row r="23" spans="2:6" s="4" customFormat="1" ht="15" customHeight="1" thickBot="1">
      <c r="B23" s="8" t="s">
        <v>13</v>
      </c>
      <c r="C23" s="209">
        <v>91476000</v>
      </c>
      <c r="D23" s="209">
        <v>23480000</v>
      </c>
      <c r="E23" s="209">
        <v>83953371</v>
      </c>
      <c r="F23" s="209">
        <v>83953371</v>
      </c>
    </row>
    <row r="24" spans="2:6" s="9" customFormat="1" ht="15" customHeight="1" thickBot="1">
      <c r="B24" s="10" t="s">
        <v>14</v>
      </c>
      <c r="C24" s="211">
        <f>SUM(C17:C23)</f>
        <v>92176000</v>
      </c>
      <c r="D24" s="210">
        <f>SUM(D17:D23)</f>
        <v>85380000</v>
      </c>
      <c r="E24" s="210">
        <f>SUM(E17:E23)</f>
        <v>363236605</v>
      </c>
      <c r="F24" s="210">
        <f>SUM(F17:F23)</f>
        <v>399914192</v>
      </c>
    </row>
    <row r="25" spans="2:6" s="9" customFormat="1" ht="15" customHeight="1" thickBot="1">
      <c r="B25" s="12" t="s">
        <v>15</v>
      </c>
      <c r="C25" s="212">
        <f>SUM(C16,C24)</f>
        <v>532150000</v>
      </c>
      <c r="D25" s="212">
        <f>SUM(D16,D24)</f>
        <v>524061800</v>
      </c>
      <c r="E25" s="212">
        <f>+E24+E16</f>
        <v>848895755</v>
      </c>
      <c r="F25" s="212">
        <f>+F24+F16</f>
        <v>969096264</v>
      </c>
    </row>
    <row r="26" spans="2:6" s="9" customFormat="1" ht="15" customHeight="1">
      <c r="C26" s="195"/>
      <c r="D26" s="195"/>
      <c r="E26" s="195"/>
    </row>
    <row r="27" spans="2:6" s="4" customFormat="1" ht="15" customHeight="1"/>
    <row r="28" spans="2:6" s="4" customFormat="1" ht="15" customHeight="1">
      <c r="C28" s="419" t="s">
        <v>258</v>
      </c>
      <c r="D28" s="419"/>
      <c r="E28" s="419"/>
    </row>
    <row r="29" spans="2:6" s="4" customFormat="1" ht="21" customHeight="1">
      <c r="B29" s="417" t="s">
        <v>16</v>
      </c>
      <c r="C29" s="417"/>
      <c r="D29" s="417"/>
      <c r="E29" s="417"/>
      <c r="F29" s="417"/>
    </row>
    <row r="30" spans="2:6" s="4" customFormat="1" ht="39" thickBot="1">
      <c r="B30" s="196" t="s">
        <v>1</v>
      </c>
      <c r="C30" s="198" t="s">
        <v>173</v>
      </c>
      <c r="D30" s="197" t="s">
        <v>254</v>
      </c>
      <c r="E30" s="197" t="s">
        <v>292</v>
      </c>
      <c r="F30" s="197" t="s">
        <v>363</v>
      </c>
    </row>
    <row r="31" spans="2:6" s="4" customFormat="1" ht="15" customHeight="1">
      <c r="B31" s="5" t="s">
        <v>17</v>
      </c>
      <c r="C31" s="213">
        <v>174534000</v>
      </c>
      <c r="D31" s="213">
        <v>168006000</v>
      </c>
      <c r="E31" s="213">
        <v>172604200</v>
      </c>
      <c r="F31" s="213">
        <f>+'4.sz.mell.'!E61</f>
        <v>242789754</v>
      </c>
    </row>
    <row r="32" spans="2:6" s="4" customFormat="1" ht="15" customHeight="1">
      <c r="B32" s="7" t="s">
        <v>18</v>
      </c>
      <c r="C32" s="214">
        <v>41100000</v>
      </c>
      <c r="D32" s="214">
        <v>35676000</v>
      </c>
      <c r="E32" s="214">
        <v>32695500</v>
      </c>
      <c r="F32" s="214">
        <f>+'4.sz.mell.'!G61</f>
        <v>328210111</v>
      </c>
    </row>
    <row r="33" spans="2:7" s="4" customFormat="1" ht="15" customHeight="1">
      <c r="B33" s="7" t="s">
        <v>19</v>
      </c>
      <c r="C33" s="214">
        <v>136780000</v>
      </c>
      <c r="D33" s="214">
        <v>135888000</v>
      </c>
      <c r="E33" s="214">
        <v>135629000</v>
      </c>
      <c r="F33" s="214">
        <f>+'4.sz.mell.'!I61</f>
        <v>166475275</v>
      </c>
    </row>
    <row r="34" spans="2:7" s="4" customFormat="1" ht="15" customHeight="1">
      <c r="B34" s="7" t="s">
        <v>20</v>
      </c>
      <c r="C34" s="214">
        <v>75660000</v>
      </c>
      <c r="D34" s="214">
        <v>74910000</v>
      </c>
      <c r="E34" s="214">
        <f>72104709+2880000</f>
        <v>74984709</v>
      </c>
      <c r="F34" s="214">
        <f>+'1.sz.mell.'!D81+'1.sz.mell.'!D82</f>
        <v>76493741</v>
      </c>
    </row>
    <row r="35" spans="2:7" s="4" customFormat="1" ht="15" customHeight="1">
      <c r="B35" s="8" t="s">
        <v>255</v>
      </c>
      <c r="C35" s="214">
        <v>6900000</v>
      </c>
      <c r="D35" s="214">
        <v>3000000</v>
      </c>
      <c r="E35" s="214">
        <v>3781000</v>
      </c>
      <c r="F35" s="214">
        <f>+'4.sz.mell.'!M61</f>
        <v>4878145</v>
      </c>
      <c r="G35" s="4">
        <v>285158666</v>
      </c>
    </row>
    <row r="36" spans="2:7" s="4" customFormat="1" ht="15" customHeight="1">
      <c r="B36" s="8" t="s">
        <v>515</v>
      </c>
      <c r="C36" s="215">
        <v>0</v>
      </c>
      <c r="D36" s="215">
        <v>0</v>
      </c>
      <c r="E36" s="215">
        <v>0</v>
      </c>
      <c r="F36" s="215">
        <f>+'1.sz.mell.'!D78</f>
        <v>31326</v>
      </c>
    </row>
    <row r="37" spans="2:7" s="4" customFormat="1" ht="15" customHeight="1">
      <c r="B37" s="8" t="s">
        <v>256</v>
      </c>
      <c r="C37" s="215">
        <v>0</v>
      </c>
      <c r="D37" s="215">
        <v>9097933</v>
      </c>
      <c r="E37" s="215">
        <v>9649634</v>
      </c>
      <c r="F37" s="215">
        <f>+'4.sz.mell.'!Q61</f>
        <v>9649634</v>
      </c>
    </row>
    <row r="38" spans="2:7" s="4" customFormat="1" ht="15" customHeight="1">
      <c r="B38" s="8" t="s">
        <v>516</v>
      </c>
      <c r="C38" s="215">
        <v>0</v>
      </c>
      <c r="D38" s="215">
        <v>0</v>
      </c>
      <c r="E38" s="215">
        <v>0</v>
      </c>
      <c r="F38" s="215">
        <f>+'1.sz.mell.'!D80</f>
        <v>743685</v>
      </c>
    </row>
    <row r="39" spans="2:7" s="4" customFormat="1" ht="15" customHeight="1">
      <c r="B39" s="8" t="s">
        <v>21</v>
      </c>
      <c r="C39" s="215">
        <v>2500000</v>
      </c>
      <c r="D39" s="215">
        <v>2000000</v>
      </c>
      <c r="E39" s="215">
        <v>1415952</v>
      </c>
      <c r="F39" s="215">
        <f>+'1.sz.mell.'!D84</f>
        <v>99540</v>
      </c>
    </row>
    <row r="40" spans="2:7" s="4" customFormat="1" ht="15" customHeight="1" thickBot="1">
      <c r="B40" s="8" t="s">
        <v>22</v>
      </c>
      <c r="C40" s="216">
        <v>2500000</v>
      </c>
      <c r="D40" s="216">
        <v>1000867</v>
      </c>
      <c r="E40" s="216">
        <v>90687347</v>
      </c>
      <c r="F40" s="216">
        <f>+'1.sz.mell.'!D85</f>
        <v>67483592</v>
      </c>
    </row>
    <row r="41" spans="2:7" s="4" customFormat="1" ht="15" customHeight="1" thickBot="1">
      <c r="B41" s="10" t="s">
        <v>23</v>
      </c>
      <c r="C41" s="217">
        <f>SUM(C31:C40)</f>
        <v>439974000</v>
      </c>
      <c r="D41" s="217">
        <f>SUM(D31:D40)</f>
        <v>429578800</v>
      </c>
      <c r="E41" s="217">
        <f>SUM(E31:E40)</f>
        <v>521447342</v>
      </c>
      <c r="F41" s="217">
        <f>SUM(F31:F40)</f>
        <v>896854803</v>
      </c>
    </row>
    <row r="42" spans="2:7" s="4" customFormat="1" ht="15" customHeight="1">
      <c r="B42" s="5" t="s">
        <v>24</v>
      </c>
      <c r="C42" s="213">
        <v>41974000</v>
      </c>
      <c r="D42" s="213">
        <v>86864000</v>
      </c>
      <c r="E42" s="213">
        <v>50435066</v>
      </c>
      <c r="F42" s="213">
        <f>+'4.sz.mell.'!W61</f>
        <v>95701905</v>
      </c>
    </row>
    <row r="43" spans="2:7" s="4" customFormat="1" ht="15" customHeight="1">
      <c r="B43" s="7" t="s">
        <v>236</v>
      </c>
      <c r="C43" s="214">
        <v>4186000</v>
      </c>
      <c r="D43" s="214">
        <v>7619000</v>
      </c>
      <c r="E43" s="214">
        <v>277013347</v>
      </c>
      <c r="F43" s="214">
        <f>+'4.sz.mell.'!U61</f>
        <v>258233825</v>
      </c>
    </row>
    <row r="44" spans="2:7" s="4" customFormat="1" ht="15" customHeight="1" thickBot="1">
      <c r="B44" s="8" t="s">
        <v>235</v>
      </c>
      <c r="C44" s="215">
        <v>46016000</v>
      </c>
      <c r="D44" s="215">
        <v>0</v>
      </c>
      <c r="E44" s="215">
        <v>0</v>
      </c>
      <c r="F44" s="215">
        <v>0</v>
      </c>
    </row>
    <row r="45" spans="2:7" s="4" customFormat="1" ht="15" customHeight="1" thickBot="1">
      <c r="B45" s="10" t="s">
        <v>25</v>
      </c>
      <c r="C45" s="217">
        <f>SUM(C42:C44)</f>
        <v>92176000</v>
      </c>
      <c r="D45" s="217">
        <f>SUM(D42:D44)</f>
        <v>94483000</v>
      </c>
      <c r="E45" s="217">
        <f>SUM(E42:E44)</f>
        <v>327448413</v>
      </c>
      <c r="F45" s="217">
        <f>SUM(F42:F44)</f>
        <v>353935730</v>
      </c>
    </row>
    <row r="46" spans="2:7" s="9" customFormat="1" ht="18.75" customHeight="1" thickBot="1">
      <c r="B46" s="12" t="s">
        <v>26</v>
      </c>
      <c r="C46" s="212">
        <f>SUM(C41,C45)</f>
        <v>532150000</v>
      </c>
      <c r="D46" s="212">
        <f>SUM(D41,D45)</f>
        <v>524061800</v>
      </c>
      <c r="E46" s="212">
        <f>SUM(E41,E45)</f>
        <v>848895755</v>
      </c>
      <c r="F46" s="212">
        <f>SUM(F41,F45)</f>
        <v>1250790533</v>
      </c>
    </row>
    <row r="47" spans="2:7">
      <c r="F47" s="392"/>
    </row>
    <row r="52" spans="4:17">
      <c r="D52" s="392">
        <f>SUM(D41:D51)</f>
        <v>1142606600</v>
      </c>
      <c r="E52" s="392">
        <f>+'4a.sz.mell.'!E61</f>
        <v>56643024</v>
      </c>
    </row>
    <row r="54" spans="4:17">
      <c r="E54" s="2">
        <f>+D52+D54</f>
        <v>1142606600</v>
      </c>
    </row>
    <row r="63" spans="4:17">
      <c r="Q63" s="2">
        <f>+O61+M61+K61+I61+G61+E61</f>
        <v>0</v>
      </c>
    </row>
    <row r="67" spans="16:16">
      <c r="P67" s="392">
        <f>+Q61-'4.sz.mell.'!Y61</f>
        <v>-1250790533</v>
      </c>
    </row>
  </sheetData>
  <mergeCells count="7">
    <mergeCell ref="B29:F29"/>
    <mergeCell ref="B6:F6"/>
    <mergeCell ref="A1:E1"/>
    <mergeCell ref="B4:E4"/>
    <mergeCell ref="C5:E5"/>
    <mergeCell ref="C28:E28"/>
    <mergeCell ref="A3:E3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U67"/>
  <sheetViews>
    <sheetView view="pageBreakPreview" zoomScaleNormal="100" zoomScaleSheetLayoutView="100" workbookViewId="0">
      <selection activeCell="A4" sqref="A4:N4"/>
    </sheetView>
  </sheetViews>
  <sheetFormatPr defaultRowHeight="15"/>
  <cols>
    <col min="1" max="1" width="4.140625" style="26" bestFit="1" customWidth="1"/>
    <col min="2" max="2" width="40" style="26" customWidth="1"/>
    <col min="3" max="4" width="12.42578125" style="20" bestFit="1" customWidth="1"/>
    <col min="5" max="5" width="11.28515625" style="20" bestFit="1" customWidth="1"/>
    <col min="6" max="8" width="12.42578125" style="20" bestFit="1" customWidth="1"/>
    <col min="9" max="9" width="11.28515625" style="20" bestFit="1" customWidth="1"/>
    <col min="10" max="11" width="12.42578125" style="20" bestFit="1" customWidth="1"/>
    <col min="12" max="12" width="14" style="20" bestFit="1" customWidth="1"/>
    <col min="13" max="13" width="12.42578125" style="20" bestFit="1" customWidth="1"/>
    <col min="14" max="14" width="14" style="20" bestFit="1" customWidth="1"/>
    <col min="15" max="15" width="10.85546875" style="20" bestFit="1" customWidth="1"/>
    <col min="16" max="16" width="14" style="20" bestFit="1" customWidth="1"/>
    <col min="17" max="17" width="10.85546875" style="20" bestFit="1" customWidth="1"/>
    <col min="18" max="18" width="13.140625" style="20" bestFit="1" customWidth="1"/>
    <col min="19" max="19" width="16.42578125" style="20" customWidth="1"/>
    <col min="20" max="20" width="14.85546875" style="20" customWidth="1"/>
    <col min="21" max="21" width="13.140625" style="20" customWidth="1"/>
    <col min="22" max="22" width="12.28515625" style="20" customWidth="1"/>
    <col min="23" max="23" width="8.42578125" style="20" bestFit="1" customWidth="1"/>
    <col min="24" max="25" width="8.42578125" style="20" customWidth="1"/>
    <col min="26" max="26" width="8.85546875" style="20" bestFit="1" customWidth="1"/>
    <col min="27" max="28" width="8.42578125" style="20" customWidth="1"/>
    <col min="29" max="29" width="8.85546875" style="20" bestFit="1" customWidth="1"/>
    <col min="30" max="31" width="8.42578125" style="20" customWidth="1"/>
    <col min="32" max="32" width="8.42578125" style="20" bestFit="1" customWidth="1"/>
    <col min="33" max="34" width="8.42578125" style="20" customWidth="1"/>
    <col min="35" max="35" width="8.42578125" style="20" bestFit="1" customWidth="1"/>
    <col min="36" max="37" width="8.42578125" style="20" customWidth="1"/>
    <col min="38" max="38" width="8.85546875" style="20" bestFit="1" customWidth="1"/>
    <col min="39" max="16384" width="9.140625" style="14"/>
  </cols>
  <sheetData>
    <row r="1" spans="1:45" ht="15" customHeight="1">
      <c r="A1" s="412" t="s">
        <v>538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34"/>
      <c r="Q1" s="27"/>
      <c r="R1" s="27"/>
      <c r="S1" s="27"/>
      <c r="T1" s="27"/>
      <c r="U1" s="27"/>
      <c r="V1" s="27"/>
      <c r="W1" s="27"/>
      <c r="X1" s="27"/>
      <c r="Y1" s="27"/>
      <c r="Z1" s="27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45" ht="30.75" customHeight="1">
      <c r="A2" s="435" t="s">
        <v>293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76"/>
      <c r="R2" s="76"/>
      <c r="S2" s="76"/>
      <c r="T2" s="15"/>
      <c r="U2" s="15"/>
      <c r="V2" s="15"/>
      <c r="W2" s="15"/>
      <c r="X2" s="15"/>
      <c r="Y2" s="15"/>
      <c r="Z2" s="15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5" ht="15.75" thickBot="1">
      <c r="A3" s="17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1" t="s">
        <v>253</v>
      </c>
      <c r="O3" s="19"/>
      <c r="P3" s="19"/>
      <c r="R3" s="19"/>
      <c r="S3" s="19"/>
      <c r="T3" s="19"/>
      <c r="U3" s="19"/>
      <c r="V3" s="19"/>
      <c r="W3" s="19"/>
      <c r="X3" s="19"/>
      <c r="AM3" s="20"/>
      <c r="AN3" s="20"/>
      <c r="AO3" s="20"/>
      <c r="AP3" s="20"/>
      <c r="AQ3" s="20"/>
    </row>
    <row r="4" spans="1:45" ht="24.6" customHeight="1" thickBot="1">
      <c r="A4" s="429" t="s">
        <v>27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1"/>
      <c r="O4" s="218"/>
      <c r="U4" s="21"/>
      <c r="V4" s="21"/>
      <c r="W4" s="21"/>
      <c r="X4" s="21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spans="1:45" ht="103.15" customHeight="1" thickBot="1">
      <c r="A5" s="436" t="s">
        <v>29</v>
      </c>
      <c r="B5" s="436"/>
      <c r="C5" s="427" t="s">
        <v>30</v>
      </c>
      <c r="D5" s="428"/>
      <c r="E5" s="427" t="s">
        <v>31</v>
      </c>
      <c r="F5" s="428"/>
      <c r="G5" s="427" t="s">
        <v>32</v>
      </c>
      <c r="H5" s="428"/>
      <c r="I5" s="427" t="s">
        <v>517</v>
      </c>
      <c r="J5" s="428"/>
      <c r="K5" s="425" t="s">
        <v>174</v>
      </c>
      <c r="L5" s="426"/>
      <c r="M5" s="427" t="s">
        <v>161</v>
      </c>
      <c r="N5" s="428"/>
      <c r="O5" s="427" t="s">
        <v>365</v>
      </c>
      <c r="P5" s="428"/>
      <c r="Q5" s="427" t="s">
        <v>519</v>
      </c>
      <c r="R5" s="428"/>
      <c r="X5" s="22"/>
      <c r="Y5" s="22"/>
      <c r="Z5" s="22"/>
      <c r="AA5" s="22"/>
      <c r="AB5" s="22"/>
      <c r="AC5" s="22"/>
      <c r="AD5" s="22"/>
      <c r="AE5" s="22"/>
      <c r="AF5" s="22"/>
      <c r="AG5" s="432"/>
      <c r="AH5" s="432"/>
      <c r="AI5" s="432"/>
      <c r="AJ5" s="23"/>
      <c r="AK5" s="23"/>
      <c r="AL5" s="23"/>
    </row>
    <row r="6" spans="1:45" ht="36" customHeight="1" thickBot="1">
      <c r="A6" s="162" t="s">
        <v>36</v>
      </c>
      <c r="B6" s="163"/>
      <c r="C6" s="343" t="s">
        <v>37</v>
      </c>
      <c r="D6" s="343" t="s">
        <v>364</v>
      </c>
      <c r="E6" s="343" t="s">
        <v>37</v>
      </c>
      <c r="F6" s="343" t="s">
        <v>364</v>
      </c>
      <c r="G6" s="343" t="s">
        <v>37</v>
      </c>
      <c r="H6" s="343" t="s">
        <v>364</v>
      </c>
      <c r="I6" s="335" t="s">
        <v>37</v>
      </c>
      <c r="J6" s="343" t="s">
        <v>364</v>
      </c>
      <c r="K6" s="173" t="s">
        <v>176</v>
      </c>
      <c r="L6" s="173" t="s">
        <v>364</v>
      </c>
      <c r="M6" s="343" t="s">
        <v>37</v>
      </c>
      <c r="N6" s="173" t="s">
        <v>364</v>
      </c>
      <c r="O6" s="343" t="s">
        <v>37</v>
      </c>
      <c r="P6" s="173" t="s">
        <v>364</v>
      </c>
      <c r="Q6" s="171" t="s">
        <v>177</v>
      </c>
      <c r="R6" s="171" t="s">
        <v>364</v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14"/>
    </row>
    <row r="7" spans="1:45" s="365" customFormat="1" ht="30" customHeight="1" thickBot="1">
      <c r="A7" s="345" t="s">
        <v>38</v>
      </c>
      <c r="B7" s="364" t="s">
        <v>148</v>
      </c>
      <c r="C7" s="344">
        <v>31495000</v>
      </c>
      <c r="D7" s="344">
        <f>+'4a.sz.mell.'!E37</f>
        <v>33573115</v>
      </c>
      <c r="E7" s="344">
        <v>59200000</v>
      </c>
      <c r="F7" s="344">
        <f>+'4a.sz.mell.'!O37</f>
        <v>59200000</v>
      </c>
      <c r="G7" s="344">
        <v>323301598</v>
      </c>
      <c r="H7" s="344">
        <f>+'4a.sz.mell.'!G37</f>
        <v>366518898</v>
      </c>
      <c r="I7" s="346">
        <v>0</v>
      </c>
      <c r="J7" s="346">
        <v>0</v>
      </c>
      <c r="K7" s="366">
        <v>0</v>
      </c>
      <c r="L7" s="366">
        <f>+'4a.sz.mell.'!M37</f>
        <v>0</v>
      </c>
      <c r="M7" s="344">
        <v>163821551</v>
      </c>
      <c r="N7" s="344">
        <f>+'4a.sz.mell.'!K37</f>
        <v>163927016</v>
      </c>
      <c r="O7" s="361">
        <f>+M7+K7+I7+G7+E7+C7</f>
        <v>577818149</v>
      </c>
      <c r="P7" s="361">
        <f>+D7+F7+H7+J7+L7+N7</f>
        <v>623219029</v>
      </c>
      <c r="Q7" s="371">
        <f>+O7-K7</f>
        <v>577818149</v>
      </c>
      <c r="R7" s="371">
        <f>+P7-L7</f>
        <v>623219029</v>
      </c>
      <c r="S7" s="20"/>
      <c r="T7" s="20"/>
      <c r="U7" s="20"/>
      <c r="V7" s="20"/>
      <c r="W7" s="20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4"/>
      <c r="AJ7" s="24"/>
      <c r="AK7" s="24"/>
    </row>
    <row r="8" spans="1:45" s="365" customFormat="1" ht="30" customHeight="1" thickBot="1">
      <c r="A8" s="345" t="s">
        <v>39</v>
      </c>
      <c r="B8" s="364" t="s">
        <v>40</v>
      </c>
      <c r="C8" s="344">
        <v>1000000</v>
      </c>
      <c r="D8" s="344">
        <f>+'4a.sz.mell.'!E43</f>
        <v>1028350</v>
      </c>
      <c r="E8" s="344">
        <v>70000</v>
      </c>
      <c r="F8" s="344">
        <f>+'4a.sz.mell.'!N43</f>
        <v>70000</v>
      </c>
      <c r="G8" s="344">
        <v>954210</v>
      </c>
      <c r="H8" s="344">
        <f>+'4a.sz.mell.'!G43</f>
        <v>2323693</v>
      </c>
      <c r="I8" s="346">
        <v>0</v>
      </c>
      <c r="J8" s="346">
        <v>0</v>
      </c>
      <c r="K8" s="366">
        <v>81780606</v>
      </c>
      <c r="L8" s="366">
        <f>+'4a.sz.mell.'!M43</f>
        <v>99884349</v>
      </c>
      <c r="M8" s="344">
        <v>210184</v>
      </c>
      <c r="N8" s="344">
        <f>+'4a.sz.mell.'!K43</f>
        <v>181834</v>
      </c>
      <c r="O8" s="361">
        <f>+M8+K8+I8+G8+E8+C8</f>
        <v>84015000</v>
      </c>
      <c r="P8" s="361">
        <f>+D8+F8+H8+J8+L8+N8</f>
        <v>103488226</v>
      </c>
      <c r="Q8" s="371">
        <f t="shared" ref="Q8:Q11" si="0">+O8-K8</f>
        <v>2234394</v>
      </c>
      <c r="R8" s="371">
        <f t="shared" ref="R8:R11" si="1">+P8-L8</f>
        <v>3603877</v>
      </c>
      <c r="S8" s="20"/>
      <c r="T8" s="20"/>
      <c r="U8" s="20"/>
      <c r="V8" s="20"/>
      <c r="W8" s="20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4"/>
      <c r="AJ8" s="24"/>
      <c r="AK8" s="24"/>
    </row>
    <row r="9" spans="1:45" s="365" customFormat="1" ht="30" customHeight="1" thickBot="1">
      <c r="A9" s="345" t="s">
        <v>41</v>
      </c>
      <c r="B9" s="364" t="s">
        <v>157</v>
      </c>
      <c r="C9" s="344">
        <v>280000</v>
      </c>
      <c r="D9" s="344">
        <f>+'4a.sz.mell.'!E46</f>
        <v>696000</v>
      </c>
      <c r="E9" s="344">
        <v>0</v>
      </c>
      <c r="F9" s="344">
        <f>+'4a.sz.mell.'!O46</f>
        <v>0</v>
      </c>
      <c r="G9" s="344">
        <v>0</v>
      </c>
      <c r="H9" s="344">
        <f>+'4a.sz.mell.'!G46</f>
        <v>0</v>
      </c>
      <c r="I9" s="346">
        <v>0</v>
      </c>
      <c r="J9" s="346">
        <v>0</v>
      </c>
      <c r="K9" s="366">
        <v>14388813</v>
      </c>
      <c r="L9" s="366">
        <f>+'4a.sz.mell.'!M46</f>
        <v>14388813</v>
      </c>
      <c r="M9" s="344">
        <v>126187</v>
      </c>
      <c r="N9" s="344">
        <f>+'4a.sz.mell.'!K46</f>
        <v>126187</v>
      </c>
      <c r="O9" s="361">
        <f>+M9+K9+I9+G9+E9+C9</f>
        <v>14795000</v>
      </c>
      <c r="P9" s="361">
        <f>+D9+F9+H9+J9+L9+N9</f>
        <v>15211000</v>
      </c>
      <c r="Q9" s="371">
        <f t="shared" si="0"/>
        <v>406187</v>
      </c>
      <c r="R9" s="371">
        <f t="shared" si="1"/>
        <v>822187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4"/>
      <c r="AJ9" s="24"/>
      <c r="AK9" s="24"/>
    </row>
    <row r="10" spans="1:45" s="365" customFormat="1" ht="30" customHeight="1" thickBot="1">
      <c r="A10" s="345" t="s">
        <v>43</v>
      </c>
      <c r="B10" s="364" t="s">
        <v>158</v>
      </c>
      <c r="C10" s="344">
        <v>140000</v>
      </c>
      <c r="D10" s="344">
        <f>+'4a.sz.mell.'!E50</f>
        <v>140000</v>
      </c>
      <c r="E10" s="344">
        <v>0</v>
      </c>
      <c r="F10" s="344">
        <f>+'4a.sz.mell.'!O50</f>
        <v>0</v>
      </c>
      <c r="G10" s="344">
        <v>2800000</v>
      </c>
      <c r="H10" s="344">
        <f>+'4a.sz.mell.'!G50</f>
        <v>2800000</v>
      </c>
      <c r="I10" s="346">
        <v>0</v>
      </c>
      <c r="J10" s="346">
        <v>0</v>
      </c>
      <c r="K10" s="366">
        <v>3125119</v>
      </c>
      <c r="L10" s="366">
        <f>+'4a.sz.mell.'!M50</f>
        <v>3125119</v>
      </c>
      <c r="M10" s="344">
        <v>775581</v>
      </c>
      <c r="N10" s="344">
        <f>+'4a.sz.mell.'!K50</f>
        <v>775581</v>
      </c>
      <c r="O10" s="361">
        <f>+M10+K10+I10+G10+E10+C10</f>
        <v>6840700</v>
      </c>
      <c r="P10" s="361">
        <f>+D10+F10+H10+J10+L10+N10</f>
        <v>6840700</v>
      </c>
      <c r="Q10" s="371">
        <f t="shared" si="0"/>
        <v>3715581</v>
      </c>
      <c r="R10" s="371">
        <f t="shared" si="1"/>
        <v>3715581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4"/>
      <c r="AJ10" s="24"/>
      <c r="AK10" s="24"/>
    </row>
    <row r="11" spans="1:45" s="365" customFormat="1" ht="30" customHeight="1" thickBot="1">
      <c r="A11" s="345" t="s">
        <v>155</v>
      </c>
      <c r="B11" s="344" t="s">
        <v>162</v>
      </c>
      <c r="C11" s="344">
        <v>19294000</v>
      </c>
      <c r="D11" s="344">
        <f>+'4a.sz.mell.'!E60</f>
        <v>21205559</v>
      </c>
      <c r="E11" s="344">
        <v>0</v>
      </c>
      <c r="F11" s="344">
        <f>+'4a.sz.mell.'!O60</f>
        <v>0</v>
      </c>
      <c r="G11" s="344">
        <v>0</v>
      </c>
      <c r="H11" s="344">
        <f>+'4a.sz.mell.'!G60</f>
        <v>0</v>
      </c>
      <c r="I11" s="346">
        <v>0</v>
      </c>
      <c r="J11" s="346">
        <v>0</v>
      </c>
      <c r="K11" s="366">
        <v>91610790</v>
      </c>
      <c r="L11" s="366">
        <f>+'4a.sz.mell.'!M60</f>
        <v>93209223</v>
      </c>
      <c r="M11" s="344">
        <v>569210</v>
      </c>
      <c r="N11" s="344">
        <f>+'4a.sz.mell.'!K60</f>
        <v>569210</v>
      </c>
      <c r="O11" s="361">
        <f>+M11+K11+I11+G11+E11+C11</f>
        <v>111474000</v>
      </c>
      <c r="P11" s="361">
        <f>+D11+F11+H11+J11+L11+N11</f>
        <v>114983992</v>
      </c>
      <c r="Q11" s="371">
        <f t="shared" si="0"/>
        <v>19863210</v>
      </c>
      <c r="R11" s="371">
        <f t="shared" si="1"/>
        <v>21774769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4"/>
      <c r="AJ11" s="24"/>
      <c r="AK11" s="24"/>
    </row>
    <row r="12" spans="1:45" s="365" customFormat="1" ht="36.75" customHeight="1" thickBot="1">
      <c r="A12" s="433" t="s">
        <v>44</v>
      </c>
      <c r="B12" s="433"/>
      <c r="C12" s="342">
        <f>SUM(C7:C11)</f>
        <v>52209000</v>
      </c>
      <c r="D12" s="342">
        <f t="shared" ref="D12:M12" si="2">SUM(D7:D11)</f>
        <v>56643024</v>
      </c>
      <c r="E12" s="342">
        <f t="shared" si="2"/>
        <v>59270000</v>
      </c>
      <c r="F12" s="342">
        <f t="shared" si="2"/>
        <v>59270000</v>
      </c>
      <c r="G12" s="342">
        <f t="shared" si="2"/>
        <v>327055808</v>
      </c>
      <c r="H12" s="342">
        <f t="shared" si="2"/>
        <v>371642591</v>
      </c>
      <c r="I12" s="342">
        <f t="shared" si="2"/>
        <v>0</v>
      </c>
      <c r="J12" s="342">
        <f t="shared" si="2"/>
        <v>0</v>
      </c>
      <c r="K12" s="342">
        <f>SUM(K7:K11)</f>
        <v>190905328</v>
      </c>
      <c r="L12" s="342">
        <f t="shared" si="2"/>
        <v>210607504</v>
      </c>
      <c r="M12" s="342">
        <f t="shared" si="2"/>
        <v>165502713</v>
      </c>
      <c r="N12" s="342">
        <f>SUM(N7:N11)</f>
        <v>165579828</v>
      </c>
      <c r="O12" s="361">
        <f>SUM(O7:O11)</f>
        <v>794942849</v>
      </c>
      <c r="P12" s="361">
        <f>SUM(P7:P11)</f>
        <v>863742947</v>
      </c>
      <c r="Q12" s="371">
        <f>SUM(Q7:Q11)</f>
        <v>604037521</v>
      </c>
      <c r="R12" s="371">
        <f>SUM(R7:R11)</f>
        <v>653135443</v>
      </c>
      <c r="S12" s="20"/>
      <c r="T12" s="20"/>
      <c r="U12" s="20"/>
      <c r="V12" s="20"/>
      <c r="W12" s="20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45">
      <c r="AM13" s="20"/>
      <c r="AN13" s="20"/>
      <c r="AO13" s="20"/>
      <c r="AP13" s="20"/>
      <c r="AQ13" s="20"/>
    </row>
    <row r="14" spans="1:45" hidden="1">
      <c r="D14" s="20">
        <f>+'4a.sz.mell.'!E61</f>
        <v>56643024</v>
      </c>
      <c r="F14" s="20">
        <f>+'4a.sz.mell.'!O61</f>
        <v>59270000</v>
      </c>
      <c r="H14" s="20">
        <f>+'4a.sz.mell.'!G61</f>
        <v>371642591</v>
      </c>
      <c r="I14" s="20">
        <v>735603</v>
      </c>
      <c r="L14" s="20">
        <f>+'4a.sz.mell.'!M61</f>
        <v>210607504</v>
      </c>
      <c r="N14" s="20">
        <f>+'4a.sz.mell.'!K61</f>
        <v>165579828</v>
      </c>
      <c r="P14" s="20">
        <f>+'4a.sz.mell.'!Q61-'4a.sz.mell.'!I61</f>
        <v>863742947</v>
      </c>
      <c r="R14" s="20">
        <f>+'4a.sz.mell.'!Q61-'4a.sz.mell.'!I61-'4a.sz.mell.'!M61</f>
        <v>653135443</v>
      </c>
      <c r="AM14" s="20"/>
      <c r="AN14" s="20"/>
      <c r="AO14" s="20"/>
      <c r="AP14" s="20"/>
      <c r="AQ14" s="20"/>
    </row>
    <row r="15" spans="1:45">
      <c r="AM15" s="20"/>
      <c r="AN15" s="20"/>
      <c r="AO15" s="20"/>
      <c r="AP15" s="20"/>
      <c r="AQ15" s="20"/>
    </row>
    <row r="16" spans="1:45">
      <c r="AM16" s="20"/>
      <c r="AN16" s="20"/>
      <c r="AO16" s="20"/>
      <c r="AP16" s="20"/>
      <c r="AQ16" s="20"/>
    </row>
    <row r="17" spans="1:47" ht="15.75" customHeight="1" thickBot="1">
      <c r="A17" s="423" t="s">
        <v>28</v>
      </c>
      <c r="B17" s="424"/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AM17" s="20"/>
      <c r="AN17" s="20"/>
      <c r="AO17" s="20"/>
      <c r="AP17" s="20"/>
      <c r="AQ17" s="20"/>
    </row>
    <row r="18" spans="1:47" ht="99.95" customHeight="1" thickBot="1">
      <c r="A18" s="438" t="s">
        <v>29</v>
      </c>
      <c r="B18" s="439"/>
      <c r="C18" s="427" t="s">
        <v>217</v>
      </c>
      <c r="D18" s="428"/>
      <c r="E18" s="427" t="s">
        <v>159</v>
      </c>
      <c r="F18" s="428"/>
      <c r="G18" s="427" t="s">
        <v>160</v>
      </c>
      <c r="H18" s="428"/>
      <c r="I18" s="427" t="s">
        <v>33</v>
      </c>
      <c r="J18" s="428"/>
      <c r="K18" s="425" t="s">
        <v>175</v>
      </c>
      <c r="L18" s="426"/>
      <c r="M18" s="427" t="s">
        <v>34</v>
      </c>
      <c r="N18" s="428"/>
      <c r="O18" s="427" t="s">
        <v>518</v>
      </c>
      <c r="P18" s="428"/>
      <c r="Q18" s="427" t="s">
        <v>256</v>
      </c>
      <c r="R18" s="428"/>
      <c r="S18" s="427" t="s">
        <v>35</v>
      </c>
      <c r="T18" s="428"/>
      <c r="U18" s="421" t="s">
        <v>178</v>
      </c>
      <c r="V18" s="422"/>
      <c r="AM18" s="20"/>
      <c r="AN18" s="20"/>
      <c r="AO18" s="20"/>
      <c r="AP18" s="20"/>
      <c r="AQ18" s="20"/>
      <c r="AR18" s="20"/>
      <c r="AS18" s="20"/>
      <c r="AT18" s="20"/>
      <c r="AU18" s="20"/>
    </row>
    <row r="19" spans="1:47" ht="26.25" thickBot="1">
      <c r="A19" s="162" t="s">
        <v>36</v>
      </c>
      <c r="B19" s="163"/>
      <c r="C19" s="343" t="s">
        <v>37</v>
      </c>
      <c r="D19" s="343" t="s">
        <v>364</v>
      </c>
      <c r="E19" s="343" t="s">
        <v>37</v>
      </c>
      <c r="F19" s="343" t="s">
        <v>364</v>
      </c>
      <c r="G19" s="343" t="s">
        <v>37</v>
      </c>
      <c r="H19" s="343" t="s">
        <v>364</v>
      </c>
      <c r="I19" s="334" t="s">
        <v>37</v>
      </c>
      <c r="J19" s="343" t="s">
        <v>364</v>
      </c>
      <c r="K19" s="173" t="s">
        <v>176</v>
      </c>
      <c r="L19" s="343" t="s">
        <v>364</v>
      </c>
      <c r="M19" s="343" t="s">
        <v>37</v>
      </c>
      <c r="N19" s="343" t="s">
        <v>364</v>
      </c>
      <c r="O19" s="343" t="s">
        <v>37</v>
      </c>
      <c r="P19" s="343" t="s">
        <v>364</v>
      </c>
      <c r="Q19" s="334" t="s">
        <v>176</v>
      </c>
      <c r="R19" s="343" t="s">
        <v>364</v>
      </c>
      <c r="S19" s="343" t="s">
        <v>37</v>
      </c>
      <c r="T19" s="343" t="s">
        <v>364</v>
      </c>
      <c r="U19" s="362" t="s">
        <v>176</v>
      </c>
      <c r="V19" s="363" t="s">
        <v>364</v>
      </c>
      <c r="AM19" s="20"/>
      <c r="AN19" s="20"/>
      <c r="AO19" s="20"/>
      <c r="AP19" s="20"/>
      <c r="AQ19" s="20"/>
      <c r="AR19" s="20"/>
      <c r="AS19" s="20"/>
      <c r="AT19" s="20"/>
      <c r="AU19" s="20"/>
    </row>
    <row r="20" spans="1:47" ht="30" customHeight="1" thickBot="1">
      <c r="A20" s="164" t="s">
        <v>38</v>
      </c>
      <c r="B20" s="165" t="s">
        <v>148</v>
      </c>
      <c r="C20" s="344">
        <v>64952000</v>
      </c>
      <c r="D20" s="344">
        <f>+'4.sz.mell.'!E41</f>
        <v>119947829</v>
      </c>
      <c r="E20" s="344">
        <v>11769000</v>
      </c>
      <c r="F20" s="367">
        <f>+'4.sz.mell.'!G41</f>
        <v>303595593</v>
      </c>
      <c r="G20" s="367">
        <v>47579000</v>
      </c>
      <c r="H20" s="367">
        <f>+'4.sz.mell.'!I41</f>
        <v>79702162</v>
      </c>
      <c r="I20" s="367">
        <f>72104709+2860000</f>
        <v>74964709</v>
      </c>
      <c r="J20" s="367">
        <f>+'4.sz.mell.'!K41</f>
        <v>76437482</v>
      </c>
      <c r="K20" s="368">
        <f>+K12</f>
        <v>190905328</v>
      </c>
      <c r="L20" s="368">
        <f>+'4a.sz.mell.'!M61</f>
        <v>210607504</v>
      </c>
      <c r="M20" s="367">
        <v>3781000</v>
      </c>
      <c r="N20" s="367">
        <f>+'4.sz.mell.'!M61</f>
        <v>4878145</v>
      </c>
      <c r="O20" s="367">
        <v>0</v>
      </c>
      <c r="P20" s="370">
        <f>+'4.sz.mell.'!S41</f>
        <v>743685</v>
      </c>
      <c r="Q20" s="367">
        <v>9649634</v>
      </c>
      <c r="R20" s="367">
        <f>+'4.sz.mell.'!Q61</f>
        <v>9649634</v>
      </c>
      <c r="S20" s="369">
        <f t="shared" ref="S20:S25" si="3">+Q20+M20+K20+I20+G20+E20+C20</f>
        <v>403600671</v>
      </c>
      <c r="T20" s="369">
        <f>+R20+N20+L20+J20+H20+F20+D20+P20</f>
        <v>805562034</v>
      </c>
      <c r="U20" s="369">
        <f>+S20-K20</f>
        <v>212695343</v>
      </c>
      <c r="V20" s="369">
        <f>+T20-L20</f>
        <v>594954530</v>
      </c>
      <c r="AM20" s="20"/>
      <c r="AN20" s="20"/>
      <c r="AO20" s="20"/>
      <c r="AP20" s="20"/>
      <c r="AQ20" s="20"/>
      <c r="AR20" s="20"/>
      <c r="AS20" s="20"/>
      <c r="AT20" s="20"/>
      <c r="AU20" s="20"/>
    </row>
    <row r="21" spans="1:47" ht="30" customHeight="1" thickBot="1">
      <c r="A21" s="164" t="s">
        <v>39</v>
      </c>
      <c r="B21" s="165" t="s">
        <v>40</v>
      </c>
      <c r="C21" s="344">
        <v>60095000</v>
      </c>
      <c r="D21" s="344">
        <f>+'4.sz.mell.'!E46</f>
        <v>74803711</v>
      </c>
      <c r="E21" s="344">
        <v>11710000</v>
      </c>
      <c r="F21" s="367">
        <f>+'4.sz.mell.'!G46</f>
        <v>14686287</v>
      </c>
      <c r="G21" s="367">
        <v>12210000</v>
      </c>
      <c r="H21" s="367">
        <f>+'4.sz.mell.'!I46</f>
        <v>11234043</v>
      </c>
      <c r="I21" s="367">
        <v>0</v>
      </c>
      <c r="J21" s="367">
        <f>+'4.sz.mell.'!K46</f>
        <v>67585</v>
      </c>
      <c r="K21" s="368">
        <v>0</v>
      </c>
      <c r="L21" s="368"/>
      <c r="M21" s="367">
        <v>0</v>
      </c>
      <c r="N21" s="367">
        <v>0</v>
      </c>
      <c r="O21" s="367">
        <v>0</v>
      </c>
      <c r="P21" s="367">
        <f>+'4.sz.mell.'!S46</f>
        <v>0</v>
      </c>
      <c r="Q21" s="367">
        <v>0</v>
      </c>
      <c r="R21" s="367">
        <v>0</v>
      </c>
      <c r="S21" s="369">
        <f t="shared" si="3"/>
        <v>84015000</v>
      </c>
      <c r="T21" s="369">
        <f t="shared" ref="T21:T25" si="4">+R21+N21+L21+J21+H21+F21+D21+P21</f>
        <v>100791626</v>
      </c>
      <c r="U21" s="369">
        <f>+S21</f>
        <v>84015000</v>
      </c>
      <c r="V21" s="369">
        <f>+T21-L21</f>
        <v>100791626</v>
      </c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47" ht="30" customHeight="1" thickBot="1">
      <c r="A22" s="164" t="s">
        <v>41</v>
      </c>
      <c r="B22" s="165" t="s">
        <v>42</v>
      </c>
      <c r="C22" s="344">
        <v>6001000</v>
      </c>
      <c r="D22" s="344">
        <f>+'4.sz.mell.'!E48</f>
        <v>6070000</v>
      </c>
      <c r="E22" s="344">
        <v>1180000</v>
      </c>
      <c r="F22" s="367">
        <f>+'4.sz.mell.'!G48</f>
        <v>1180000</v>
      </c>
      <c r="G22" s="367">
        <v>7340000</v>
      </c>
      <c r="H22" s="367">
        <f>+'4.sz.mell.'!I48</f>
        <v>7203156</v>
      </c>
      <c r="I22" s="367">
        <v>20000</v>
      </c>
      <c r="J22" s="367">
        <f>+'4.sz.mell.'!K48</f>
        <v>20000</v>
      </c>
      <c r="K22" s="368">
        <v>0</v>
      </c>
      <c r="L22" s="368"/>
      <c r="M22" s="367">
        <v>0</v>
      </c>
      <c r="N22" s="367">
        <v>0</v>
      </c>
      <c r="O22" s="367">
        <v>0</v>
      </c>
      <c r="P22" s="367">
        <f>+'4.sz.mell.'!S48</f>
        <v>0</v>
      </c>
      <c r="Q22" s="367">
        <v>0</v>
      </c>
      <c r="R22" s="367">
        <v>0</v>
      </c>
      <c r="S22" s="369">
        <f t="shared" si="3"/>
        <v>14541000</v>
      </c>
      <c r="T22" s="369">
        <f t="shared" si="4"/>
        <v>14473156</v>
      </c>
      <c r="U22" s="369">
        <f>+S22</f>
        <v>14541000</v>
      </c>
      <c r="V22" s="369">
        <f>+T22-L22</f>
        <v>14473156</v>
      </c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ht="30" customHeight="1" thickBot="1">
      <c r="A23" s="164" t="s">
        <v>43</v>
      </c>
      <c r="B23" s="165" t="s">
        <v>158</v>
      </c>
      <c r="C23" s="344">
        <v>3725200</v>
      </c>
      <c r="D23" s="344">
        <f>+'4.sz.mell.'!E51</f>
        <v>3814100</v>
      </c>
      <c r="E23" s="344">
        <v>733500</v>
      </c>
      <c r="F23" s="367">
        <f>+'4.sz.mell.'!F51</f>
        <v>733500</v>
      </c>
      <c r="G23" s="367">
        <v>2160000</v>
      </c>
      <c r="H23" s="367">
        <f>+'4.sz.mell.'!I51</f>
        <v>2071100</v>
      </c>
      <c r="I23" s="367">
        <v>0</v>
      </c>
      <c r="J23" s="367">
        <v>0</v>
      </c>
      <c r="K23" s="368">
        <v>0</v>
      </c>
      <c r="L23" s="368"/>
      <c r="M23" s="367">
        <v>0</v>
      </c>
      <c r="N23" s="367">
        <v>0</v>
      </c>
      <c r="O23" s="367">
        <v>0</v>
      </c>
      <c r="P23" s="367">
        <f>+'4.sz.mell.'!S51</f>
        <v>0</v>
      </c>
      <c r="Q23" s="367">
        <v>0</v>
      </c>
      <c r="R23" s="367">
        <v>0</v>
      </c>
      <c r="S23" s="369">
        <f t="shared" si="3"/>
        <v>6618700</v>
      </c>
      <c r="T23" s="369">
        <f t="shared" si="4"/>
        <v>6618700</v>
      </c>
      <c r="U23" s="369">
        <f>+S23</f>
        <v>6618700</v>
      </c>
      <c r="V23" s="369">
        <f>+T23-L23</f>
        <v>6618700</v>
      </c>
      <c r="AM23" s="20"/>
      <c r="AN23" s="20"/>
      <c r="AO23" s="20"/>
      <c r="AP23" s="20"/>
      <c r="AQ23" s="20"/>
      <c r="AR23" s="20"/>
      <c r="AS23" s="20"/>
      <c r="AT23" s="20"/>
      <c r="AU23" s="20"/>
    </row>
    <row r="24" spans="1:47" ht="30" customHeight="1" thickBot="1">
      <c r="A24" s="164" t="s">
        <v>155</v>
      </c>
      <c r="B24" s="166" t="s">
        <v>162</v>
      </c>
      <c r="C24" s="344">
        <v>37831000</v>
      </c>
      <c r="D24" s="344">
        <f>+'4.sz.mell.'!E60</f>
        <v>38154114</v>
      </c>
      <c r="E24" s="344">
        <v>7303000</v>
      </c>
      <c r="F24" s="367">
        <f>+'4.sz.mell.'!G60</f>
        <v>8014731</v>
      </c>
      <c r="G24" s="367">
        <v>66340000</v>
      </c>
      <c r="H24" s="367">
        <f>+'4.sz.mell.'!I60</f>
        <v>66264814</v>
      </c>
      <c r="I24" s="367">
        <v>0</v>
      </c>
      <c r="J24" s="367">
        <v>0</v>
      </c>
      <c r="K24" s="368">
        <v>0</v>
      </c>
      <c r="L24" s="368"/>
      <c r="M24" s="367">
        <v>0</v>
      </c>
      <c r="N24" s="367">
        <v>0</v>
      </c>
      <c r="O24" s="367">
        <v>0</v>
      </c>
      <c r="P24" s="367">
        <f>+'4.sz.mell.'!S60</f>
        <v>0</v>
      </c>
      <c r="Q24" s="367">
        <v>0</v>
      </c>
      <c r="R24" s="367">
        <v>0</v>
      </c>
      <c r="S24" s="369">
        <f t="shared" si="3"/>
        <v>111474000</v>
      </c>
      <c r="T24" s="369">
        <f t="shared" si="4"/>
        <v>112433659</v>
      </c>
      <c r="U24" s="369">
        <f>+S24</f>
        <v>111474000</v>
      </c>
      <c r="V24" s="369">
        <f>+T24-L24</f>
        <v>112433659</v>
      </c>
      <c r="AM24" s="20"/>
      <c r="AN24" s="20"/>
      <c r="AO24" s="20"/>
      <c r="AP24" s="20"/>
      <c r="AQ24" s="20"/>
      <c r="AR24" s="20"/>
      <c r="AS24" s="20"/>
      <c r="AT24" s="20"/>
      <c r="AU24" s="20"/>
    </row>
    <row r="25" spans="1:47" ht="15.75" thickBot="1">
      <c r="A25" s="437" t="s">
        <v>44</v>
      </c>
      <c r="B25" s="437"/>
      <c r="C25" s="342">
        <f>SUM(C20:C24)</f>
        <v>172604200</v>
      </c>
      <c r="D25" s="342">
        <f>SUM(D20:D24)</f>
        <v>242789754</v>
      </c>
      <c r="E25" s="342">
        <f t="shared" ref="E25:G25" si="5">SUM(E20:E24)</f>
        <v>32695500</v>
      </c>
      <c r="F25" s="370">
        <f t="shared" si="5"/>
        <v>328210111</v>
      </c>
      <c r="G25" s="370">
        <f t="shared" si="5"/>
        <v>135629000</v>
      </c>
      <c r="H25" s="370">
        <f t="shared" ref="H25" si="6">SUM(H20:H24)</f>
        <v>166475275</v>
      </c>
      <c r="I25" s="370">
        <f t="shared" ref="I25" si="7">SUM(I20:I24)</f>
        <v>74984709</v>
      </c>
      <c r="J25" s="370">
        <f t="shared" ref="J25" si="8">SUM(J20:J24)</f>
        <v>76525067</v>
      </c>
      <c r="K25" s="370">
        <f t="shared" ref="K25" si="9">SUM(K20:K24)</f>
        <v>190905328</v>
      </c>
      <c r="L25" s="370">
        <f t="shared" ref="L25" si="10">SUM(L20:L24)</f>
        <v>210607504</v>
      </c>
      <c r="M25" s="370">
        <f t="shared" ref="M25:R25" si="11">SUM(M20:M24)</f>
        <v>3781000</v>
      </c>
      <c r="N25" s="370">
        <f t="shared" si="11"/>
        <v>4878145</v>
      </c>
      <c r="O25" s="370">
        <f t="shared" si="11"/>
        <v>0</v>
      </c>
      <c r="P25" s="370">
        <f t="shared" si="11"/>
        <v>743685</v>
      </c>
      <c r="Q25" s="370">
        <f t="shared" si="11"/>
        <v>9649634</v>
      </c>
      <c r="R25" s="370">
        <f t="shared" si="11"/>
        <v>9649634</v>
      </c>
      <c r="S25" s="369">
        <f t="shared" si="3"/>
        <v>620249371</v>
      </c>
      <c r="T25" s="369">
        <f t="shared" si="4"/>
        <v>1039879175</v>
      </c>
      <c r="U25" s="369">
        <f>+S25-K25</f>
        <v>429344043</v>
      </c>
      <c r="V25" s="369">
        <f>+T25-L25</f>
        <v>829271671</v>
      </c>
      <c r="AM25" s="20"/>
      <c r="AN25" s="20"/>
      <c r="AO25" s="20"/>
      <c r="AP25" s="20"/>
      <c r="AQ25" s="20"/>
      <c r="AR25" s="20"/>
      <c r="AS25" s="20"/>
      <c r="AT25" s="20"/>
      <c r="AU25" s="20"/>
    </row>
    <row r="26" spans="1:47">
      <c r="AM26" s="20"/>
      <c r="AN26" s="20"/>
      <c r="AO26" s="20"/>
      <c r="AP26" s="20"/>
      <c r="AQ26" s="20"/>
      <c r="AR26" s="20"/>
      <c r="AS26" s="20"/>
    </row>
    <row r="27" spans="1:47">
      <c r="D27" s="20">
        <f>+'4.sz.mell.'!E61</f>
        <v>242789754</v>
      </c>
      <c r="F27" s="20">
        <f>+'4.sz.mell.'!G61</f>
        <v>328210111</v>
      </c>
      <c r="H27" s="20">
        <f>+'4.sz.mell.'!I61</f>
        <v>166475275</v>
      </c>
      <c r="J27" s="20">
        <f>+'4.sz.mell.'!K61</f>
        <v>76525067</v>
      </c>
      <c r="L27" s="20">
        <f>+'4a.sz.mell.'!M61</f>
        <v>210607504</v>
      </c>
      <c r="N27" s="20">
        <f>+'4.sz.mell.'!M61</f>
        <v>4878145</v>
      </c>
      <c r="P27" s="20">
        <f>+'4.sz.mell.'!S61</f>
        <v>743685</v>
      </c>
      <c r="R27" s="20">
        <f>+'4.sz.mell.'!Q61</f>
        <v>9649634</v>
      </c>
      <c r="T27" s="20">
        <f>+'4.sz.mell.'!Y61-'4.sz.mell.'!O61-'4.sz.mell.'!U61-'4.sz.mell.'!W61+'4a.sz.mell.'!P67</f>
        <v>758184906</v>
      </c>
      <c r="V27" s="20">
        <f>+'4.sz.mell.'!Y61-'4.sz.mell.'!W61-'4.sz.mell.'!U61-'4.sz.mell.'!O61</f>
        <v>829271671</v>
      </c>
      <c r="AM27" s="20"/>
      <c r="AN27" s="20"/>
      <c r="AO27" s="20"/>
      <c r="AP27" s="20"/>
      <c r="AQ27" s="20"/>
    </row>
    <row r="28" spans="1:47">
      <c r="AM28" s="20"/>
      <c r="AN28" s="20"/>
      <c r="AO28" s="20"/>
      <c r="AP28" s="20"/>
      <c r="AQ28" s="20"/>
    </row>
    <row r="35" spans="7:7">
      <c r="G35" s="20">
        <v>285158666</v>
      </c>
    </row>
    <row r="52" spans="4:17">
      <c r="D52" s="20">
        <f>SUM(D41:D51)</f>
        <v>0</v>
      </c>
      <c r="E52" s="20">
        <f>+'4a.sz.mell.'!E61</f>
        <v>56643024</v>
      </c>
    </row>
    <row r="54" spans="4:17">
      <c r="E54" s="20">
        <f>+D52+D54</f>
        <v>0</v>
      </c>
    </row>
    <row r="63" spans="4:17">
      <c r="Q63" s="20">
        <f>+O61+M61+K61+I61+G61+E61</f>
        <v>0</v>
      </c>
    </row>
    <row r="67" spans="16:16">
      <c r="P67" s="20">
        <f>+Q61-'4.sz.mell.'!Y61</f>
        <v>-1250790533</v>
      </c>
    </row>
  </sheetData>
  <mergeCells count="27">
    <mergeCell ref="A25:B25"/>
    <mergeCell ref="S18:T18"/>
    <mergeCell ref="M18:N18"/>
    <mergeCell ref="A18:B18"/>
    <mergeCell ref="C18:D18"/>
    <mergeCell ref="E18:F18"/>
    <mergeCell ref="G18:H18"/>
    <mergeCell ref="O18:P18"/>
    <mergeCell ref="A4:N4"/>
    <mergeCell ref="AG5:AI5"/>
    <mergeCell ref="E5:F5"/>
    <mergeCell ref="A12:B12"/>
    <mergeCell ref="A1:P1"/>
    <mergeCell ref="O5:P5"/>
    <mergeCell ref="A2:P2"/>
    <mergeCell ref="A5:B5"/>
    <mergeCell ref="C5:D5"/>
    <mergeCell ref="G5:H5"/>
    <mergeCell ref="M5:N5"/>
    <mergeCell ref="I5:J5"/>
    <mergeCell ref="U18:V18"/>
    <mergeCell ref="A17:T17"/>
    <mergeCell ref="K5:L5"/>
    <mergeCell ref="Q5:R5"/>
    <mergeCell ref="I18:J18"/>
    <mergeCell ref="K18:L18"/>
    <mergeCell ref="Q18:R18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Q68"/>
  <sheetViews>
    <sheetView zoomScale="80" zoomScaleNormal="80" workbookViewId="0">
      <pane xSplit="2" ySplit="5" topLeftCell="E6" activePane="bottomRight" state="frozen"/>
      <selection activeCell="G36" sqref="G36"/>
      <selection pane="topRight" activeCell="G36" sqref="G36"/>
      <selection pane="bottomLeft" activeCell="G36" sqref="G36"/>
      <selection pane="bottomRight" activeCell="P3" sqref="P3"/>
    </sheetView>
  </sheetViews>
  <sheetFormatPr defaultColWidth="8.85546875" defaultRowHeight="12.75"/>
  <cols>
    <col min="1" max="1" width="8.28515625" style="31" customWidth="1"/>
    <col min="2" max="2" width="12.140625" style="31" customWidth="1"/>
    <col min="3" max="3" width="45.28515625" style="31" customWidth="1"/>
    <col min="4" max="5" width="16" style="31" customWidth="1"/>
    <col min="6" max="7" width="14.42578125" style="31" customWidth="1"/>
    <col min="8" max="9" width="15.28515625" style="31" customWidth="1"/>
    <col min="10" max="11" width="14.85546875" style="31" customWidth="1"/>
    <col min="12" max="13" width="16.85546875" style="31" customWidth="1"/>
    <col min="14" max="14" width="16.28515625" style="31" customWidth="1"/>
    <col min="15" max="15" width="14.85546875" style="31" customWidth="1"/>
    <col min="16" max="19" width="18.28515625" style="31" customWidth="1"/>
    <col min="20" max="21" width="15.42578125" style="31" customWidth="1"/>
    <col min="22" max="23" width="16" style="31" customWidth="1"/>
    <col min="24" max="25" width="18" style="31" customWidth="1"/>
    <col min="26" max="27" width="9.85546875" style="31" customWidth="1"/>
    <col min="28" max="28" width="15.85546875" style="31" customWidth="1"/>
    <col min="29" max="29" width="7.42578125" style="31" bestFit="1" customWidth="1"/>
    <col min="30" max="32" width="10.5703125" style="31" bestFit="1" customWidth="1"/>
    <col min="33" max="33" width="5.140625" style="37" bestFit="1" customWidth="1"/>
    <col min="34" max="34" width="7.140625" style="31" bestFit="1" customWidth="1"/>
    <col min="35" max="16384" width="8.85546875" style="29"/>
  </cols>
  <sheetData>
    <row r="1" spans="1:43" ht="15.75">
      <c r="A1" s="412" t="s">
        <v>539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27"/>
      <c r="AB1" s="27"/>
      <c r="AC1" s="27"/>
      <c r="AD1" s="27"/>
      <c r="AE1" s="27"/>
      <c r="AF1" s="27"/>
      <c r="AG1" s="27"/>
      <c r="AH1" s="28"/>
      <c r="AI1" s="27" t="s">
        <v>45</v>
      </c>
      <c r="AJ1" s="28"/>
    </row>
    <row r="2" spans="1:43" ht="33.75" customHeight="1">
      <c r="A2" s="453" t="s">
        <v>294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30"/>
    </row>
    <row r="3" spans="1:43" ht="16.5" thickBot="1">
      <c r="B3" s="32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 t="s">
        <v>253</v>
      </c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4"/>
      <c r="AL3" s="34"/>
      <c r="AM3" s="34"/>
      <c r="AN3" s="35"/>
      <c r="AO3" s="31"/>
    </row>
    <row r="4" spans="1:43" ht="21" customHeight="1" thickBot="1">
      <c r="A4" s="454" t="s">
        <v>46</v>
      </c>
      <c r="B4" s="456" t="s">
        <v>251</v>
      </c>
      <c r="C4" s="458" t="s">
        <v>47</v>
      </c>
      <c r="D4" s="460" t="s">
        <v>233</v>
      </c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381"/>
      <c r="X4" s="462" t="s">
        <v>353</v>
      </c>
      <c r="Y4" s="451" t="s">
        <v>355</v>
      </c>
      <c r="Z4" s="440" t="s">
        <v>356</v>
      </c>
      <c r="AA4" s="440" t="s">
        <v>357</v>
      </c>
      <c r="AB4" s="29"/>
      <c r="AC4" s="29"/>
      <c r="AD4" s="29"/>
      <c r="AE4" s="29"/>
      <c r="AF4" s="29"/>
      <c r="AG4" s="29"/>
      <c r="AH4" s="29"/>
    </row>
    <row r="5" spans="1:43" ht="114" customHeight="1" thickBot="1">
      <c r="A5" s="455"/>
      <c r="B5" s="457"/>
      <c r="C5" s="459"/>
      <c r="D5" s="174" t="s">
        <v>474</v>
      </c>
      <c r="E5" s="174" t="s">
        <v>475</v>
      </c>
      <c r="F5" s="174" t="s">
        <v>476</v>
      </c>
      <c r="G5" s="174" t="s">
        <v>477</v>
      </c>
      <c r="H5" s="174" t="s">
        <v>472</v>
      </c>
      <c r="I5" s="174" t="s">
        <v>473</v>
      </c>
      <c r="J5" s="174" t="s">
        <v>490</v>
      </c>
      <c r="K5" s="174" t="s">
        <v>491</v>
      </c>
      <c r="L5" s="174" t="s">
        <v>486</v>
      </c>
      <c r="M5" s="174" t="s">
        <v>487</v>
      </c>
      <c r="N5" s="174" t="s">
        <v>480</v>
      </c>
      <c r="O5" s="174" t="s">
        <v>481</v>
      </c>
      <c r="P5" s="174" t="s">
        <v>484</v>
      </c>
      <c r="Q5" s="174" t="s">
        <v>485</v>
      </c>
      <c r="R5" s="174" t="s">
        <v>489</v>
      </c>
      <c r="S5" s="174" t="s">
        <v>488</v>
      </c>
      <c r="T5" s="174" t="s">
        <v>478</v>
      </c>
      <c r="U5" s="174" t="s">
        <v>479</v>
      </c>
      <c r="V5" s="174" t="s">
        <v>482</v>
      </c>
      <c r="W5" s="174" t="s">
        <v>483</v>
      </c>
      <c r="X5" s="463"/>
      <c r="Y5" s="452"/>
      <c r="Z5" s="441"/>
      <c r="AA5" s="441"/>
      <c r="AB5" s="29"/>
      <c r="AC5" s="29"/>
      <c r="AD5" s="29"/>
      <c r="AE5" s="29"/>
      <c r="AF5" s="29"/>
      <c r="AG5" s="29"/>
      <c r="AH5" s="29"/>
    </row>
    <row r="6" spans="1:43" ht="16.5" thickBot="1">
      <c r="A6" s="442" t="s">
        <v>38</v>
      </c>
      <c r="B6" s="175" t="s">
        <v>163</v>
      </c>
      <c r="C6" s="167" t="s">
        <v>201</v>
      </c>
      <c r="D6" s="288">
        <v>15388000</v>
      </c>
      <c r="E6" s="288">
        <v>15501663</v>
      </c>
      <c r="F6" s="288">
        <v>3352000</v>
      </c>
      <c r="G6" s="288">
        <v>3342000</v>
      </c>
      <c r="H6" s="288">
        <v>102000</v>
      </c>
      <c r="I6" s="288">
        <v>2818983</v>
      </c>
      <c r="J6" s="288">
        <v>0</v>
      </c>
      <c r="K6" s="288">
        <v>8450</v>
      </c>
      <c r="L6" s="289">
        <v>0</v>
      </c>
      <c r="M6" s="404">
        <v>0</v>
      </c>
      <c r="N6" s="288">
        <v>92103299</v>
      </c>
      <c r="O6" s="288">
        <v>22110</v>
      </c>
      <c r="P6" s="289">
        <v>0</v>
      </c>
      <c r="Q6" s="329">
        <v>0</v>
      </c>
      <c r="R6" s="329">
        <v>0</v>
      </c>
      <c r="S6" s="329">
        <v>0</v>
      </c>
      <c r="T6" s="329">
        <v>0</v>
      </c>
      <c r="U6" s="288">
        <v>69979</v>
      </c>
      <c r="V6" s="329">
        <v>0</v>
      </c>
      <c r="W6" s="288">
        <v>0</v>
      </c>
      <c r="X6" s="290">
        <f>+V6+T6+P6+N6+L6+J6+H6+F6+D6+R6</f>
        <v>110945299</v>
      </c>
      <c r="Y6" s="341">
        <f>+W6+U6+Q6+O6+M6+K6+I6+G6+E6+S6</f>
        <v>21763185</v>
      </c>
      <c r="Z6" s="324">
        <v>1</v>
      </c>
      <c r="AA6" s="324">
        <v>1</v>
      </c>
      <c r="AB6" s="109"/>
      <c r="AC6" s="29"/>
      <c r="AD6" s="29"/>
      <c r="AE6" s="29"/>
      <c r="AF6" s="29"/>
      <c r="AG6" s="29"/>
      <c r="AH6" s="29"/>
    </row>
    <row r="7" spans="1:43" ht="16.5" thickBot="1">
      <c r="A7" s="442"/>
      <c r="B7" s="175" t="s">
        <v>182</v>
      </c>
      <c r="C7" s="167" t="s">
        <v>265</v>
      </c>
      <c r="D7" s="288">
        <v>0</v>
      </c>
      <c r="E7" s="288">
        <v>0</v>
      </c>
      <c r="F7" s="288">
        <v>0</v>
      </c>
      <c r="G7" s="288">
        <v>0</v>
      </c>
      <c r="H7" s="288">
        <v>533000</v>
      </c>
      <c r="I7" s="288">
        <v>533000</v>
      </c>
      <c r="J7" s="288">
        <v>0</v>
      </c>
      <c r="K7" s="288">
        <v>0</v>
      </c>
      <c r="L7" s="289">
        <v>0</v>
      </c>
      <c r="M7" s="329">
        <v>0</v>
      </c>
      <c r="N7" s="288">
        <v>0</v>
      </c>
      <c r="O7" s="288">
        <v>0</v>
      </c>
      <c r="P7" s="289">
        <v>0</v>
      </c>
      <c r="Q7" s="329">
        <v>0</v>
      </c>
      <c r="R7" s="329">
        <v>0</v>
      </c>
      <c r="S7" s="329">
        <v>0</v>
      </c>
      <c r="T7" s="329">
        <v>0</v>
      </c>
      <c r="U7" s="288">
        <v>0</v>
      </c>
      <c r="V7" s="329">
        <v>0</v>
      </c>
      <c r="W7" s="288">
        <v>0</v>
      </c>
      <c r="X7" s="290">
        <f t="shared" ref="X7:X30" si="0">+V7+T7+P7+N7+L7+J7+H7+F7+D7+R7</f>
        <v>533000</v>
      </c>
      <c r="Y7" s="341">
        <f t="shared" ref="Y7:Y29" si="1">+W7+U7+Q7+O7+M7+K7+I7+G7+E7+S7</f>
        <v>533000</v>
      </c>
      <c r="Z7" s="324">
        <v>0</v>
      </c>
      <c r="AA7" s="324">
        <v>0</v>
      </c>
      <c r="AB7" s="109"/>
      <c r="AC7" s="29"/>
      <c r="AD7" s="29"/>
      <c r="AE7" s="29"/>
      <c r="AF7" s="29"/>
      <c r="AG7" s="29"/>
      <c r="AH7" s="29"/>
    </row>
    <row r="8" spans="1:43" ht="16.5" thickBot="1">
      <c r="A8" s="442"/>
      <c r="B8" s="175" t="s">
        <v>183</v>
      </c>
      <c r="C8" s="167" t="s">
        <v>202</v>
      </c>
      <c r="D8" s="288">
        <v>0</v>
      </c>
      <c r="E8" s="288">
        <v>0</v>
      </c>
      <c r="F8" s="288">
        <v>0</v>
      </c>
      <c r="G8" s="288">
        <v>0</v>
      </c>
      <c r="H8" s="288">
        <v>13015000</v>
      </c>
      <c r="I8" s="288">
        <v>10015357</v>
      </c>
      <c r="J8" s="288">
        <v>0</v>
      </c>
      <c r="K8" s="288">
        <v>0</v>
      </c>
      <c r="L8" s="289">
        <v>0</v>
      </c>
      <c r="M8" s="329">
        <v>0</v>
      </c>
      <c r="N8" s="288">
        <v>0</v>
      </c>
      <c r="O8" s="288">
        <v>0</v>
      </c>
      <c r="P8" s="289">
        <v>0</v>
      </c>
      <c r="Q8" s="329">
        <v>0</v>
      </c>
      <c r="R8" s="329">
        <v>0</v>
      </c>
      <c r="S8" s="329">
        <v>0</v>
      </c>
      <c r="T8" s="329">
        <v>300000</v>
      </c>
      <c r="U8" s="288">
        <v>17970683</v>
      </c>
      <c r="V8" s="329">
        <v>4500000</v>
      </c>
      <c r="W8" s="288">
        <v>8803526</v>
      </c>
      <c r="X8" s="290">
        <f t="shared" si="0"/>
        <v>17815000</v>
      </c>
      <c r="Y8" s="341">
        <f t="shared" si="1"/>
        <v>36789566</v>
      </c>
      <c r="Z8" s="324">
        <v>0</v>
      </c>
      <c r="AA8" s="324">
        <v>0</v>
      </c>
      <c r="AB8" s="109"/>
      <c r="AC8" s="29"/>
      <c r="AD8" s="29"/>
      <c r="AE8" s="29"/>
      <c r="AF8" s="29"/>
      <c r="AG8" s="29"/>
      <c r="AH8" s="29"/>
    </row>
    <row r="9" spans="1:43" ht="16.5" thickBot="1">
      <c r="A9" s="442"/>
      <c r="B9" s="175" t="s">
        <v>332</v>
      </c>
      <c r="C9" s="293" t="s">
        <v>333</v>
      </c>
      <c r="D9" s="288">
        <v>0</v>
      </c>
      <c r="E9" s="288">
        <v>0</v>
      </c>
      <c r="F9" s="288">
        <v>0</v>
      </c>
      <c r="G9" s="288">
        <v>0</v>
      </c>
      <c r="H9" s="288">
        <v>0</v>
      </c>
      <c r="I9" s="288">
        <v>0</v>
      </c>
      <c r="J9" s="329">
        <v>2340400</v>
      </c>
      <c r="K9" s="329">
        <v>0</v>
      </c>
      <c r="L9" s="289">
        <v>0</v>
      </c>
      <c r="M9" s="329">
        <v>0</v>
      </c>
      <c r="N9" s="288">
        <v>0</v>
      </c>
      <c r="O9" s="288">
        <v>0</v>
      </c>
      <c r="P9" s="289">
        <v>0</v>
      </c>
      <c r="Q9" s="329">
        <v>0</v>
      </c>
      <c r="R9" s="329">
        <v>0</v>
      </c>
      <c r="S9" s="329">
        <v>0</v>
      </c>
      <c r="T9" s="329">
        <v>0</v>
      </c>
      <c r="U9" s="288">
        <v>0</v>
      </c>
      <c r="V9" s="329">
        <v>0</v>
      </c>
      <c r="W9" s="288">
        <v>0</v>
      </c>
      <c r="X9" s="290">
        <f t="shared" si="0"/>
        <v>2340400</v>
      </c>
      <c r="Y9" s="341">
        <f t="shared" si="1"/>
        <v>0</v>
      </c>
      <c r="Z9" s="324">
        <v>0</v>
      </c>
      <c r="AA9" s="324">
        <v>0</v>
      </c>
      <c r="AB9" s="109"/>
      <c r="AC9" s="29"/>
      <c r="AD9" s="29"/>
      <c r="AE9" s="29"/>
      <c r="AF9" s="29"/>
      <c r="AG9" s="29"/>
      <c r="AH9" s="29"/>
    </row>
    <row r="10" spans="1:43" ht="16.5" thickBot="1">
      <c r="A10" s="442"/>
      <c r="B10" s="175" t="s">
        <v>422</v>
      </c>
      <c r="C10" s="293" t="s">
        <v>423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140000</v>
      </c>
      <c r="J10" s="329">
        <v>0</v>
      </c>
      <c r="K10" s="329">
        <v>0</v>
      </c>
      <c r="L10" s="289">
        <v>0</v>
      </c>
      <c r="M10" s="329">
        <v>0</v>
      </c>
      <c r="N10" s="288">
        <v>0</v>
      </c>
      <c r="O10" s="288">
        <v>0</v>
      </c>
      <c r="P10" s="289">
        <v>0</v>
      </c>
      <c r="Q10" s="329">
        <v>0</v>
      </c>
      <c r="R10" s="329">
        <v>0</v>
      </c>
      <c r="S10" s="329">
        <v>0</v>
      </c>
      <c r="T10" s="329">
        <v>0</v>
      </c>
      <c r="U10" s="288">
        <v>0</v>
      </c>
      <c r="V10" s="329">
        <v>0</v>
      </c>
      <c r="W10" s="288">
        <v>0</v>
      </c>
      <c r="X10" s="290">
        <f t="shared" si="0"/>
        <v>0</v>
      </c>
      <c r="Y10" s="341">
        <f t="shared" si="1"/>
        <v>140000</v>
      </c>
      <c r="Z10" s="324"/>
      <c r="AA10" s="324"/>
      <c r="AB10" s="109"/>
      <c r="AC10" s="29"/>
      <c r="AD10" s="29"/>
      <c r="AE10" s="29"/>
      <c r="AF10" s="29"/>
      <c r="AG10" s="29"/>
      <c r="AH10" s="29"/>
    </row>
    <row r="11" spans="1:43" ht="16.5" thickBot="1">
      <c r="A11" s="442"/>
      <c r="B11" s="175" t="s">
        <v>185</v>
      </c>
      <c r="C11" s="292" t="s">
        <v>204</v>
      </c>
      <c r="D11" s="288">
        <v>9771000</v>
      </c>
      <c r="E11" s="288">
        <v>37433137</v>
      </c>
      <c r="F11" s="288">
        <v>1017000</v>
      </c>
      <c r="G11" s="288">
        <v>3796204</v>
      </c>
      <c r="H11" s="288">
        <v>0</v>
      </c>
      <c r="I11" s="288">
        <v>7025070</v>
      </c>
      <c r="J11" s="288">
        <v>0</v>
      </c>
      <c r="K11" s="288">
        <v>0</v>
      </c>
      <c r="L11" s="289">
        <v>0</v>
      </c>
      <c r="M11" s="329">
        <v>0</v>
      </c>
      <c r="N11" s="288">
        <v>0</v>
      </c>
      <c r="O11" s="288">
        <v>0</v>
      </c>
      <c r="P11" s="289">
        <v>0</v>
      </c>
      <c r="Q11" s="329">
        <v>0</v>
      </c>
      <c r="R11" s="329">
        <v>0</v>
      </c>
      <c r="S11" s="329">
        <v>0</v>
      </c>
      <c r="T11" s="329">
        <v>0</v>
      </c>
      <c r="U11" s="288">
        <v>425860</v>
      </c>
      <c r="V11" s="329">
        <v>0</v>
      </c>
      <c r="W11" s="288">
        <v>0</v>
      </c>
      <c r="X11" s="290">
        <f t="shared" si="0"/>
        <v>10788000</v>
      </c>
      <c r="Y11" s="341">
        <f t="shared" si="1"/>
        <v>48680271</v>
      </c>
      <c r="Z11" s="324">
        <v>55</v>
      </c>
      <c r="AA11" s="324">
        <v>23</v>
      </c>
      <c r="AB11" s="109"/>
      <c r="AC11" s="29"/>
      <c r="AD11" s="29"/>
      <c r="AE11" s="29"/>
      <c r="AF11" s="29"/>
      <c r="AG11" s="29"/>
      <c r="AH11" s="29"/>
    </row>
    <row r="12" spans="1:43" ht="16.5" thickBot="1">
      <c r="A12" s="442"/>
      <c r="B12" s="175" t="s">
        <v>351</v>
      </c>
      <c r="C12" s="292" t="s">
        <v>352</v>
      </c>
      <c r="D12" s="288">
        <v>0</v>
      </c>
      <c r="E12" s="288">
        <v>12718655</v>
      </c>
      <c r="F12" s="288">
        <v>0</v>
      </c>
      <c r="G12" s="288">
        <v>1290574</v>
      </c>
      <c r="H12" s="288">
        <v>0</v>
      </c>
      <c r="I12" s="288">
        <v>1596645</v>
      </c>
      <c r="J12" s="288">
        <v>0</v>
      </c>
      <c r="K12" s="288">
        <v>0</v>
      </c>
      <c r="L12" s="289">
        <v>0</v>
      </c>
      <c r="M12" s="289">
        <v>0</v>
      </c>
      <c r="N12" s="288">
        <v>0</v>
      </c>
      <c r="O12" s="288">
        <v>0</v>
      </c>
      <c r="P12" s="289">
        <v>0</v>
      </c>
      <c r="Q12" s="289">
        <v>0</v>
      </c>
      <c r="R12" s="289">
        <v>0</v>
      </c>
      <c r="S12" s="289">
        <v>0</v>
      </c>
      <c r="T12" s="329">
        <v>0</v>
      </c>
      <c r="U12" s="288">
        <v>152000</v>
      </c>
      <c r="V12" s="329">
        <v>0</v>
      </c>
      <c r="W12" s="288">
        <v>0</v>
      </c>
      <c r="X12" s="290">
        <f t="shared" si="0"/>
        <v>0</v>
      </c>
      <c r="Y12" s="341">
        <f t="shared" si="1"/>
        <v>15757874</v>
      </c>
      <c r="Z12" s="324">
        <v>0</v>
      </c>
      <c r="AA12" s="324">
        <v>0</v>
      </c>
      <c r="AB12" s="109"/>
      <c r="AC12" s="29"/>
      <c r="AD12" s="29"/>
      <c r="AE12" s="29"/>
      <c r="AF12" s="29"/>
      <c r="AG12" s="29"/>
      <c r="AH12" s="29"/>
    </row>
    <row r="13" spans="1:43" ht="16.5" thickBot="1">
      <c r="A13" s="442"/>
      <c r="B13" s="175" t="s">
        <v>186</v>
      </c>
      <c r="C13" s="292" t="s">
        <v>205</v>
      </c>
      <c r="D13" s="288">
        <v>3180000</v>
      </c>
      <c r="E13" s="288">
        <v>0</v>
      </c>
      <c r="F13" s="288">
        <v>324000</v>
      </c>
      <c r="G13" s="288">
        <v>76000</v>
      </c>
      <c r="H13" s="288">
        <v>0</v>
      </c>
      <c r="I13" s="288">
        <v>86089</v>
      </c>
      <c r="J13" s="288">
        <v>0</v>
      </c>
      <c r="K13" s="288">
        <v>0</v>
      </c>
      <c r="L13" s="289">
        <v>0</v>
      </c>
      <c r="M13" s="289">
        <v>0</v>
      </c>
      <c r="N13" s="288">
        <v>0</v>
      </c>
      <c r="O13" s="288">
        <v>0</v>
      </c>
      <c r="P13" s="289">
        <v>0</v>
      </c>
      <c r="Q13" s="289">
        <v>0</v>
      </c>
      <c r="R13" s="289">
        <v>0</v>
      </c>
      <c r="S13" s="289">
        <v>0</v>
      </c>
      <c r="T13" s="329">
        <v>0</v>
      </c>
      <c r="U13" s="288">
        <v>0</v>
      </c>
      <c r="V13" s="329">
        <v>0</v>
      </c>
      <c r="W13" s="288">
        <v>0</v>
      </c>
      <c r="X13" s="290">
        <f t="shared" si="0"/>
        <v>3504000</v>
      </c>
      <c r="Y13" s="341">
        <f t="shared" si="1"/>
        <v>162089</v>
      </c>
      <c r="Z13" s="324">
        <v>13</v>
      </c>
      <c r="AA13" s="324">
        <f>8+5</f>
        <v>13</v>
      </c>
      <c r="AB13" s="109"/>
      <c r="AC13" s="29"/>
      <c r="AD13" s="29"/>
      <c r="AE13" s="29"/>
      <c r="AF13" s="29"/>
      <c r="AG13" s="29"/>
      <c r="AH13" s="29"/>
    </row>
    <row r="14" spans="1:43" ht="16.5" thickBot="1">
      <c r="A14" s="442"/>
      <c r="B14" s="178" t="s">
        <v>187</v>
      </c>
      <c r="C14" s="292" t="s">
        <v>266</v>
      </c>
      <c r="D14" s="288">
        <v>0</v>
      </c>
      <c r="E14" s="288">
        <v>0</v>
      </c>
      <c r="F14" s="288">
        <v>0</v>
      </c>
      <c r="G14" s="288">
        <v>0</v>
      </c>
      <c r="H14" s="288">
        <v>4200000</v>
      </c>
      <c r="I14" s="288">
        <v>735603</v>
      </c>
      <c r="J14" s="288">
        <v>0</v>
      </c>
      <c r="K14" s="288">
        <v>0</v>
      </c>
      <c r="L14" s="289">
        <v>0</v>
      </c>
      <c r="M14" s="289">
        <v>0</v>
      </c>
      <c r="N14" s="288">
        <v>0</v>
      </c>
      <c r="O14" s="288">
        <v>0</v>
      </c>
      <c r="P14" s="289">
        <v>0</v>
      </c>
      <c r="Q14" s="289">
        <v>0</v>
      </c>
      <c r="R14" s="289">
        <v>0</v>
      </c>
      <c r="S14" s="289">
        <v>0</v>
      </c>
      <c r="T14" s="329">
        <v>23447542</v>
      </c>
      <c r="U14" s="288">
        <v>23447542</v>
      </c>
      <c r="V14" s="329">
        <v>41745966</v>
      </c>
      <c r="W14" s="288">
        <v>14136277</v>
      </c>
      <c r="X14" s="290">
        <f t="shared" si="0"/>
        <v>69393508</v>
      </c>
      <c r="Y14" s="341">
        <f t="shared" si="1"/>
        <v>38319422</v>
      </c>
      <c r="Z14" s="324">
        <v>0</v>
      </c>
      <c r="AA14" s="324">
        <v>0</v>
      </c>
      <c r="AB14" s="109"/>
      <c r="AC14" s="29"/>
      <c r="AD14" s="29"/>
      <c r="AE14" s="29"/>
      <c r="AF14" s="29"/>
      <c r="AG14" s="29"/>
      <c r="AH14" s="29"/>
    </row>
    <row r="15" spans="1:43" ht="16.5" thickBot="1">
      <c r="A15" s="442"/>
      <c r="B15" s="294" t="s">
        <v>188</v>
      </c>
      <c r="C15" s="292" t="s">
        <v>267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140000</v>
      </c>
      <c r="K15" s="288">
        <v>0</v>
      </c>
      <c r="L15" s="289">
        <v>0</v>
      </c>
      <c r="M15" s="289">
        <v>0</v>
      </c>
      <c r="N15" s="288">
        <v>0</v>
      </c>
      <c r="O15" s="288">
        <v>0</v>
      </c>
      <c r="P15" s="289">
        <v>0</v>
      </c>
      <c r="Q15" s="289">
        <v>0</v>
      </c>
      <c r="R15" s="289">
        <v>0</v>
      </c>
      <c r="S15" s="289">
        <v>0</v>
      </c>
      <c r="T15" s="329">
        <v>0</v>
      </c>
      <c r="U15" s="288">
        <v>0</v>
      </c>
      <c r="V15" s="329">
        <v>0</v>
      </c>
      <c r="W15" s="288">
        <v>0</v>
      </c>
      <c r="X15" s="290">
        <f t="shared" si="0"/>
        <v>140000</v>
      </c>
      <c r="Y15" s="341">
        <f t="shared" si="1"/>
        <v>0</v>
      </c>
      <c r="Z15" s="324">
        <v>0</v>
      </c>
      <c r="AA15" s="324">
        <v>0</v>
      </c>
      <c r="AB15" s="109"/>
      <c r="AC15" s="29"/>
      <c r="AD15" s="29"/>
      <c r="AE15" s="29"/>
      <c r="AF15" s="29"/>
      <c r="AG15" s="29"/>
      <c r="AH15" s="29"/>
    </row>
    <row r="16" spans="1:43" ht="16.5" thickBot="1">
      <c r="A16" s="442"/>
      <c r="B16" s="175" t="s">
        <v>189</v>
      </c>
      <c r="C16" s="292" t="s">
        <v>206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2694891</v>
      </c>
      <c r="J16" s="288">
        <v>0</v>
      </c>
      <c r="K16" s="288">
        <v>0</v>
      </c>
      <c r="L16" s="289">
        <v>0</v>
      </c>
      <c r="M16" s="289">
        <v>0</v>
      </c>
      <c r="N16" s="288">
        <v>0</v>
      </c>
      <c r="O16" s="288">
        <v>24649594</v>
      </c>
      <c r="P16" s="289">
        <v>0</v>
      </c>
      <c r="Q16" s="289">
        <v>0</v>
      </c>
      <c r="R16" s="289">
        <v>0</v>
      </c>
      <c r="S16" s="289">
        <v>0</v>
      </c>
      <c r="T16" s="329">
        <v>0</v>
      </c>
      <c r="U16" s="288">
        <v>2648562</v>
      </c>
      <c r="V16" s="329">
        <v>0</v>
      </c>
      <c r="W16" s="288">
        <v>0</v>
      </c>
      <c r="X16" s="290">
        <f t="shared" si="0"/>
        <v>0</v>
      </c>
      <c r="Y16" s="341">
        <f t="shared" si="1"/>
        <v>29993047</v>
      </c>
      <c r="Z16" s="324">
        <v>0</v>
      </c>
      <c r="AA16" s="324">
        <v>0</v>
      </c>
      <c r="AB16" s="109"/>
      <c r="AC16" s="29"/>
      <c r="AD16" s="29"/>
      <c r="AE16" s="29"/>
      <c r="AF16" s="29"/>
      <c r="AG16" s="29"/>
      <c r="AH16" s="29"/>
    </row>
    <row r="17" spans="1:34" ht="16.5" thickBot="1">
      <c r="A17" s="442"/>
      <c r="B17" s="175" t="s">
        <v>190</v>
      </c>
      <c r="C17" s="292" t="s">
        <v>207</v>
      </c>
      <c r="D17" s="288">
        <v>0</v>
      </c>
      <c r="E17" s="288">
        <v>0</v>
      </c>
      <c r="F17" s="288">
        <v>0</v>
      </c>
      <c r="G17" s="288">
        <v>0</v>
      </c>
      <c r="H17" s="288">
        <v>380000</v>
      </c>
      <c r="I17" s="288">
        <v>701537</v>
      </c>
      <c r="J17" s="288">
        <v>0</v>
      </c>
      <c r="K17" s="288">
        <v>0</v>
      </c>
      <c r="L17" s="289">
        <v>0</v>
      </c>
      <c r="M17" s="289">
        <v>0</v>
      </c>
      <c r="N17" s="288">
        <v>0</v>
      </c>
      <c r="O17" s="288">
        <v>37613790</v>
      </c>
      <c r="P17" s="289">
        <v>0</v>
      </c>
      <c r="Q17" s="289">
        <v>0</v>
      </c>
      <c r="R17" s="289">
        <v>0</v>
      </c>
      <c r="S17" s="289">
        <v>0</v>
      </c>
      <c r="T17" s="329">
        <v>0</v>
      </c>
      <c r="U17" s="288">
        <v>300000</v>
      </c>
      <c r="V17" s="329">
        <v>0</v>
      </c>
      <c r="W17" s="288">
        <v>42066520</v>
      </c>
      <c r="X17" s="290">
        <f t="shared" si="0"/>
        <v>380000</v>
      </c>
      <c r="Y17" s="341">
        <f t="shared" si="1"/>
        <v>80681847</v>
      </c>
      <c r="Z17" s="324">
        <v>0</v>
      </c>
      <c r="AA17" s="324">
        <v>0</v>
      </c>
      <c r="AB17" s="109"/>
      <c r="AC17" s="29"/>
      <c r="AD17" s="29"/>
      <c r="AE17" s="29"/>
      <c r="AF17" s="29"/>
      <c r="AG17" s="29"/>
      <c r="AH17" s="29"/>
    </row>
    <row r="18" spans="1:34" ht="16.5" thickBot="1">
      <c r="A18" s="442"/>
      <c r="B18" s="175" t="s">
        <v>191</v>
      </c>
      <c r="C18" s="292" t="s">
        <v>48</v>
      </c>
      <c r="D18" s="288">
        <v>0</v>
      </c>
      <c r="E18" s="288">
        <v>0</v>
      </c>
      <c r="F18" s="288">
        <v>0</v>
      </c>
      <c r="G18" s="288">
        <v>0</v>
      </c>
      <c r="H18" s="288">
        <v>6400000</v>
      </c>
      <c r="I18" s="288">
        <v>6471457</v>
      </c>
      <c r="J18" s="288">
        <v>0</v>
      </c>
      <c r="K18" s="288">
        <v>0</v>
      </c>
      <c r="L18" s="289">
        <v>0</v>
      </c>
      <c r="M18" s="289">
        <v>0</v>
      </c>
      <c r="N18" s="288">
        <v>0</v>
      </c>
      <c r="O18" s="288">
        <v>0</v>
      </c>
      <c r="P18" s="289">
        <v>0</v>
      </c>
      <c r="Q18" s="289">
        <v>0</v>
      </c>
      <c r="R18" s="289">
        <v>0</v>
      </c>
      <c r="S18" s="289">
        <v>0</v>
      </c>
      <c r="T18" s="329">
        <v>0</v>
      </c>
      <c r="U18" s="288">
        <v>0</v>
      </c>
      <c r="V18" s="329">
        <v>0</v>
      </c>
      <c r="W18" s="288">
        <v>0</v>
      </c>
      <c r="X18" s="290">
        <f t="shared" si="0"/>
        <v>6400000</v>
      </c>
      <c r="Y18" s="341">
        <f t="shared" si="1"/>
        <v>6471457</v>
      </c>
      <c r="Z18" s="324">
        <v>0</v>
      </c>
      <c r="AA18" s="324">
        <v>0</v>
      </c>
      <c r="AB18" s="109"/>
      <c r="AC18" s="29"/>
      <c r="AD18" s="29"/>
      <c r="AE18" s="29"/>
      <c r="AF18" s="29"/>
      <c r="AG18" s="29"/>
      <c r="AH18" s="29"/>
    </row>
    <row r="19" spans="1:34" ht="16.5" thickBot="1">
      <c r="A19" s="442"/>
      <c r="B19" s="175" t="s">
        <v>165</v>
      </c>
      <c r="C19" s="292" t="s">
        <v>164</v>
      </c>
      <c r="D19" s="288">
        <v>2150000</v>
      </c>
      <c r="E19" s="288">
        <v>2150000</v>
      </c>
      <c r="F19" s="288">
        <v>425000</v>
      </c>
      <c r="G19" s="288">
        <v>425000</v>
      </c>
      <c r="H19" s="288">
        <v>1960000</v>
      </c>
      <c r="I19" s="288">
        <v>1885761</v>
      </c>
      <c r="J19" s="288">
        <v>0</v>
      </c>
      <c r="K19" s="288">
        <v>0</v>
      </c>
      <c r="L19" s="289">
        <v>0</v>
      </c>
      <c r="M19" s="289">
        <v>0</v>
      </c>
      <c r="N19" s="288">
        <v>0</v>
      </c>
      <c r="O19" s="288">
        <v>0</v>
      </c>
      <c r="P19" s="289">
        <v>0</v>
      </c>
      <c r="Q19" s="289">
        <v>0</v>
      </c>
      <c r="R19" s="289">
        <v>0</v>
      </c>
      <c r="S19" s="289">
        <v>0</v>
      </c>
      <c r="T19" s="329">
        <v>0</v>
      </c>
      <c r="U19" s="288">
        <v>0</v>
      </c>
      <c r="V19" s="329">
        <v>0</v>
      </c>
      <c r="W19" s="288">
        <v>0</v>
      </c>
      <c r="X19" s="290">
        <f t="shared" si="0"/>
        <v>4535000</v>
      </c>
      <c r="Y19" s="341">
        <f t="shared" si="1"/>
        <v>4460761</v>
      </c>
      <c r="Z19" s="324">
        <v>1</v>
      </c>
      <c r="AA19" s="324">
        <v>1</v>
      </c>
      <c r="AB19" s="109"/>
      <c r="AC19" s="29"/>
      <c r="AD19" s="29"/>
      <c r="AE19" s="29"/>
      <c r="AF19" s="29"/>
      <c r="AG19" s="29"/>
      <c r="AH19" s="29"/>
    </row>
    <row r="20" spans="1:34" ht="16.5" thickBot="1">
      <c r="A20" s="442"/>
      <c r="B20" s="175" t="s">
        <v>166</v>
      </c>
      <c r="C20" s="292" t="s">
        <v>208</v>
      </c>
      <c r="D20" s="288">
        <v>18232000</v>
      </c>
      <c r="E20" s="288">
        <v>19720106</v>
      </c>
      <c r="F20" s="288">
        <v>3475000</v>
      </c>
      <c r="G20" s="288">
        <v>3537172</v>
      </c>
      <c r="H20" s="288">
        <v>13970000</v>
      </c>
      <c r="I20" s="288">
        <v>12164731</v>
      </c>
      <c r="J20" s="288">
        <v>3260000</v>
      </c>
      <c r="K20" s="288">
        <v>3260000</v>
      </c>
      <c r="L20" s="289">
        <v>0</v>
      </c>
      <c r="M20" s="289">
        <v>0</v>
      </c>
      <c r="N20" s="288">
        <v>0</v>
      </c>
      <c r="O20" s="288">
        <v>77430</v>
      </c>
      <c r="P20" s="289">
        <v>0</v>
      </c>
      <c r="Q20" s="289">
        <v>0</v>
      </c>
      <c r="R20" s="289">
        <v>0</v>
      </c>
      <c r="S20" s="289">
        <v>743685</v>
      </c>
      <c r="T20" s="329">
        <v>570000</v>
      </c>
      <c r="U20" s="288">
        <v>450000</v>
      </c>
      <c r="V20" s="329">
        <v>4189100</v>
      </c>
      <c r="W20" s="288">
        <v>4509100</v>
      </c>
      <c r="X20" s="290">
        <f t="shared" si="0"/>
        <v>43696100</v>
      </c>
      <c r="Y20" s="341">
        <f t="shared" si="1"/>
        <v>44462224</v>
      </c>
      <c r="Z20" s="324">
        <v>7</v>
      </c>
      <c r="AA20" s="324">
        <v>8</v>
      </c>
      <c r="AB20" s="109"/>
      <c r="AC20" s="29"/>
      <c r="AD20" s="29"/>
      <c r="AE20" s="29"/>
      <c r="AF20" s="29"/>
      <c r="AG20" s="29"/>
      <c r="AH20" s="29"/>
    </row>
    <row r="21" spans="1:34" ht="16.5" thickBot="1">
      <c r="A21" s="442"/>
      <c r="B21" s="175" t="s">
        <v>192</v>
      </c>
      <c r="C21" s="292" t="s">
        <v>209</v>
      </c>
      <c r="D21" s="288">
        <v>0</v>
      </c>
      <c r="E21" s="288">
        <v>0</v>
      </c>
      <c r="F21" s="288">
        <v>0</v>
      </c>
      <c r="G21" s="288">
        <v>0</v>
      </c>
      <c r="H21" s="288">
        <v>1200000</v>
      </c>
      <c r="I21" s="288">
        <v>1919983</v>
      </c>
      <c r="J21" s="288">
        <v>90000</v>
      </c>
      <c r="K21" s="288">
        <v>90000</v>
      </c>
      <c r="L21" s="289">
        <v>0</v>
      </c>
      <c r="M21" s="289">
        <v>0</v>
      </c>
      <c r="N21" s="288">
        <v>0</v>
      </c>
      <c r="O21" s="288">
        <v>0</v>
      </c>
      <c r="P21" s="289">
        <v>0</v>
      </c>
      <c r="Q21" s="289">
        <v>0</v>
      </c>
      <c r="R21" s="289">
        <v>0</v>
      </c>
      <c r="S21" s="289">
        <v>0</v>
      </c>
      <c r="T21" s="329">
        <v>153625000</v>
      </c>
      <c r="U21" s="288">
        <v>154837440</v>
      </c>
      <c r="V21" s="329">
        <v>0</v>
      </c>
      <c r="W21" s="288">
        <v>0</v>
      </c>
      <c r="X21" s="290">
        <f t="shared" si="0"/>
        <v>154915000</v>
      </c>
      <c r="Y21" s="341">
        <f t="shared" si="1"/>
        <v>156847423</v>
      </c>
      <c r="Z21" s="324">
        <v>0</v>
      </c>
      <c r="AA21" s="324">
        <v>0</v>
      </c>
      <c r="AB21" s="109"/>
      <c r="AC21" s="29"/>
      <c r="AD21" s="29"/>
      <c r="AE21" s="29"/>
      <c r="AF21" s="29"/>
      <c r="AG21" s="29"/>
      <c r="AH21" s="29"/>
    </row>
    <row r="22" spans="1:34" ht="16.5" thickBot="1">
      <c r="A22" s="442"/>
      <c r="B22" s="175" t="s">
        <v>193</v>
      </c>
      <c r="C22" s="292" t="s">
        <v>210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9">
        <v>0</v>
      </c>
      <c r="M22" s="289">
        <v>0</v>
      </c>
      <c r="N22" s="288">
        <v>0</v>
      </c>
      <c r="O22" s="288">
        <v>0</v>
      </c>
      <c r="P22" s="289">
        <v>0</v>
      </c>
      <c r="Q22" s="289">
        <v>0</v>
      </c>
      <c r="R22" s="289">
        <v>0</v>
      </c>
      <c r="S22" s="289">
        <v>0</v>
      </c>
      <c r="T22" s="329">
        <v>0</v>
      </c>
      <c r="U22" s="288">
        <v>0</v>
      </c>
      <c r="V22" s="329">
        <v>0</v>
      </c>
      <c r="W22" s="288">
        <v>0</v>
      </c>
      <c r="X22" s="290">
        <f t="shared" si="0"/>
        <v>0</v>
      </c>
      <c r="Y22" s="341">
        <f t="shared" si="1"/>
        <v>0</v>
      </c>
      <c r="Z22" s="324">
        <v>0</v>
      </c>
      <c r="AA22" s="324">
        <v>0</v>
      </c>
      <c r="AB22" s="109"/>
      <c r="AC22" s="29"/>
      <c r="AD22" s="29"/>
      <c r="AE22" s="29"/>
      <c r="AF22" s="29"/>
      <c r="AG22" s="29"/>
      <c r="AH22" s="29"/>
    </row>
    <row r="23" spans="1:34" ht="16.5" thickBot="1">
      <c r="A23" s="442"/>
      <c r="B23" s="175" t="s">
        <v>167</v>
      </c>
      <c r="C23" s="293" t="s">
        <v>49</v>
      </c>
      <c r="D23" s="288">
        <v>10750000</v>
      </c>
      <c r="E23" s="288">
        <v>11105873</v>
      </c>
      <c r="F23" s="288">
        <v>2110000</v>
      </c>
      <c r="G23" s="288">
        <v>2185977</v>
      </c>
      <c r="H23" s="288">
        <v>1095000</v>
      </c>
      <c r="I23" s="288">
        <v>1222608</v>
      </c>
      <c r="J23" s="288">
        <v>0</v>
      </c>
      <c r="K23" s="288">
        <v>0</v>
      </c>
      <c r="L23" s="289">
        <v>0</v>
      </c>
      <c r="M23" s="289">
        <v>0</v>
      </c>
      <c r="N23" s="288">
        <v>0</v>
      </c>
      <c r="O23" s="288">
        <v>0</v>
      </c>
      <c r="P23" s="289">
        <v>0</v>
      </c>
      <c r="Q23" s="289">
        <v>0</v>
      </c>
      <c r="R23" s="289">
        <v>0</v>
      </c>
      <c r="S23" s="289">
        <v>0</v>
      </c>
      <c r="T23" s="329">
        <v>0</v>
      </c>
      <c r="U23" s="288">
        <v>0</v>
      </c>
      <c r="V23" s="329">
        <v>0</v>
      </c>
      <c r="W23" s="288">
        <v>0</v>
      </c>
      <c r="X23" s="290">
        <f t="shared" si="0"/>
        <v>13955000</v>
      </c>
      <c r="Y23" s="341">
        <f t="shared" si="1"/>
        <v>14514458</v>
      </c>
      <c r="Z23" s="324">
        <v>3</v>
      </c>
      <c r="AA23" s="324">
        <v>3</v>
      </c>
      <c r="AB23" s="109"/>
      <c r="AC23" s="29"/>
      <c r="AD23" s="29"/>
      <c r="AE23" s="29"/>
      <c r="AF23" s="29"/>
      <c r="AG23" s="29"/>
      <c r="AH23" s="29"/>
    </row>
    <row r="24" spans="1:34" ht="16.5" thickBot="1">
      <c r="A24" s="442"/>
      <c r="B24" s="177" t="s">
        <v>195</v>
      </c>
      <c r="C24" s="293" t="s">
        <v>212</v>
      </c>
      <c r="D24" s="288">
        <v>320000</v>
      </c>
      <c r="E24" s="288">
        <v>215141</v>
      </c>
      <c r="F24" s="288">
        <v>64000</v>
      </c>
      <c r="G24" s="288">
        <v>64000</v>
      </c>
      <c r="H24" s="288">
        <v>1572000</v>
      </c>
      <c r="I24" s="288">
        <v>2022998</v>
      </c>
      <c r="J24" s="288">
        <v>1500000</v>
      </c>
      <c r="K24" s="288">
        <v>1500000</v>
      </c>
      <c r="L24" s="289">
        <v>0</v>
      </c>
      <c r="M24" s="289">
        <v>0</v>
      </c>
      <c r="N24" s="288">
        <v>0</v>
      </c>
      <c r="O24" s="288">
        <v>0</v>
      </c>
      <c r="P24" s="289">
        <v>0</v>
      </c>
      <c r="Q24" s="289">
        <v>0</v>
      </c>
      <c r="R24" s="289">
        <v>0</v>
      </c>
      <c r="S24" s="289">
        <v>0</v>
      </c>
      <c r="T24" s="329">
        <v>0</v>
      </c>
      <c r="U24" s="288">
        <v>135400</v>
      </c>
      <c r="V24" s="329">
        <v>0</v>
      </c>
      <c r="W24" s="288">
        <v>23529412</v>
      </c>
      <c r="X24" s="290">
        <f t="shared" si="0"/>
        <v>3456000</v>
      </c>
      <c r="Y24" s="341">
        <f t="shared" si="1"/>
        <v>27466951</v>
      </c>
      <c r="Z24" s="324">
        <v>0</v>
      </c>
      <c r="AA24" s="324">
        <v>0</v>
      </c>
      <c r="AB24" s="109"/>
      <c r="AC24" s="29"/>
      <c r="AD24" s="29"/>
      <c r="AE24" s="29"/>
      <c r="AF24" s="29"/>
      <c r="AG24" s="29"/>
      <c r="AH24" s="29"/>
    </row>
    <row r="25" spans="1:34" ht="16.5" thickBot="1">
      <c r="A25" s="442"/>
      <c r="B25" s="175" t="s">
        <v>268</v>
      </c>
      <c r="C25" s="293" t="s">
        <v>213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67134309</v>
      </c>
      <c r="K25" s="288">
        <v>71037706</v>
      </c>
      <c r="L25" s="289">
        <v>0</v>
      </c>
      <c r="M25" s="289">
        <v>0</v>
      </c>
      <c r="N25" s="288">
        <v>0</v>
      </c>
      <c r="O25" s="288">
        <v>0</v>
      </c>
      <c r="P25" s="289">
        <v>0</v>
      </c>
      <c r="Q25" s="289">
        <v>0</v>
      </c>
      <c r="R25" s="289">
        <v>0</v>
      </c>
      <c r="S25" s="289">
        <v>0</v>
      </c>
      <c r="T25" s="329">
        <v>0</v>
      </c>
      <c r="U25" s="288">
        <v>0</v>
      </c>
      <c r="V25" s="329">
        <v>0</v>
      </c>
      <c r="W25" s="288">
        <v>0</v>
      </c>
      <c r="X25" s="290">
        <f t="shared" si="0"/>
        <v>67134309</v>
      </c>
      <c r="Y25" s="341">
        <f t="shared" si="1"/>
        <v>71037706</v>
      </c>
      <c r="Z25" s="324">
        <v>0</v>
      </c>
      <c r="AA25" s="324">
        <v>0</v>
      </c>
      <c r="AB25" s="109"/>
      <c r="AC25" s="29"/>
      <c r="AD25" s="29"/>
      <c r="AE25" s="29"/>
      <c r="AF25" s="29"/>
      <c r="AG25" s="29"/>
      <c r="AH25" s="29"/>
    </row>
    <row r="26" spans="1:34" ht="16.5" thickBot="1">
      <c r="A26" s="442"/>
      <c r="B26" s="175" t="s">
        <v>198</v>
      </c>
      <c r="C26" s="293" t="s">
        <v>169</v>
      </c>
      <c r="D26" s="288">
        <v>4390000</v>
      </c>
      <c r="E26" s="288">
        <v>4594000</v>
      </c>
      <c r="F26" s="288">
        <v>850000</v>
      </c>
      <c r="G26" s="288">
        <v>889780</v>
      </c>
      <c r="H26" s="288">
        <v>2110000</v>
      </c>
      <c r="I26" s="288">
        <v>2110000</v>
      </c>
      <c r="J26" s="288">
        <v>0</v>
      </c>
      <c r="K26" s="288">
        <v>0</v>
      </c>
      <c r="L26" s="289">
        <v>0</v>
      </c>
      <c r="M26" s="288">
        <v>0</v>
      </c>
      <c r="N26" s="288">
        <v>0</v>
      </c>
      <c r="O26" s="288">
        <v>0</v>
      </c>
      <c r="P26" s="289">
        <v>0</v>
      </c>
      <c r="Q26" s="329">
        <v>0</v>
      </c>
      <c r="R26" s="329">
        <v>0</v>
      </c>
      <c r="S26" s="329">
        <v>0</v>
      </c>
      <c r="T26" s="329">
        <v>812024</v>
      </c>
      <c r="U26" s="288">
        <v>932024</v>
      </c>
      <c r="V26" s="329">
        <v>0</v>
      </c>
      <c r="W26" s="288">
        <v>0</v>
      </c>
      <c r="X26" s="290">
        <f t="shared" si="0"/>
        <v>8162024</v>
      </c>
      <c r="Y26" s="341">
        <f t="shared" si="1"/>
        <v>8525804</v>
      </c>
      <c r="Z26" s="324">
        <v>2</v>
      </c>
      <c r="AA26" s="324">
        <v>2</v>
      </c>
      <c r="AB26" s="109"/>
      <c r="AC26" s="29"/>
      <c r="AD26" s="29"/>
      <c r="AE26" s="29"/>
      <c r="AF26" s="29"/>
      <c r="AG26" s="29"/>
      <c r="AH26" s="29"/>
    </row>
    <row r="27" spans="1:34" ht="16.5" thickBot="1">
      <c r="A27" s="442"/>
      <c r="B27" s="175" t="s">
        <v>199</v>
      </c>
      <c r="C27" s="293" t="s">
        <v>215</v>
      </c>
      <c r="D27" s="288">
        <v>0</v>
      </c>
      <c r="E27" s="288">
        <v>0</v>
      </c>
      <c r="F27" s="288">
        <v>0</v>
      </c>
      <c r="G27" s="288">
        <v>0</v>
      </c>
      <c r="H27" s="288">
        <v>762000</v>
      </c>
      <c r="I27" s="288">
        <v>762000</v>
      </c>
      <c r="J27" s="288">
        <v>0</v>
      </c>
      <c r="K27" s="288">
        <v>0</v>
      </c>
      <c r="L27" s="289">
        <v>0</v>
      </c>
      <c r="M27" s="288">
        <v>0</v>
      </c>
      <c r="N27" s="288">
        <v>0</v>
      </c>
      <c r="O27" s="288">
        <v>5220208</v>
      </c>
      <c r="P27" s="289">
        <v>0</v>
      </c>
      <c r="Q27" s="329">
        <v>0</v>
      </c>
      <c r="R27" s="329">
        <v>0</v>
      </c>
      <c r="S27" s="329">
        <v>0</v>
      </c>
      <c r="T27" s="329">
        <v>292681</v>
      </c>
      <c r="U27" s="288">
        <v>292681</v>
      </c>
      <c r="V27" s="329">
        <v>0</v>
      </c>
      <c r="W27" s="288">
        <v>787111</v>
      </c>
      <c r="X27" s="290">
        <f t="shared" si="0"/>
        <v>1054681</v>
      </c>
      <c r="Y27" s="341">
        <f t="shared" si="1"/>
        <v>7062000</v>
      </c>
      <c r="Z27" s="324">
        <v>0</v>
      </c>
      <c r="AA27" s="324">
        <v>0</v>
      </c>
      <c r="AB27" s="109"/>
      <c r="AC27" s="29"/>
      <c r="AD27" s="29"/>
      <c r="AE27" s="29"/>
      <c r="AF27" s="29"/>
      <c r="AG27" s="29"/>
      <c r="AH27" s="29"/>
    </row>
    <row r="28" spans="1:34" ht="16.5" thickBot="1">
      <c r="A28" s="442"/>
      <c r="B28" s="175" t="s">
        <v>200</v>
      </c>
      <c r="C28" s="293" t="s">
        <v>216</v>
      </c>
      <c r="D28" s="288">
        <v>0</v>
      </c>
      <c r="E28" s="288">
        <v>0</v>
      </c>
      <c r="F28" s="288">
        <v>0</v>
      </c>
      <c r="G28" s="288">
        <v>0</v>
      </c>
      <c r="H28" s="288">
        <v>20000</v>
      </c>
      <c r="I28" s="288">
        <v>95090</v>
      </c>
      <c r="J28" s="288">
        <v>500000</v>
      </c>
      <c r="K28" s="288">
        <v>0</v>
      </c>
      <c r="L28" s="289">
        <f>700000+1600000</f>
        <v>2300000</v>
      </c>
      <c r="M28" s="289">
        <v>2225000</v>
      </c>
      <c r="N28" s="288">
        <v>0</v>
      </c>
      <c r="O28" s="288">
        <v>0</v>
      </c>
      <c r="P28" s="289">
        <v>0</v>
      </c>
      <c r="Q28" s="329">
        <v>0</v>
      </c>
      <c r="R28" s="329">
        <v>0</v>
      </c>
      <c r="S28" s="329">
        <v>0</v>
      </c>
      <c r="T28" s="329">
        <v>0</v>
      </c>
      <c r="U28" s="288">
        <v>0</v>
      </c>
      <c r="V28" s="329">
        <v>0</v>
      </c>
      <c r="W28" s="288">
        <v>0</v>
      </c>
      <c r="X28" s="290">
        <f t="shared" si="0"/>
        <v>2820000</v>
      </c>
      <c r="Y28" s="341">
        <f t="shared" si="1"/>
        <v>2320090</v>
      </c>
      <c r="Z28" s="324">
        <v>0</v>
      </c>
      <c r="AA28" s="324">
        <v>0</v>
      </c>
      <c r="AB28" s="109"/>
      <c r="AC28" s="29"/>
      <c r="AD28" s="29"/>
      <c r="AE28" s="29"/>
      <c r="AF28" s="29"/>
      <c r="AG28" s="29"/>
      <c r="AH28" s="29"/>
    </row>
    <row r="29" spans="1:34" ht="16.5" thickBot="1">
      <c r="A29" s="442"/>
      <c r="B29" s="175" t="s">
        <v>222</v>
      </c>
      <c r="C29" s="373" t="s">
        <v>224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21130</v>
      </c>
      <c r="J29" s="288">
        <v>0</v>
      </c>
      <c r="K29" s="288">
        <v>0</v>
      </c>
      <c r="L29" s="289">
        <v>0</v>
      </c>
      <c r="M29" s="288">
        <v>0</v>
      </c>
      <c r="N29" s="288">
        <v>0</v>
      </c>
      <c r="O29" s="288">
        <v>0</v>
      </c>
      <c r="P29" s="289">
        <v>0</v>
      </c>
      <c r="Q29" s="329">
        <v>0</v>
      </c>
      <c r="R29" s="329">
        <v>0</v>
      </c>
      <c r="S29" s="329">
        <v>0</v>
      </c>
      <c r="T29" s="329">
        <v>2050000</v>
      </c>
      <c r="U29" s="288">
        <v>4385474</v>
      </c>
      <c r="V29" s="329">
        <v>0</v>
      </c>
      <c r="W29" s="288">
        <v>398526</v>
      </c>
      <c r="X29" s="290">
        <f t="shared" si="0"/>
        <v>2050000</v>
      </c>
      <c r="Y29" s="341">
        <f t="shared" si="1"/>
        <v>4805130</v>
      </c>
      <c r="Z29" s="324">
        <v>0</v>
      </c>
      <c r="AA29" s="324">
        <v>0</v>
      </c>
      <c r="AB29" s="109"/>
      <c r="AC29" s="29"/>
      <c r="AD29" s="29"/>
      <c r="AE29" s="29"/>
      <c r="AF29" s="29"/>
      <c r="AG29" s="29"/>
      <c r="AH29" s="29"/>
    </row>
    <row r="30" spans="1:34" ht="16.5" thickBot="1">
      <c r="A30" s="442"/>
      <c r="B30" s="175" t="s">
        <v>269</v>
      </c>
      <c r="C30" s="293" t="s">
        <v>270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31326</v>
      </c>
      <c r="L30" s="289">
        <v>0</v>
      </c>
      <c r="M30" s="288">
        <v>0</v>
      </c>
      <c r="N30" s="288">
        <v>0</v>
      </c>
      <c r="O30" s="288">
        <v>0</v>
      </c>
      <c r="P30" s="289">
        <v>9649634</v>
      </c>
      <c r="Q30" s="289">
        <v>9649634</v>
      </c>
      <c r="R30" s="289">
        <v>0</v>
      </c>
      <c r="S30" s="289">
        <v>0</v>
      </c>
      <c r="T30" s="288">
        <v>0</v>
      </c>
      <c r="U30" s="288">
        <v>0</v>
      </c>
      <c r="V30" s="288">
        <v>0</v>
      </c>
      <c r="W30" s="288">
        <v>0</v>
      </c>
      <c r="X30" s="290">
        <f t="shared" si="0"/>
        <v>9649634</v>
      </c>
      <c r="Y30" s="341">
        <f>+W30+U30+Q30+O30+M30+K30+I30+G30+E30+S30</f>
        <v>9680960</v>
      </c>
      <c r="Z30" s="324">
        <v>0</v>
      </c>
      <c r="AA30" s="324">
        <v>0</v>
      </c>
      <c r="AB30" s="109"/>
      <c r="AC30" s="29"/>
      <c r="AD30" s="29"/>
      <c r="AE30" s="29"/>
      <c r="AF30" s="29"/>
      <c r="AG30" s="29"/>
      <c r="AH30" s="29"/>
    </row>
    <row r="31" spans="1:34" ht="16.5" thickBot="1">
      <c r="A31" s="442"/>
      <c r="B31" s="168" t="s">
        <v>52</v>
      </c>
      <c r="C31" s="168"/>
      <c r="D31" s="290">
        <f t="shared" ref="D31:X31" si="2">SUM(D6:D30)</f>
        <v>64181000</v>
      </c>
      <c r="E31" s="290">
        <f t="shared" si="2"/>
        <v>103438575</v>
      </c>
      <c r="F31" s="290">
        <f t="shared" si="2"/>
        <v>11617000</v>
      </c>
      <c r="G31" s="290">
        <f t="shared" si="2"/>
        <v>15606707</v>
      </c>
      <c r="H31" s="290">
        <f t="shared" si="2"/>
        <v>47319000</v>
      </c>
      <c r="I31" s="290">
        <f t="shared" si="2"/>
        <v>55022933</v>
      </c>
      <c r="J31" s="290">
        <f t="shared" si="2"/>
        <v>74964709</v>
      </c>
      <c r="K31" s="290">
        <f>SUM(K6:K30)</f>
        <v>75927482</v>
      </c>
      <c r="L31" s="290">
        <f t="shared" si="2"/>
        <v>2300000</v>
      </c>
      <c r="M31" s="290">
        <f t="shared" si="2"/>
        <v>2225000</v>
      </c>
      <c r="N31" s="290">
        <f t="shared" si="2"/>
        <v>92103299</v>
      </c>
      <c r="O31" s="290">
        <f t="shared" si="2"/>
        <v>67583132</v>
      </c>
      <c r="P31" s="290">
        <f t="shared" si="2"/>
        <v>9649634</v>
      </c>
      <c r="Q31" s="290">
        <f t="shared" si="2"/>
        <v>9649634</v>
      </c>
      <c r="R31" s="290">
        <f t="shared" si="2"/>
        <v>0</v>
      </c>
      <c r="S31" s="290">
        <f t="shared" si="2"/>
        <v>743685</v>
      </c>
      <c r="T31" s="290">
        <f t="shared" si="2"/>
        <v>181097247</v>
      </c>
      <c r="U31" s="380">
        <f t="shared" si="2"/>
        <v>206047645</v>
      </c>
      <c r="V31" s="290">
        <f t="shared" si="2"/>
        <v>50435066</v>
      </c>
      <c r="W31" s="380">
        <f t="shared" si="2"/>
        <v>94230472</v>
      </c>
      <c r="X31" s="290">
        <f t="shared" si="2"/>
        <v>533666955</v>
      </c>
      <c r="Y31" s="341">
        <f>+SUM(Y6:Y30)</f>
        <v>630475265</v>
      </c>
      <c r="Z31" s="330">
        <f>SUM(Z6:Z30)</f>
        <v>82</v>
      </c>
      <c r="AA31" s="330">
        <f>SUM(AA6:AA30)</f>
        <v>51</v>
      </c>
      <c r="AB31" s="36"/>
      <c r="AC31" s="29"/>
      <c r="AD31" s="109"/>
      <c r="AE31" s="109"/>
      <c r="AF31" s="29"/>
      <c r="AG31" s="29"/>
      <c r="AH31" s="29"/>
    </row>
    <row r="32" spans="1:34" ht="16.5" thickBot="1">
      <c r="A32" s="442"/>
      <c r="B32" s="175" t="s">
        <v>194</v>
      </c>
      <c r="C32" s="293" t="s">
        <v>211</v>
      </c>
      <c r="D32" s="288">
        <v>771000</v>
      </c>
      <c r="E32" s="288">
        <v>771000</v>
      </c>
      <c r="F32" s="288">
        <v>152000</v>
      </c>
      <c r="G32" s="288">
        <v>152000</v>
      </c>
      <c r="H32" s="288">
        <v>260000</v>
      </c>
      <c r="I32" s="288">
        <v>302816</v>
      </c>
      <c r="J32" s="288">
        <v>0</v>
      </c>
      <c r="K32" s="288">
        <v>0</v>
      </c>
      <c r="L32" s="289">
        <v>0</v>
      </c>
      <c r="M32" s="289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T32" s="288">
        <v>0</v>
      </c>
      <c r="U32" s="288">
        <v>0</v>
      </c>
      <c r="V32" s="288">
        <v>0</v>
      </c>
      <c r="W32" s="288">
        <v>0</v>
      </c>
      <c r="X32" s="290">
        <f t="shared" ref="X32" si="3">+V32+T32+P32+N32+L32+J32+H32+F32+D32</f>
        <v>1183000</v>
      </c>
      <c r="Y32" s="341">
        <f t="shared" ref="Y32" si="4">+W32+U32+Q32+O32+M32+K32+I32+G32+E32</f>
        <v>1225816</v>
      </c>
      <c r="Z32" s="324">
        <v>0</v>
      </c>
      <c r="AA32" s="324">
        <v>0</v>
      </c>
      <c r="AB32" s="36"/>
      <c r="AC32" s="29"/>
      <c r="AD32" s="109"/>
      <c r="AE32" s="29"/>
      <c r="AF32" s="29"/>
      <c r="AG32" s="29"/>
      <c r="AH32" s="29"/>
    </row>
    <row r="33" spans="1:34" ht="32.25" thickBot="1">
      <c r="A33" s="442"/>
      <c r="B33" s="175" t="s">
        <v>424</v>
      </c>
      <c r="C33" s="374" t="s">
        <v>425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5361381</v>
      </c>
      <c r="J33" s="288">
        <v>0</v>
      </c>
      <c r="K33" s="288">
        <v>0</v>
      </c>
      <c r="L33" s="289">
        <v>0</v>
      </c>
      <c r="M33" s="289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  <c r="T33" s="288">
        <v>0</v>
      </c>
      <c r="U33" s="288">
        <v>0</v>
      </c>
      <c r="V33" s="288">
        <v>0</v>
      </c>
      <c r="W33" s="288">
        <v>0</v>
      </c>
      <c r="X33" s="290">
        <f t="shared" ref="X33:X40" si="5">+V33+T33+P33+N33+L33+J33+H33+F33+D33</f>
        <v>0</v>
      </c>
      <c r="Y33" s="341">
        <f t="shared" ref="Y33:Y40" si="6">+W33+U33+Q33+O33+M33+K33+I33+G33+E33</f>
        <v>5361381</v>
      </c>
      <c r="Z33" s="324"/>
      <c r="AA33" s="324"/>
      <c r="AB33" s="36"/>
      <c r="AC33" s="29"/>
      <c r="AD33" s="109"/>
      <c r="AE33" s="29"/>
      <c r="AF33" s="29"/>
      <c r="AG33" s="29"/>
      <c r="AH33" s="29"/>
    </row>
    <row r="34" spans="1:34" ht="16.5" thickBot="1">
      <c r="A34" s="442"/>
      <c r="B34" s="175" t="s">
        <v>200</v>
      </c>
      <c r="C34" s="293" t="s">
        <v>171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9">
        <v>567000</v>
      </c>
      <c r="M34" s="289">
        <v>567000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  <c r="T34" s="288">
        <v>0</v>
      </c>
      <c r="U34" s="288">
        <v>0</v>
      </c>
      <c r="V34" s="288">
        <v>0</v>
      </c>
      <c r="W34" s="288">
        <v>0</v>
      </c>
      <c r="X34" s="290">
        <f t="shared" si="5"/>
        <v>567000</v>
      </c>
      <c r="Y34" s="341">
        <f t="shared" si="6"/>
        <v>567000</v>
      </c>
      <c r="Z34" s="324">
        <v>0</v>
      </c>
      <c r="AA34" s="324">
        <v>0</v>
      </c>
      <c r="AB34" s="36"/>
      <c r="AC34" s="29"/>
      <c r="AD34" s="109"/>
      <c r="AE34" s="29"/>
      <c r="AF34" s="29"/>
      <c r="AG34" s="29"/>
      <c r="AH34" s="29"/>
    </row>
    <row r="35" spans="1:34" ht="32.25" customHeight="1" thickBot="1">
      <c r="A35" s="442"/>
      <c r="B35" s="175" t="s">
        <v>200</v>
      </c>
      <c r="C35" s="374" t="s">
        <v>234</v>
      </c>
      <c r="D35" s="288">
        <v>0</v>
      </c>
      <c r="E35" s="288">
        <v>0</v>
      </c>
      <c r="F35" s="288">
        <v>0</v>
      </c>
      <c r="G35" s="288">
        <v>285158666</v>
      </c>
      <c r="H35" s="288">
        <v>0</v>
      </c>
      <c r="I35" s="288">
        <v>0</v>
      </c>
      <c r="J35" s="288">
        <v>0</v>
      </c>
      <c r="K35" s="288">
        <v>0</v>
      </c>
      <c r="L35" s="289">
        <v>800000</v>
      </c>
      <c r="M35" s="289">
        <v>800000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  <c r="T35" s="288">
        <v>0</v>
      </c>
      <c r="U35" s="288">
        <v>0</v>
      </c>
      <c r="V35" s="288">
        <v>0</v>
      </c>
      <c r="W35" s="288">
        <v>0</v>
      </c>
      <c r="X35" s="290">
        <f t="shared" si="5"/>
        <v>800000</v>
      </c>
      <c r="Y35" s="341">
        <f t="shared" si="6"/>
        <v>285958666</v>
      </c>
      <c r="Z35" s="324">
        <v>0</v>
      </c>
      <c r="AA35" s="324">
        <v>0</v>
      </c>
      <c r="AB35" s="36"/>
      <c r="AC35" s="29"/>
      <c r="AD35" s="29"/>
      <c r="AE35" s="29"/>
      <c r="AF35" s="29"/>
      <c r="AG35" s="29"/>
      <c r="AH35" s="29"/>
    </row>
    <row r="36" spans="1:34" ht="16.5" thickBot="1">
      <c r="A36" s="442"/>
      <c r="B36" s="336" t="s">
        <v>338</v>
      </c>
      <c r="C36" s="293" t="s">
        <v>339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9">
        <v>114000</v>
      </c>
      <c r="M36" s="288">
        <v>1286145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  <c r="T36" s="288">
        <v>0</v>
      </c>
      <c r="U36" s="288">
        <v>0</v>
      </c>
      <c r="V36" s="288">
        <v>0</v>
      </c>
      <c r="W36" s="288">
        <v>0</v>
      </c>
      <c r="X36" s="290">
        <f t="shared" si="5"/>
        <v>114000</v>
      </c>
      <c r="Y36" s="341">
        <f t="shared" si="6"/>
        <v>1286145</v>
      </c>
      <c r="Z36" s="324">
        <v>0</v>
      </c>
      <c r="AA36" s="324">
        <v>0</v>
      </c>
      <c r="AB36" s="36"/>
      <c r="AC36" s="29"/>
      <c r="AD36" s="29"/>
      <c r="AE36" s="29"/>
      <c r="AF36" s="29"/>
      <c r="AG36" s="29"/>
      <c r="AH36" s="29"/>
    </row>
    <row r="37" spans="1:34" ht="16.5" thickBot="1">
      <c r="A37" s="442"/>
      <c r="B37" s="176" t="s">
        <v>184</v>
      </c>
      <c r="C37" s="292" t="s">
        <v>203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9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  <c r="T37" s="288">
        <v>0</v>
      </c>
      <c r="U37" s="288">
        <v>0</v>
      </c>
      <c r="V37" s="288">
        <v>0</v>
      </c>
      <c r="W37" s="288">
        <v>0</v>
      </c>
      <c r="X37" s="290">
        <f t="shared" si="5"/>
        <v>0</v>
      </c>
      <c r="Y37" s="341">
        <f t="shared" si="6"/>
        <v>0</v>
      </c>
      <c r="Z37" s="324">
        <v>0</v>
      </c>
      <c r="AA37" s="324">
        <v>0</v>
      </c>
      <c r="AB37" s="36"/>
      <c r="AC37" s="29"/>
      <c r="AD37" s="29"/>
      <c r="AE37" s="29"/>
      <c r="AF37" s="29"/>
      <c r="AG37" s="29"/>
      <c r="AH37" s="29"/>
    </row>
    <row r="38" spans="1:34" ht="16.5" thickBot="1">
      <c r="A38" s="442"/>
      <c r="B38" s="294" t="s">
        <v>334</v>
      </c>
      <c r="C38" s="292" t="s">
        <v>336</v>
      </c>
      <c r="D38" s="288">
        <v>0</v>
      </c>
      <c r="E38" s="288">
        <v>3313250</v>
      </c>
      <c r="F38" s="288">
        <v>0</v>
      </c>
      <c r="G38" s="288">
        <v>608540</v>
      </c>
      <c r="H38" s="288">
        <v>0</v>
      </c>
      <c r="I38" s="288">
        <v>11701242</v>
      </c>
      <c r="J38" s="288">
        <v>0</v>
      </c>
      <c r="K38" s="288">
        <v>510000</v>
      </c>
      <c r="L38" s="289">
        <v>0</v>
      </c>
      <c r="M38" s="289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  <c r="T38" s="329">
        <v>48310000</v>
      </c>
      <c r="U38" s="288">
        <v>25397166</v>
      </c>
      <c r="V38" s="288">
        <v>0</v>
      </c>
      <c r="W38" s="288">
        <v>0</v>
      </c>
      <c r="X38" s="290">
        <f t="shared" si="5"/>
        <v>48310000</v>
      </c>
      <c r="Y38" s="341">
        <f t="shared" si="6"/>
        <v>41530198</v>
      </c>
      <c r="Z38" s="324">
        <v>0</v>
      </c>
      <c r="AA38" s="324">
        <v>0</v>
      </c>
      <c r="AB38" s="36"/>
      <c r="AC38" s="29"/>
      <c r="AD38" s="29"/>
      <c r="AE38" s="29"/>
      <c r="AF38" s="29"/>
      <c r="AG38" s="29"/>
      <c r="AH38" s="29"/>
    </row>
    <row r="39" spans="1:34" ht="16.5" thickBot="1">
      <c r="A39" s="442"/>
      <c r="B39" s="294" t="s">
        <v>335</v>
      </c>
      <c r="C39" s="292" t="s">
        <v>337</v>
      </c>
      <c r="D39" s="288">
        <v>0</v>
      </c>
      <c r="E39" s="288">
        <v>12425004</v>
      </c>
      <c r="F39" s="288">
        <v>0</v>
      </c>
      <c r="G39" s="288">
        <v>2069680</v>
      </c>
      <c r="H39" s="288">
        <v>0</v>
      </c>
      <c r="I39" s="288">
        <v>7313790</v>
      </c>
      <c r="J39" s="288">
        <v>0</v>
      </c>
      <c r="K39" s="288">
        <v>0</v>
      </c>
      <c r="L39" s="289">
        <v>0</v>
      </c>
      <c r="M39" s="289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  <c r="T39" s="329">
        <v>44590100</v>
      </c>
      <c r="U39" s="288">
        <v>22053670</v>
      </c>
      <c r="V39" s="288">
        <v>0</v>
      </c>
      <c r="W39" s="288">
        <v>0</v>
      </c>
      <c r="X39" s="290">
        <f t="shared" si="5"/>
        <v>44590100</v>
      </c>
      <c r="Y39" s="341">
        <f t="shared" si="6"/>
        <v>43862144</v>
      </c>
      <c r="Z39" s="324">
        <v>0</v>
      </c>
      <c r="AA39" s="324">
        <v>0</v>
      </c>
      <c r="AB39" s="36"/>
      <c r="AC39" s="29"/>
      <c r="AD39" s="29"/>
      <c r="AE39" s="29"/>
      <c r="AF39" s="29"/>
      <c r="AG39" s="29"/>
      <c r="AH39" s="29"/>
    </row>
    <row r="40" spans="1:34" ht="16.5" thickBot="1">
      <c r="A40" s="442"/>
      <c r="B40" s="168" t="s">
        <v>53</v>
      </c>
      <c r="C40" s="168"/>
      <c r="D40" s="290">
        <f>SUM(D32:D39)</f>
        <v>771000</v>
      </c>
      <c r="E40" s="290">
        <f t="shared" ref="E40:W40" si="7">SUM(E32:E39)</f>
        <v>16509254</v>
      </c>
      <c r="F40" s="290">
        <f t="shared" si="7"/>
        <v>152000</v>
      </c>
      <c r="G40" s="290">
        <f t="shared" si="7"/>
        <v>287988886</v>
      </c>
      <c r="H40" s="290">
        <f t="shared" si="7"/>
        <v>260000</v>
      </c>
      <c r="I40" s="290">
        <f t="shared" si="7"/>
        <v>24679229</v>
      </c>
      <c r="J40" s="290">
        <f t="shared" si="7"/>
        <v>0</v>
      </c>
      <c r="K40" s="290">
        <f t="shared" si="7"/>
        <v>510000</v>
      </c>
      <c r="L40" s="290">
        <f t="shared" si="7"/>
        <v>1481000</v>
      </c>
      <c r="M40" s="290">
        <f t="shared" si="7"/>
        <v>2653145</v>
      </c>
      <c r="N40" s="290">
        <f t="shared" si="7"/>
        <v>0</v>
      </c>
      <c r="O40" s="290">
        <f t="shared" si="7"/>
        <v>0</v>
      </c>
      <c r="P40" s="290">
        <f t="shared" si="7"/>
        <v>0</v>
      </c>
      <c r="Q40" s="290">
        <f t="shared" si="7"/>
        <v>0</v>
      </c>
      <c r="R40" s="290">
        <f t="shared" si="7"/>
        <v>0</v>
      </c>
      <c r="S40" s="290">
        <f t="shared" si="7"/>
        <v>0</v>
      </c>
      <c r="T40" s="290">
        <f t="shared" si="7"/>
        <v>92900100</v>
      </c>
      <c r="U40" s="290">
        <f t="shared" si="7"/>
        <v>47450836</v>
      </c>
      <c r="V40" s="290">
        <f t="shared" si="7"/>
        <v>0</v>
      </c>
      <c r="W40" s="290">
        <f t="shared" si="7"/>
        <v>0</v>
      </c>
      <c r="X40" s="290">
        <f t="shared" si="5"/>
        <v>95564100</v>
      </c>
      <c r="Y40" s="341">
        <f t="shared" si="6"/>
        <v>379791350</v>
      </c>
      <c r="Z40" s="322">
        <v>0</v>
      </c>
      <c r="AA40" s="322">
        <v>0</v>
      </c>
      <c r="AB40" s="36"/>
      <c r="AC40" s="29"/>
      <c r="AD40" s="29"/>
      <c r="AE40" s="29"/>
      <c r="AF40" s="29"/>
      <c r="AG40" s="29"/>
      <c r="AH40" s="29"/>
    </row>
    <row r="41" spans="1:34" ht="16.5" thickBot="1">
      <c r="A41" s="442"/>
      <c r="B41" s="443" t="s">
        <v>54</v>
      </c>
      <c r="C41" s="444"/>
      <c r="D41" s="290">
        <f>D31+D40</f>
        <v>64952000</v>
      </c>
      <c r="E41" s="290">
        <f>E31+E40</f>
        <v>119947829</v>
      </c>
      <c r="F41" s="290">
        <f t="shared" ref="F41:W41" si="8">F31+F40</f>
        <v>11769000</v>
      </c>
      <c r="G41" s="290">
        <f t="shared" si="8"/>
        <v>303595593</v>
      </c>
      <c r="H41" s="290">
        <f t="shared" si="8"/>
        <v>47579000</v>
      </c>
      <c r="I41" s="290">
        <f t="shared" si="8"/>
        <v>79702162</v>
      </c>
      <c r="J41" s="290">
        <f t="shared" si="8"/>
        <v>74964709</v>
      </c>
      <c r="K41" s="290">
        <f t="shared" si="8"/>
        <v>76437482</v>
      </c>
      <c r="L41" s="290">
        <f t="shared" si="8"/>
        <v>3781000</v>
      </c>
      <c r="M41" s="290">
        <f t="shared" si="8"/>
        <v>4878145</v>
      </c>
      <c r="N41" s="290">
        <f t="shared" si="8"/>
        <v>92103299</v>
      </c>
      <c r="O41" s="290">
        <f t="shared" si="8"/>
        <v>67583132</v>
      </c>
      <c r="P41" s="290">
        <f t="shared" si="8"/>
        <v>9649634</v>
      </c>
      <c r="Q41" s="290">
        <f t="shared" si="8"/>
        <v>9649634</v>
      </c>
      <c r="R41" s="290">
        <f t="shared" si="8"/>
        <v>0</v>
      </c>
      <c r="S41" s="290">
        <f t="shared" si="8"/>
        <v>743685</v>
      </c>
      <c r="T41" s="290">
        <f t="shared" si="8"/>
        <v>273997347</v>
      </c>
      <c r="U41" s="290">
        <f t="shared" si="8"/>
        <v>253498481</v>
      </c>
      <c r="V41" s="290">
        <f t="shared" si="8"/>
        <v>50435066</v>
      </c>
      <c r="W41" s="290">
        <f t="shared" si="8"/>
        <v>94230472</v>
      </c>
      <c r="X41" s="290">
        <f>+X40+X31</f>
        <v>629231055</v>
      </c>
      <c r="Y41" s="341">
        <f>+Y40+Y31</f>
        <v>1010266615</v>
      </c>
      <c r="Z41" s="322">
        <f>SUM(Z31,Z40)</f>
        <v>82</v>
      </c>
      <c r="AA41" s="322">
        <f>SUM(AA31,AA40)</f>
        <v>51</v>
      </c>
      <c r="AB41" s="109"/>
      <c r="AC41" s="29"/>
      <c r="AD41" s="29"/>
      <c r="AE41" s="29"/>
      <c r="AF41" s="29"/>
      <c r="AG41" s="29"/>
      <c r="AH41" s="29"/>
    </row>
    <row r="42" spans="1:34" ht="37.9" customHeight="1" thickBot="1">
      <c r="A42" s="442" t="s">
        <v>39</v>
      </c>
      <c r="B42" s="178" t="s">
        <v>163</v>
      </c>
      <c r="C42" s="293" t="s">
        <v>201</v>
      </c>
      <c r="D42" s="288">
        <v>60095000</v>
      </c>
      <c r="E42" s="288">
        <v>63144364</v>
      </c>
      <c r="F42" s="288">
        <v>11710000</v>
      </c>
      <c r="G42" s="288">
        <v>12597311</v>
      </c>
      <c r="H42" s="288">
        <v>12210000</v>
      </c>
      <c r="I42" s="288">
        <v>11166073</v>
      </c>
      <c r="J42" s="288">
        <v>0</v>
      </c>
      <c r="K42" s="288">
        <v>0</v>
      </c>
      <c r="L42" s="289">
        <v>0</v>
      </c>
      <c r="M42" s="289">
        <v>0</v>
      </c>
      <c r="N42" s="288">
        <v>0</v>
      </c>
      <c r="O42" s="288">
        <v>0</v>
      </c>
      <c r="P42" s="289">
        <v>0</v>
      </c>
      <c r="Q42" s="289">
        <v>0</v>
      </c>
      <c r="R42" s="288">
        <v>0</v>
      </c>
      <c r="S42" s="288">
        <v>0</v>
      </c>
      <c r="T42" s="288">
        <v>1651000</v>
      </c>
      <c r="U42" s="288">
        <v>2696600</v>
      </c>
      <c r="V42" s="288">
        <v>0</v>
      </c>
      <c r="W42" s="288">
        <v>0</v>
      </c>
      <c r="X42" s="290">
        <f t="shared" ref="X42" si="9">+V42+T42+P42+N42+L42+J42+H42+F42+D42</f>
        <v>85666000</v>
      </c>
      <c r="Y42" s="341">
        <f t="shared" ref="Y42" si="10">+W42+U42+Q42+O42+M42+K42+I42+G42+E42</f>
        <v>89604348</v>
      </c>
      <c r="Z42" s="323">
        <v>19</v>
      </c>
      <c r="AA42" s="323">
        <v>18</v>
      </c>
      <c r="AC42" s="29"/>
      <c r="AD42" s="29"/>
      <c r="AE42" s="29"/>
      <c r="AF42" s="29"/>
      <c r="AG42" s="29"/>
      <c r="AH42" s="29"/>
    </row>
    <row r="43" spans="1:34" ht="22.5" customHeight="1" thickBot="1">
      <c r="A43" s="442"/>
      <c r="B43" s="337" t="s">
        <v>358</v>
      </c>
      <c r="C43" s="383" t="s">
        <v>359</v>
      </c>
      <c r="D43" s="288">
        <v>0</v>
      </c>
      <c r="E43" s="288">
        <v>1017867</v>
      </c>
      <c r="F43" s="288">
        <v>0</v>
      </c>
      <c r="G43" s="288">
        <v>216061</v>
      </c>
      <c r="H43" s="288">
        <v>0</v>
      </c>
      <c r="I43" s="288">
        <v>67970</v>
      </c>
      <c r="J43" s="288">
        <v>0</v>
      </c>
      <c r="K43" s="288">
        <v>67585</v>
      </c>
      <c r="L43" s="289">
        <v>0</v>
      </c>
      <c r="M43" s="289">
        <v>0</v>
      </c>
      <c r="N43" s="288">
        <v>0</v>
      </c>
      <c r="O43" s="288">
        <v>0</v>
      </c>
      <c r="P43" s="289">
        <v>0</v>
      </c>
      <c r="Q43" s="289">
        <v>0</v>
      </c>
      <c r="R43" s="288">
        <v>0</v>
      </c>
      <c r="S43" s="288">
        <v>0</v>
      </c>
      <c r="T43" s="288">
        <v>0</v>
      </c>
      <c r="U43" s="288">
        <v>0</v>
      </c>
      <c r="V43" s="288">
        <v>0</v>
      </c>
      <c r="W43" s="288">
        <v>0</v>
      </c>
      <c r="X43" s="290">
        <f t="shared" ref="X43:X45" si="11">+V43+T43+P43+N43+L43+J43+H43+F43+D43</f>
        <v>0</v>
      </c>
      <c r="Y43" s="341">
        <f t="shared" ref="Y43:Y45" si="12">+W43+U43+Q43+O43+M43+K43+I43+G43+E43</f>
        <v>1369483</v>
      </c>
      <c r="Z43" s="323">
        <v>0</v>
      </c>
      <c r="AA43" s="323">
        <v>0</v>
      </c>
      <c r="AB43" s="29"/>
      <c r="AC43" s="29"/>
      <c r="AD43" s="29"/>
      <c r="AE43" s="29"/>
      <c r="AF43" s="29"/>
      <c r="AG43" s="29"/>
      <c r="AH43" s="29"/>
    </row>
    <row r="44" spans="1:34" ht="22.5" customHeight="1" thickBot="1">
      <c r="A44" s="442"/>
      <c r="B44" s="337" t="s">
        <v>334</v>
      </c>
      <c r="C44" s="292" t="s">
        <v>336</v>
      </c>
      <c r="D44" s="288">
        <v>0</v>
      </c>
      <c r="E44" s="288">
        <v>5791480</v>
      </c>
      <c r="F44" s="288">
        <v>0</v>
      </c>
      <c r="G44" s="288">
        <v>985665</v>
      </c>
      <c r="H44" s="288">
        <v>0</v>
      </c>
      <c r="I44" s="288">
        <v>0</v>
      </c>
      <c r="J44" s="288">
        <v>0</v>
      </c>
      <c r="K44" s="288">
        <v>0</v>
      </c>
      <c r="L44" s="289">
        <v>0</v>
      </c>
      <c r="M44" s="289">
        <v>0</v>
      </c>
      <c r="N44" s="288">
        <v>0</v>
      </c>
      <c r="O44" s="288">
        <v>0</v>
      </c>
      <c r="P44" s="289">
        <v>0</v>
      </c>
      <c r="Q44" s="289">
        <v>0</v>
      </c>
      <c r="R44" s="288">
        <v>0</v>
      </c>
      <c r="S44" s="288">
        <v>0</v>
      </c>
      <c r="T44" s="288">
        <v>0</v>
      </c>
      <c r="U44" s="288">
        <v>0</v>
      </c>
      <c r="V44" s="288">
        <v>0</v>
      </c>
      <c r="W44" s="288">
        <v>0</v>
      </c>
      <c r="X44" s="290">
        <f t="shared" si="11"/>
        <v>0</v>
      </c>
      <c r="Y44" s="341">
        <f t="shared" si="12"/>
        <v>6777145</v>
      </c>
      <c r="Z44" s="323">
        <v>0</v>
      </c>
      <c r="AA44" s="323">
        <v>0</v>
      </c>
      <c r="AB44" s="29"/>
      <c r="AC44" s="29"/>
      <c r="AD44" s="29"/>
      <c r="AE44" s="29"/>
      <c r="AF44" s="29"/>
      <c r="AG44" s="29"/>
      <c r="AH44" s="29"/>
    </row>
    <row r="45" spans="1:34" ht="39" customHeight="1" thickBot="1">
      <c r="A45" s="442"/>
      <c r="B45" s="339" t="s">
        <v>360</v>
      </c>
      <c r="C45" s="292" t="s">
        <v>337</v>
      </c>
      <c r="D45" s="288">
        <v>0</v>
      </c>
      <c r="E45" s="288">
        <v>4850000</v>
      </c>
      <c r="F45" s="288">
        <v>0</v>
      </c>
      <c r="G45" s="288">
        <v>887250</v>
      </c>
      <c r="H45" s="288">
        <v>0</v>
      </c>
      <c r="I45" s="288">
        <v>0</v>
      </c>
      <c r="J45" s="288">
        <v>0</v>
      </c>
      <c r="K45" s="288">
        <v>0</v>
      </c>
      <c r="L45" s="289">
        <v>0</v>
      </c>
      <c r="M45" s="289">
        <v>0</v>
      </c>
      <c r="N45" s="288">
        <v>0</v>
      </c>
      <c r="O45" s="288">
        <v>0</v>
      </c>
      <c r="P45" s="289">
        <v>0</v>
      </c>
      <c r="Q45" s="289">
        <v>0</v>
      </c>
      <c r="R45" s="288">
        <v>0</v>
      </c>
      <c r="S45" s="288">
        <v>0</v>
      </c>
      <c r="T45" s="288">
        <v>0</v>
      </c>
      <c r="U45" s="288">
        <v>0</v>
      </c>
      <c r="V45" s="288">
        <v>0</v>
      </c>
      <c r="W45" s="288">
        <v>0</v>
      </c>
      <c r="X45" s="290">
        <f t="shared" si="11"/>
        <v>0</v>
      </c>
      <c r="Y45" s="341">
        <f t="shared" si="12"/>
        <v>5737250</v>
      </c>
      <c r="Z45" s="323">
        <v>0</v>
      </c>
      <c r="AA45" s="323">
        <v>0</v>
      </c>
      <c r="AB45" s="29"/>
      <c r="AC45" s="29"/>
      <c r="AD45" s="29"/>
      <c r="AE45" s="29"/>
      <c r="AF45" s="29"/>
      <c r="AG45" s="29"/>
      <c r="AH45" s="29"/>
    </row>
    <row r="46" spans="1:34" ht="16.5" thickBot="1">
      <c r="A46" s="442"/>
      <c r="B46" s="443" t="s">
        <v>55</v>
      </c>
      <c r="C46" s="444"/>
      <c r="D46" s="290">
        <f>D42+D43+D44+D45</f>
        <v>60095000</v>
      </c>
      <c r="E46" s="290">
        <f t="shared" ref="E46:W46" si="13">E42+E43+E44+E45</f>
        <v>74803711</v>
      </c>
      <c r="F46" s="290">
        <f t="shared" si="13"/>
        <v>11710000</v>
      </c>
      <c r="G46" s="290">
        <f t="shared" si="13"/>
        <v>14686287</v>
      </c>
      <c r="H46" s="290">
        <f t="shared" si="13"/>
        <v>12210000</v>
      </c>
      <c r="I46" s="290">
        <f t="shared" si="13"/>
        <v>11234043</v>
      </c>
      <c r="J46" s="290">
        <f t="shared" si="13"/>
        <v>0</v>
      </c>
      <c r="K46" s="290">
        <f t="shared" si="13"/>
        <v>67585</v>
      </c>
      <c r="L46" s="290">
        <f t="shared" si="13"/>
        <v>0</v>
      </c>
      <c r="M46" s="290">
        <f t="shared" si="13"/>
        <v>0</v>
      </c>
      <c r="N46" s="290">
        <f t="shared" si="13"/>
        <v>0</v>
      </c>
      <c r="O46" s="290">
        <f t="shared" si="13"/>
        <v>0</v>
      </c>
      <c r="P46" s="290">
        <f t="shared" si="13"/>
        <v>0</v>
      </c>
      <c r="Q46" s="290">
        <f t="shared" si="13"/>
        <v>0</v>
      </c>
      <c r="R46" s="290">
        <f t="shared" si="13"/>
        <v>0</v>
      </c>
      <c r="S46" s="290">
        <f t="shared" si="13"/>
        <v>0</v>
      </c>
      <c r="T46" s="290">
        <f t="shared" si="13"/>
        <v>1651000</v>
      </c>
      <c r="U46" s="290">
        <f t="shared" si="13"/>
        <v>2696600</v>
      </c>
      <c r="V46" s="290">
        <f t="shared" si="13"/>
        <v>0</v>
      </c>
      <c r="W46" s="290">
        <f t="shared" si="13"/>
        <v>0</v>
      </c>
      <c r="X46" s="290">
        <f>X42+X43+X44+X45</f>
        <v>85666000</v>
      </c>
      <c r="Y46" s="290">
        <f>Y42+Y43+Y44+Y45</f>
        <v>103488226</v>
      </c>
      <c r="Z46" s="322">
        <v>19</v>
      </c>
      <c r="AA46" s="322">
        <f>+AA42</f>
        <v>18</v>
      </c>
      <c r="AB46" s="109"/>
      <c r="AC46" s="29"/>
      <c r="AD46" s="29"/>
      <c r="AE46" s="29"/>
      <c r="AF46" s="29"/>
      <c r="AG46" s="29"/>
      <c r="AH46" s="29"/>
    </row>
    <row r="47" spans="1:34" ht="18.95" customHeight="1" thickBot="1">
      <c r="A47" s="442" t="s">
        <v>41</v>
      </c>
      <c r="B47" s="175" t="s">
        <v>222</v>
      </c>
      <c r="C47" s="167" t="s">
        <v>224</v>
      </c>
      <c r="D47" s="288">
        <v>6001000</v>
      </c>
      <c r="E47" s="288">
        <v>6070000</v>
      </c>
      <c r="F47" s="288">
        <v>1180000</v>
      </c>
      <c r="G47" s="288">
        <v>1180000</v>
      </c>
      <c r="H47" s="288">
        <v>7340000</v>
      </c>
      <c r="I47" s="288">
        <v>7203156</v>
      </c>
      <c r="J47" s="288">
        <v>20000</v>
      </c>
      <c r="K47" s="288">
        <v>20000</v>
      </c>
      <c r="L47" s="289">
        <v>0</v>
      </c>
      <c r="M47" s="289">
        <v>0</v>
      </c>
      <c r="N47" s="288">
        <v>0</v>
      </c>
      <c r="O47" s="288">
        <v>0</v>
      </c>
      <c r="P47" s="289">
        <v>0</v>
      </c>
      <c r="Q47" s="289">
        <v>0</v>
      </c>
      <c r="R47" s="289">
        <v>0</v>
      </c>
      <c r="S47" s="289">
        <v>0</v>
      </c>
      <c r="T47" s="288">
        <v>254000</v>
      </c>
      <c r="U47" s="288">
        <v>737844</v>
      </c>
      <c r="V47" s="288">
        <v>0</v>
      </c>
      <c r="W47" s="288">
        <v>0</v>
      </c>
      <c r="X47" s="290">
        <f t="shared" ref="X47" si="14">+V47+T47+P47+N47+L47+J47+H47+F47+D47</f>
        <v>14795000</v>
      </c>
      <c r="Y47" s="341">
        <f t="shared" ref="Y47" si="15">+W47+U47+Q47+O47+M47+K47+I47+G47+E47</f>
        <v>15211000</v>
      </c>
      <c r="Z47" s="323">
        <v>2</v>
      </c>
      <c r="AA47" s="323">
        <v>2</v>
      </c>
      <c r="AB47" s="29"/>
      <c r="AC47" s="29"/>
      <c r="AD47" s="29"/>
      <c r="AE47" s="29"/>
      <c r="AF47" s="29"/>
      <c r="AG47" s="29"/>
      <c r="AH47" s="29"/>
    </row>
    <row r="48" spans="1:34" ht="22.5" customHeight="1" thickBot="1">
      <c r="A48" s="442"/>
      <c r="B48" s="443" t="s">
        <v>223</v>
      </c>
      <c r="C48" s="444"/>
      <c r="D48" s="290">
        <f>SUM(D47)</f>
        <v>6001000</v>
      </c>
      <c r="E48" s="290">
        <f t="shared" ref="E48:W48" si="16">SUM(E47)</f>
        <v>6070000</v>
      </c>
      <c r="F48" s="290">
        <f t="shared" si="16"/>
        <v>1180000</v>
      </c>
      <c r="G48" s="290">
        <f t="shared" si="16"/>
        <v>1180000</v>
      </c>
      <c r="H48" s="290">
        <f t="shared" si="16"/>
        <v>7340000</v>
      </c>
      <c r="I48" s="290">
        <f t="shared" si="16"/>
        <v>7203156</v>
      </c>
      <c r="J48" s="290">
        <f t="shared" si="16"/>
        <v>20000</v>
      </c>
      <c r="K48" s="290">
        <f t="shared" si="16"/>
        <v>20000</v>
      </c>
      <c r="L48" s="290">
        <f t="shared" si="16"/>
        <v>0</v>
      </c>
      <c r="M48" s="290">
        <f t="shared" si="16"/>
        <v>0</v>
      </c>
      <c r="N48" s="290">
        <f t="shared" si="16"/>
        <v>0</v>
      </c>
      <c r="O48" s="290">
        <f t="shared" si="16"/>
        <v>0</v>
      </c>
      <c r="P48" s="290">
        <f t="shared" si="16"/>
        <v>0</v>
      </c>
      <c r="Q48" s="290">
        <f t="shared" si="16"/>
        <v>0</v>
      </c>
      <c r="R48" s="290">
        <f t="shared" si="16"/>
        <v>0</v>
      </c>
      <c r="S48" s="290">
        <f t="shared" si="16"/>
        <v>0</v>
      </c>
      <c r="T48" s="290">
        <f t="shared" si="16"/>
        <v>254000</v>
      </c>
      <c r="U48" s="290">
        <f t="shared" si="16"/>
        <v>737844</v>
      </c>
      <c r="V48" s="290">
        <f t="shared" si="16"/>
        <v>0</v>
      </c>
      <c r="W48" s="290">
        <f t="shared" si="16"/>
        <v>0</v>
      </c>
      <c r="X48" s="290">
        <f>SUM(X47)</f>
        <v>14795000</v>
      </c>
      <c r="Y48" s="290">
        <f>SUM(Y47)</f>
        <v>15211000</v>
      </c>
      <c r="Z48" s="322">
        <v>2</v>
      </c>
      <c r="AA48" s="322">
        <v>2</v>
      </c>
      <c r="AB48" s="109"/>
      <c r="AC48" s="29"/>
      <c r="AD48" s="29"/>
      <c r="AE48" s="29"/>
      <c r="AF48" s="29"/>
      <c r="AG48" s="29"/>
      <c r="AH48" s="29"/>
    </row>
    <row r="49" spans="1:34" ht="15.75" customHeight="1" thickBot="1">
      <c r="A49" s="372"/>
      <c r="B49" s="384" t="s">
        <v>426</v>
      </c>
      <c r="C49" s="293" t="s">
        <v>427</v>
      </c>
      <c r="D49" s="288">
        <v>0</v>
      </c>
      <c r="E49" s="288">
        <v>0</v>
      </c>
      <c r="F49" s="288">
        <v>0</v>
      </c>
      <c r="G49" s="288">
        <v>0</v>
      </c>
      <c r="H49" s="288">
        <v>0</v>
      </c>
      <c r="I49" s="288">
        <v>933507</v>
      </c>
      <c r="J49" s="288">
        <v>0</v>
      </c>
      <c r="K49" s="288">
        <v>0</v>
      </c>
      <c r="L49" s="289">
        <v>0</v>
      </c>
      <c r="M49" s="289">
        <v>0</v>
      </c>
      <c r="N49" s="288">
        <v>0</v>
      </c>
      <c r="O49" s="288">
        <v>0</v>
      </c>
      <c r="P49" s="289">
        <v>0</v>
      </c>
      <c r="Q49" s="289">
        <v>0</v>
      </c>
      <c r="R49" s="289">
        <v>0</v>
      </c>
      <c r="S49" s="289">
        <v>0</v>
      </c>
      <c r="T49" s="288">
        <v>0</v>
      </c>
      <c r="U49" s="288">
        <v>0</v>
      </c>
      <c r="V49" s="288">
        <v>0</v>
      </c>
      <c r="W49" s="288">
        <v>0</v>
      </c>
      <c r="X49" s="290">
        <f t="shared" ref="X49" si="17">+V49+T49+P49+N49+L49+J49+H49+F49+D49</f>
        <v>0</v>
      </c>
      <c r="Y49" s="341">
        <f t="shared" ref="Y49" si="18">+W49+U49+Q49+O49+M49+K49+I49+G49+E49</f>
        <v>933507</v>
      </c>
      <c r="Z49" s="323">
        <v>0</v>
      </c>
      <c r="AA49" s="323">
        <v>0</v>
      </c>
      <c r="AB49" s="29"/>
      <c r="AC49" s="29"/>
      <c r="AD49" s="29"/>
      <c r="AE49" s="29"/>
      <c r="AF49" s="29"/>
      <c r="AG49" s="29"/>
      <c r="AH49" s="29"/>
    </row>
    <row r="50" spans="1:34" ht="15.75" customHeight="1" thickBot="1">
      <c r="A50" s="442" t="s">
        <v>43</v>
      </c>
      <c r="B50" s="384" t="s">
        <v>227</v>
      </c>
      <c r="C50" s="293" t="s">
        <v>225</v>
      </c>
      <c r="D50" s="288">
        <v>3725200</v>
      </c>
      <c r="E50" s="288">
        <v>3814100</v>
      </c>
      <c r="F50" s="288">
        <v>733500</v>
      </c>
      <c r="G50" s="288">
        <v>733500</v>
      </c>
      <c r="H50" s="288">
        <v>2160000</v>
      </c>
      <c r="I50" s="288">
        <v>1137593</v>
      </c>
      <c r="J50" s="288">
        <v>0</v>
      </c>
      <c r="K50" s="288">
        <v>0</v>
      </c>
      <c r="L50" s="289">
        <v>0</v>
      </c>
      <c r="M50" s="289">
        <v>0</v>
      </c>
      <c r="N50" s="288">
        <v>0</v>
      </c>
      <c r="O50" s="288">
        <v>0</v>
      </c>
      <c r="P50" s="289">
        <v>0</v>
      </c>
      <c r="Q50" s="289">
        <v>0</v>
      </c>
      <c r="R50" s="289">
        <v>0</v>
      </c>
      <c r="S50" s="289">
        <v>0</v>
      </c>
      <c r="T50" s="288">
        <v>222000</v>
      </c>
      <c r="U50" s="288">
        <v>222000</v>
      </c>
      <c r="V50" s="288">
        <v>0</v>
      </c>
      <c r="W50" s="288">
        <v>0</v>
      </c>
      <c r="X50" s="290">
        <f t="shared" ref="X50" si="19">+V50+T50+P50+N50+L50+J50+H50+F50+D50</f>
        <v>6840700</v>
      </c>
      <c r="Y50" s="341">
        <f t="shared" ref="Y50" si="20">+W50+U50+Q50+O50+M50+K50+I50+G50+E50</f>
        <v>5907193</v>
      </c>
      <c r="Z50" s="323">
        <v>1</v>
      </c>
      <c r="AA50" s="323">
        <v>1</v>
      </c>
      <c r="AB50" s="29"/>
      <c r="AC50" s="29"/>
      <c r="AD50" s="29"/>
      <c r="AE50" s="29"/>
      <c r="AF50" s="29"/>
      <c r="AG50" s="29"/>
      <c r="AH50" s="29"/>
    </row>
    <row r="51" spans="1:34" ht="21" customHeight="1" thickBot="1">
      <c r="A51" s="442"/>
      <c r="B51" s="443" t="s">
        <v>226</v>
      </c>
      <c r="C51" s="444"/>
      <c r="D51" s="290">
        <f t="shared" ref="D51:H51" si="21">SUM(D49:D50)</f>
        <v>3725200</v>
      </c>
      <c r="E51" s="290">
        <f t="shared" si="21"/>
        <v>3814100</v>
      </c>
      <c r="F51" s="290">
        <f t="shared" si="21"/>
        <v>733500</v>
      </c>
      <c r="G51" s="290">
        <f t="shared" si="21"/>
        <v>733500</v>
      </c>
      <c r="H51" s="290">
        <f t="shared" si="21"/>
        <v>2160000</v>
      </c>
      <c r="I51" s="290">
        <f>SUM(I49:I50)</f>
        <v>2071100</v>
      </c>
      <c r="J51" s="290">
        <f t="shared" ref="J51" si="22">SUM(J49:J50)</f>
        <v>0</v>
      </c>
      <c r="K51" s="290">
        <f t="shared" ref="K51" si="23">SUM(K49:K50)</f>
        <v>0</v>
      </c>
      <c r="L51" s="290">
        <f t="shared" ref="L51" si="24">SUM(L49:L50)</f>
        <v>0</v>
      </c>
      <c r="M51" s="290">
        <f t="shared" ref="M51" si="25">SUM(M49:M50)</f>
        <v>0</v>
      </c>
      <c r="N51" s="290">
        <f t="shared" ref="N51:O51" si="26">SUM(N49:N50)</f>
        <v>0</v>
      </c>
      <c r="O51" s="290">
        <f t="shared" si="26"/>
        <v>0</v>
      </c>
      <c r="P51" s="290">
        <f t="shared" ref="P51" si="27">SUM(P49:P50)</f>
        <v>0</v>
      </c>
      <c r="Q51" s="290">
        <f t="shared" ref="Q51:T51" si="28">SUM(Q49:Q50)</f>
        <v>0</v>
      </c>
      <c r="R51" s="290">
        <f t="shared" si="28"/>
        <v>0</v>
      </c>
      <c r="S51" s="290">
        <f t="shared" si="28"/>
        <v>0</v>
      </c>
      <c r="T51" s="290">
        <f t="shared" si="28"/>
        <v>222000</v>
      </c>
      <c r="U51" s="290">
        <f t="shared" ref="U51" si="29">SUM(U49:U50)</f>
        <v>222000</v>
      </c>
      <c r="V51" s="290">
        <f t="shared" ref="V51:W51" si="30">SUM(V49:V50)</f>
        <v>0</v>
      </c>
      <c r="W51" s="290">
        <f t="shared" si="30"/>
        <v>0</v>
      </c>
      <c r="X51" s="290">
        <f>+X50+X49</f>
        <v>6840700</v>
      </c>
      <c r="Y51" s="290">
        <f>+Y50+Y49</f>
        <v>6840700</v>
      </c>
      <c r="Z51" s="322">
        <v>1</v>
      </c>
      <c r="AA51" s="322">
        <v>1</v>
      </c>
      <c r="AB51" s="109"/>
      <c r="AC51" s="29"/>
      <c r="AD51" s="29"/>
      <c r="AE51" s="29"/>
      <c r="AF51" s="29"/>
      <c r="AG51" s="29"/>
      <c r="AH51" s="29"/>
    </row>
    <row r="52" spans="1:34" ht="21" customHeight="1" thickBot="1">
      <c r="A52" s="445" t="s">
        <v>155</v>
      </c>
      <c r="B52" s="179" t="s">
        <v>228</v>
      </c>
      <c r="C52" s="180" t="s">
        <v>218</v>
      </c>
      <c r="D52" s="319">
        <v>7745000</v>
      </c>
      <c r="E52" s="319">
        <v>8317474</v>
      </c>
      <c r="F52" s="319">
        <v>1517000</v>
      </c>
      <c r="G52" s="319">
        <v>1949372</v>
      </c>
      <c r="H52" s="319">
        <v>1000000</v>
      </c>
      <c r="I52" s="319">
        <v>1150000</v>
      </c>
      <c r="J52" s="319">
        <v>0</v>
      </c>
      <c r="K52" s="319">
        <v>0</v>
      </c>
      <c r="L52" s="320">
        <v>0</v>
      </c>
      <c r="M52" s="319">
        <v>0</v>
      </c>
      <c r="N52" s="319">
        <v>0</v>
      </c>
      <c r="O52" s="319">
        <v>0</v>
      </c>
      <c r="P52" s="320">
        <v>0</v>
      </c>
      <c r="Q52" s="320">
        <v>0</v>
      </c>
      <c r="R52" s="319">
        <v>0</v>
      </c>
      <c r="S52" s="319">
        <v>0</v>
      </c>
      <c r="T52" s="319">
        <v>0</v>
      </c>
      <c r="U52" s="289">
        <v>0</v>
      </c>
      <c r="V52" s="319">
        <v>0</v>
      </c>
      <c r="W52" s="289">
        <v>0</v>
      </c>
      <c r="X52" s="291">
        <f>+V52+T52+P52+N52+L52+J52+H52+F52+D52</f>
        <v>10262000</v>
      </c>
      <c r="Y52" s="291">
        <f>+W52+U52+Q52+O52+M52+K52+I52+G52+E52</f>
        <v>11416846</v>
      </c>
      <c r="Z52" s="321">
        <v>6</v>
      </c>
      <c r="AA52" s="321">
        <v>6</v>
      </c>
      <c r="AB52" s="29"/>
      <c r="AC52" s="29"/>
      <c r="AD52" s="29"/>
      <c r="AE52" s="29"/>
      <c r="AF52" s="29"/>
      <c r="AG52" s="29"/>
      <c r="AH52" s="29"/>
    </row>
    <row r="53" spans="1:34" ht="34.5" customHeight="1" thickBot="1">
      <c r="A53" s="446"/>
      <c r="B53" s="179" t="s">
        <v>526</v>
      </c>
      <c r="C53" s="403" t="s">
        <v>527</v>
      </c>
      <c r="D53" s="319">
        <v>0</v>
      </c>
      <c r="E53" s="319">
        <v>0</v>
      </c>
      <c r="F53" s="319">
        <v>0</v>
      </c>
      <c r="G53" s="319">
        <v>0</v>
      </c>
      <c r="H53" s="319">
        <v>0</v>
      </c>
      <c r="I53" s="319">
        <v>143348</v>
      </c>
      <c r="J53" s="319">
        <v>0</v>
      </c>
      <c r="K53" s="319">
        <v>0</v>
      </c>
      <c r="L53" s="319">
        <v>0</v>
      </c>
      <c r="M53" s="319">
        <v>0</v>
      </c>
      <c r="N53" s="319">
        <v>0</v>
      </c>
      <c r="O53" s="319">
        <v>0</v>
      </c>
      <c r="P53" s="319">
        <v>0</v>
      </c>
      <c r="Q53" s="319">
        <v>0</v>
      </c>
      <c r="R53" s="319">
        <v>0</v>
      </c>
      <c r="S53" s="319">
        <v>0</v>
      </c>
      <c r="T53" s="319">
        <v>0</v>
      </c>
      <c r="U53" s="319">
        <v>0</v>
      </c>
      <c r="V53" s="319">
        <v>0</v>
      </c>
      <c r="W53" s="319">
        <v>0</v>
      </c>
      <c r="X53" s="291">
        <f>+V53+T53+P53+N53+L53+J53+H53+F53+D53</f>
        <v>0</v>
      </c>
      <c r="Y53" s="291">
        <f t="shared" ref="Y53:Y54" si="31">+W53+U53+Q53+O53+M53+K53+I53+G53+E53</f>
        <v>143348</v>
      </c>
      <c r="Z53" s="321">
        <v>0</v>
      </c>
      <c r="AA53" s="321">
        <v>0</v>
      </c>
      <c r="AB53" s="29"/>
      <c r="AC53" s="29"/>
      <c r="AD53" s="29"/>
      <c r="AE53" s="29"/>
      <c r="AF53" s="29"/>
      <c r="AG53" s="29"/>
      <c r="AH53" s="29"/>
    </row>
    <row r="54" spans="1:34" ht="21" customHeight="1" thickBot="1">
      <c r="A54" s="446"/>
      <c r="B54" s="179" t="s">
        <v>229</v>
      </c>
      <c r="C54" s="180" t="s">
        <v>219</v>
      </c>
      <c r="D54" s="319">
        <v>2640000</v>
      </c>
      <c r="E54" s="319">
        <v>2664382</v>
      </c>
      <c r="F54" s="319">
        <v>482000</v>
      </c>
      <c r="G54" s="319">
        <v>487617</v>
      </c>
      <c r="H54" s="319">
        <v>1700000</v>
      </c>
      <c r="I54" s="319">
        <v>1670001</v>
      </c>
      <c r="J54" s="319">
        <v>0</v>
      </c>
      <c r="K54" s="319">
        <v>0</v>
      </c>
      <c r="L54" s="320">
        <v>0</v>
      </c>
      <c r="M54" s="319">
        <v>0</v>
      </c>
      <c r="N54" s="319">
        <v>0</v>
      </c>
      <c r="O54" s="319">
        <v>0</v>
      </c>
      <c r="P54" s="320">
        <v>0</v>
      </c>
      <c r="Q54" s="320">
        <v>0</v>
      </c>
      <c r="R54" s="319">
        <v>0</v>
      </c>
      <c r="S54" s="319">
        <v>0</v>
      </c>
      <c r="T54" s="319">
        <v>0</v>
      </c>
      <c r="U54" s="289">
        <v>0</v>
      </c>
      <c r="V54" s="319">
        <v>0</v>
      </c>
      <c r="W54" s="289">
        <v>0</v>
      </c>
      <c r="X54" s="291">
        <f t="shared" ref="X54:X59" si="32">+V54+T54+P54+N54+L54+J54+H54+F54+D54</f>
        <v>4822000</v>
      </c>
      <c r="Y54" s="291">
        <f t="shared" si="31"/>
        <v>4822000</v>
      </c>
      <c r="Z54" s="321">
        <v>1</v>
      </c>
      <c r="AA54" s="321">
        <v>1</v>
      </c>
      <c r="AB54" s="29"/>
      <c r="AC54" s="29"/>
      <c r="AD54" s="29"/>
      <c r="AE54" s="29"/>
      <c r="AF54" s="29"/>
      <c r="AG54" s="29"/>
      <c r="AH54" s="29"/>
    </row>
    <row r="55" spans="1:34" ht="21" customHeight="1" thickBot="1">
      <c r="A55" s="446"/>
      <c r="B55" s="179" t="s">
        <v>230</v>
      </c>
      <c r="C55" s="180" t="s">
        <v>220</v>
      </c>
      <c r="D55" s="319">
        <v>6170000</v>
      </c>
      <c r="E55" s="319">
        <v>6170000</v>
      </c>
      <c r="F55" s="319">
        <v>1228000</v>
      </c>
      <c r="G55" s="319">
        <v>1228000</v>
      </c>
      <c r="H55" s="319">
        <v>2000000</v>
      </c>
      <c r="I55" s="319">
        <v>3663624</v>
      </c>
      <c r="J55" s="319">
        <v>0</v>
      </c>
      <c r="K55" s="319">
        <v>0</v>
      </c>
      <c r="L55" s="320">
        <v>0</v>
      </c>
      <c r="M55" s="319">
        <v>0</v>
      </c>
      <c r="N55" s="319">
        <v>0</v>
      </c>
      <c r="O55" s="319">
        <v>0</v>
      </c>
      <c r="P55" s="320">
        <v>0</v>
      </c>
      <c r="Q55" s="320">
        <v>0</v>
      </c>
      <c r="R55" s="319">
        <v>0</v>
      </c>
      <c r="S55" s="319">
        <v>0</v>
      </c>
      <c r="T55" s="319">
        <v>889000</v>
      </c>
      <c r="U55" s="289">
        <v>889000</v>
      </c>
      <c r="V55" s="319">
        <v>0</v>
      </c>
      <c r="W55" s="289">
        <v>0</v>
      </c>
      <c r="X55" s="291">
        <f t="shared" si="32"/>
        <v>10287000</v>
      </c>
      <c r="Y55" s="291">
        <f t="shared" ref="Y55:Y59" si="33">+W55+U55+Q55+O55+M55+K55+I55+G55+E55</f>
        <v>11950624</v>
      </c>
      <c r="Z55" s="321">
        <v>2</v>
      </c>
      <c r="AA55" s="321">
        <v>2</v>
      </c>
      <c r="AB55" s="29"/>
      <c r="AC55" s="29"/>
      <c r="AD55" s="29"/>
      <c r="AE55" s="29"/>
      <c r="AF55" s="29"/>
      <c r="AG55" s="29"/>
      <c r="AH55" s="29"/>
    </row>
    <row r="56" spans="1:34" ht="21" customHeight="1" thickBot="1">
      <c r="A56" s="446"/>
      <c r="B56" s="179" t="s">
        <v>231</v>
      </c>
      <c r="C56" s="180" t="s">
        <v>221</v>
      </c>
      <c r="D56" s="319">
        <v>2220000</v>
      </c>
      <c r="E56" s="319">
        <v>2220000</v>
      </c>
      <c r="F56" s="319">
        <v>443000</v>
      </c>
      <c r="G56" s="319">
        <v>443000</v>
      </c>
      <c r="H56" s="319">
        <v>17000000</v>
      </c>
      <c r="I56" s="319">
        <v>17634000</v>
      </c>
      <c r="J56" s="319">
        <v>0</v>
      </c>
      <c r="K56" s="319">
        <v>0</v>
      </c>
      <c r="L56" s="320">
        <v>0</v>
      </c>
      <c r="M56" s="319">
        <v>0</v>
      </c>
      <c r="N56" s="319">
        <v>0</v>
      </c>
      <c r="O56" s="319">
        <v>0</v>
      </c>
      <c r="P56" s="320">
        <v>0</v>
      </c>
      <c r="Q56" s="320">
        <v>0</v>
      </c>
      <c r="R56" s="319">
        <v>0</v>
      </c>
      <c r="S56" s="319">
        <v>0</v>
      </c>
      <c r="T56" s="319">
        <v>0</v>
      </c>
      <c r="U56" s="289">
        <v>0</v>
      </c>
      <c r="V56" s="319">
        <v>0</v>
      </c>
      <c r="W56" s="289">
        <v>0</v>
      </c>
      <c r="X56" s="291">
        <f t="shared" si="32"/>
        <v>19663000</v>
      </c>
      <c r="Y56" s="291">
        <f t="shared" si="33"/>
        <v>20297000</v>
      </c>
      <c r="Z56" s="321">
        <v>1</v>
      </c>
      <c r="AA56" s="321">
        <v>1</v>
      </c>
      <c r="AB56" s="29"/>
      <c r="AC56" s="29"/>
      <c r="AD56" s="29"/>
      <c r="AE56" s="29"/>
      <c r="AF56" s="29"/>
      <c r="AG56" s="29"/>
      <c r="AH56" s="29"/>
    </row>
    <row r="57" spans="1:34" ht="21" customHeight="1" thickBot="1">
      <c r="A57" s="446"/>
      <c r="B57" s="179" t="s">
        <v>197</v>
      </c>
      <c r="C57" s="180" t="s">
        <v>272</v>
      </c>
      <c r="D57" s="319">
        <v>0</v>
      </c>
      <c r="E57" s="319">
        <v>0</v>
      </c>
      <c r="F57" s="319">
        <v>0</v>
      </c>
      <c r="G57" s="319">
        <v>0</v>
      </c>
      <c r="H57" s="319">
        <v>1200000</v>
      </c>
      <c r="I57" s="319">
        <v>2088044</v>
      </c>
      <c r="J57" s="319">
        <v>0</v>
      </c>
      <c r="K57" s="319">
        <v>0</v>
      </c>
      <c r="L57" s="320">
        <v>0</v>
      </c>
      <c r="M57" s="320">
        <v>0</v>
      </c>
      <c r="N57" s="319">
        <v>0</v>
      </c>
      <c r="O57" s="319">
        <v>0</v>
      </c>
      <c r="P57" s="320">
        <v>0</v>
      </c>
      <c r="Q57" s="320">
        <v>0</v>
      </c>
      <c r="R57" s="319">
        <v>0</v>
      </c>
      <c r="S57" s="319">
        <v>0</v>
      </c>
      <c r="T57" s="319">
        <v>0</v>
      </c>
      <c r="U57" s="289">
        <v>0</v>
      </c>
      <c r="V57" s="319">
        <v>0</v>
      </c>
      <c r="W57" s="289">
        <v>0</v>
      </c>
      <c r="X57" s="291">
        <f>+V57+T57+P57+N57+L57+J57+H57+F57+D57</f>
        <v>1200000</v>
      </c>
      <c r="Y57" s="291">
        <f t="shared" si="33"/>
        <v>2088044</v>
      </c>
      <c r="Z57" s="321">
        <v>0</v>
      </c>
      <c r="AA57" s="321">
        <v>0</v>
      </c>
      <c r="AB57" s="29"/>
      <c r="AC57" s="29"/>
      <c r="AD57" s="29"/>
      <c r="AE57" s="29"/>
      <c r="AF57" s="29"/>
      <c r="AG57" s="29"/>
      <c r="AH57" s="29"/>
    </row>
    <row r="58" spans="1:34" ht="21" customHeight="1" thickBot="1">
      <c r="A58" s="446"/>
      <c r="B58" s="179" t="s">
        <v>196</v>
      </c>
      <c r="C58" s="180" t="s">
        <v>271</v>
      </c>
      <c r="D58" s="319">
        <v>0</v>
      </c>
      <c r="E58" s="319">
        <v>0</v>
      </c>
      <c r="F58" s="319">
        <v>0</v>
      </c>
      <c r="G58" s="319">
        <v>0</v>
      </c>
      <c r="H58" s="319">
        <v>1700000</v>
      </c>
      <c r="I58" s="319">
        <v>1999251</v>
      </c>
      <c r="J58" s="319">
        <v>0</v>
      </c>
      <c r="K58" s="319">
        <v>0</v>
      </c>
      <c r="L58" s="320">
        <v>0</v>
      </c>
      <c r="M58" s="320">
        <v>0</v>
      </c>
      <c r="N58" s="319">
        <v>0</v>
      </c>
      <c r="O58" s="319">
        <v>0</v>
      </c>
      <c r="P58" s="320">
        <v>0</v>
      </c>
      <c r="Q58" s="320">
        <v>0</v>
      </c>
      <c r="R58" s="319">
        <v>0</v>
      </c>
      <c r="S58" s="319">
        <v>0</v>
      </c>
      <c r="T58" s="319">
        <v>0</v>
      </c>
      <c r="U58" s="289">
        <v>0</v>
      </c>
      <c r="V58" s="319">
        <v>0</v>
      </c>
      <c r="W58" s="289">
        <v>0</v>
      </c>
      <c r="X58" s="291">
        <f t="shared" si="32"/>
        <v>1700000</v>
      </c>
      <c r="Y58" s="291">
        <f t="shared" si="33"/>
        <v>1999251</v>
      </c>
      <c r="Z58" s="321">
        <v>0</v>
      </c>
      <c r="AA58" s="321">
        <v>0</v>
      </c>
      <c r="AB58" s="29"/>
      <c r="AC58" s="29"/>
      <c r="AD58" s="29"/>
      <c r="AE58" s="29"/>
      <c r="AF58" s="29"/>
      <c r="AG58" s="29"/>
      <c r="AH58" s="29"/>
    </row>
    <row r="59" spans="1:34" ht="21" customHeight="1" thickBot="1">
      <c r="A59" s="446"/>
      <c r="B59" s="179" t="s">
        <v>168</v>
      </c>
      <c r="C59" s="180" t="s">
        <v>214</v>
      </c>
      <c r="D59" s="319">
        <v>19056000</v>
      </c>
      <c r="E59" s="319">
        <v>18782258</v>
      </c>
      <c r="F59" s="319">
        <v>3633000</v>
      </c>
      <c r="G59" s="319">
        <v>3906742</v>
      </c>
      <c r="H59" s="319">
        <v>41740000</v>
      </c>
      <c r="I59" s="319">
        <v>37916546</v>
      </c>
      <c r="J59" s="319">
        <v>0</v>
      </c>
      <c r="K59" s="319">
        <v>0</v>
      </c>
      <c r="L59" s="320">
        <v>0</v>
      </c>
      <c r="M59" s="320">
        <v>0</v>
      </c>
      <c r="N59" s="319">
        <v>0</v>
      </c>
      <c r="O59" s="319">
        <v>0</v>
      </c>
      <c r="P59" s="320">
        <v>0</v>
      </c>
      <c r="Q59" s="320">
        <v>0</v>
      </c>
      <c r="R59" s="319">
        <v>0</v>
      </c>
      <c r="S59" s="319">
        <v>0</v>
      </c>
      <c r="T59" s="319">
        <v>0</v>
      </c>
      <c r="U59" s="288">
        <v>189900</v>
      </c>
      <c r="V59" s="319">
        <v>0</v>
      </c>
      <c r="W59" s="288">
        <v>1471433</v>
      </c>
      <c r="X59" s="291">
        <f t="shared" si="32"/>
        <v>64429000</v>
      </c>
      <c r="Y59" s="291">
        <f t="shared" si="33"/>
        <v>62266879</v>
      </c>
      <c r="Z59" s="321">
        <v>9</v>
      </c>
      <c r="AA59" s="321">
        <v>8</v>
      </c>
      <c r="AB59" s="29"/>
      <c r="AC59" s="29"/>
      <c r="AD59" s="29"/>
      <c r="AE59" s="29"/>
      <c r="AF59" s="29"/>
      <c r="AG59" s="29"/>
      <c r="AH59" s="29"/>
    </row>
    <row r="60" spans="1:34" ht="33" customHeight="1" thickBot="1">
      <c r="A60" s="447"/>
      <c r="B60" s="448" t="s">
        <v>232</v>
      </c>
      <c r="C60" s="449"/>
      <c r="D60" s="290">
        <f>SUM(D52:D59)</f>
        <v>37831000</v>
      </c>
      <c r="E60" s="290">
        <f t="shared" ref="E60:W60" si="34">SUM(E52:E59)</f>
        <v>38154114</v>
      </c>
      <c r="F60" s="290">
        <f t="shared" si="34"/>
        <v>7303000</v>
      </c>
      <c r="G60" s="290">
        <f t="shared" si="34"/>
        <v>8014731</v>
      </c>
      <c r="H60" s="290">
        <f t="shared" si="34"/>
        <v>66340000</v>
      </c>
      <c r="I60" s="290">
        <f t="shared" si="34"/>
        <v>66264814</v>
      </c>
      <c r="J60" s="290">
        <f t="shared" si="34"/>
        <v>0</v>
      </c>
      <c r="K60" s="290">
        <f t="shared" si="34"/>
        <v>0</v>
      </c>
      <c r="L60" s="290">
        <f t="shared" si="34"/>
        <v>0</v>
      </c>
      <c r="M60" s="290">
        <f t="shared" si="34"/>
        <v>0</v>
      </c>
      <c r="N60" s="290">
        <f t="shared" si="34"/>
        <v>0</v>
      </c>
      <c r="O60" s="290">
        <f t="shared" si="34"/>
        <v>0</v>
      </c>
      <c r="P60" s="290">
        <f t="shared" si="34"/>
        <v>0</v>
      </c>
      <c r="Q60" s="290">
        <f t="shared" si="34"/>
        <v>0</v>
      </c>
      <c r="R60" s="290">
        <f t="shared" si="34"/>
        <v>0</v>
      </c>
      <c r="S60" s="290">
        <f t="shared" si="34"/>
        <v>0</v>
      </c>
      <c r="T60" s="290">
        <f t="shared" si="34"/>
        <v>889000</v>
      </c>
      <c r="U60" s="290">
        <f t="shared" si="34"/>
        <v>1078900</v>
      </c>
      <c r="V60" s="290">
        <f t="shared" si="34"/>
        <v>0</v>
      </c>
      <c r="W60" s="290">
        <f t="shared" si="34"/>
        <v>1471433</v>
      </c>
      <c r="X60" s="290">
        <f>SUM(X52:X59)</f>
        <v>112363000</v>
      </c>
      <c r="Y60" s="290">
        <f>SUM(Y52:Y59)</f>
        <v>114983992</v>
      </c>
      <c r="Z60" s="322">
        <f>SUM(Z52:Z59)</f>
        <v>19</v>
      </c>
      <c r="AA60" s="322">
        <f>SUM(AA52:AA59)</f>
        <v>18</v>
      </c>
      <c r="AB60" s="109"/>
      <c r="AC60" s="29"/>
      <c r="AD60" s="29"/>
      <c r="AE60" s="29"/>
      <c r="AF60" s="29"/>
      <c r="AG60" s="29"/>
      <c r="AH60" s="29"/>
    </row>
    <row r="61" spans="1:34" ht="26.25" customHeight="1" thickBot="1">
      <c r="A61" s="450" t="s">
        <v>56</v>
      </c>
      <c r="B61" s="450"/>
      <c r="C61" s="450"/>
      <c r="D61" s="290">
        <f>SUM(D41,D46,D48,D51,D60)</f>
        <v>172604200</v>
      </c>
      <c r="E61" s="290">
        <f t="shared" ref="E61:W61" si="35">SUM(E41,E46,E48,E51,E60)</f>
        <v>242789754</v>
      </c>
      <c r="F61" s="290">
        <f t="shared" si="35"/>
        <v>32695500</v>
      </c>
      <c r="G61" s="290">
        <f t="shared" si="35"/>
        <v>328210111</v>
      </c>
      <c r="H61" s="290">
        <f t="shared" si="35"/>
        <v>135629000</v>
      </c>
      <c r="I61" s="290">
        <f t="shared" si="35"/>
        <v>166475275</v>
      </c>
      <c r="J61" s="290">
        <f t="shared" si="35"/>
        <v>74984709</v>
      </c>
      <c r="K61" s="290">
        <f t="shared" si="35"/>
        <v>76525067</v>
      </c>
      <c r="L61" s="290">
        <f t="shared" si="35"/>
        <v>3781000</v>
      </c>
      <c r="M61" s="290">
        <f t="shared" si="35"/>
        <v>4878145</v>
      </c>
      <c r="N61" s="290">
        <f t="shared" si="35"/>
        <v>92103299</v>
      </c>
      <c r="O61" s="290">
        <f t="shared" si="35"/>
        <v>67583132</v>
      </c>
      <c r="P61" s="290">
        <f t="shared" si="35"/>
        <v>9649634</v>
      </c>
      <c r="Q61" s="290">
        <f t="shared" si="35"/>
        <v>9649634</v>
      </c>
      <c r="R61" s="290">
        <f t="shared" si="35"/>
        <v>0</v>
      </c>
      <c r="S61" s="290">
        <f t="shared" si="35"/>
        <v>743685</v>
      </c>
      <c r="T61" s="290">
        <f t="shared" si="35"/>
        <v>277013347</v>
      </c>
      <c r="U61" s="290">
        <f t="shared" si="35"/>
        <v>258233825</v>
      </c>
      <c r="V61" s="290">
        <f t="shared" si="35"/>
        <v>50435066</v>
      </c>
      <c r="W61" s="290">
        <f t="shared" si="35"/>
        <v>95701905</v>
      </c>
      <c r="X61" s="290">
        <f>SUM(X41,X46,X48,X51,X60)</f>
        <v>848895755</v>
      </c>
      <c r="Y61" s="290">
        <f>SUM(Y41,Y46,Y48,Y51,Y60)</f>
        <v>1250790533</v>
      </c>
      <c r="Z61" s="322">
        <f>SUM(Z41,Z46,Z48,Z51,Z60)</f>
        <v>123</v>
      </c>
      <c r="AA61" s="322">
        <f>SUM(AA41,AA46,AA48,AA51,AA60)</f>
        <v>90</v>
      </c>
      <c r="AB61" s="29"/>
      <c r="AC61" s="29"/>
      <c r="AD61" s="29"/>
      <c r="AE61" s="29"/>
      <c r="AF61" s="29"/>
      <c r="AG61" s="29"/>
      <c r="AH61" s="29"/>
    </row>
    <row r="63" spans="1:34">
      <c r="Y63" s="36"/>
    </row>
    <row r="64" spans="1:34">
      <c r="Q64" s="31">
        <f>+O62+M62+K62+I62+G62+E62</f>
        <v>0</v>
      </c>
      <c r="Y64" s="36"/>
    </row>
    <row r="65" spans="16:25">
      <c r="X65" s="325"/>
      <c r="Y65" s="340"/>
    </row>
    <row r="66" spans="16:25">
      <c r="X66" s="31" t="s">
        <v>528</v>
      </c>
      <c r="Y66" s="405">
        <v>210607504</v>
      </c>
    </row>
    <row r="68" spans="16:25">
      <c r="P68" s="36">
        <f>+Q62-'4.sz.mell.'!Y61</f>
        <v>-1250790533</v>
      </c>
    </row>
  </sheetData>
  <mergeCells count="21">
    <mergeCell ref="A1:Z1"/>
    <mergeCell ref="A2:Z2"/>
    <mergeCell ref="A4:A5"/>
    <mergeCell ref="B4:B5"/>
    <mergeCell ref="C4:C5"/>
    <mergeCell ref="D4:V4"/>
    <mergeCell ref="X4:X5"/>
    <mergeCell ref="Z4:Z5"/>
    <mergeCell ref="A61:C61"/>
    <mergeCell ref="Y4:Y5"/>
    <mergeCell ref="A6:A41"/>
    <mergeCell ref="B41:C41"/>
    <mergeCell ref="A42:A46"/>
    <mergeCell ref="B46:C46"/>
    <mergeCell ref="A47:A48"/>
    <mergeCell ref="B48:C48"/>
    <mergeCell ref="AA4:AA5"/>
    <mergeCell ref="A50:A51"/>
    <mergeCell ref="B51:C51"/>
    <mergeCell ref="A52:A60"/>
    <mergeCell ref="B60:C60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31" orientation="landscape" r:id="rId1"/>
  <colBreaks count="1" manualBreakCount="1">
    <brk id="2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G69"/>
  <sheetViews>
    <sheetView zoomScale="80" zoomScaleNormal="80" workbookViewId="0">
      <pane xSplit="2" ySplit="5" topLeftCell="C6" activePane="bottomRight" state="frozen"/>
      <selection activeCell="G36" sqref="G36"/>
      <selection pane="topRight" activeCell="G36" sqref="G36"/>
      <selection pane="bottomLeft" activeCell="G36" sqref="G36"/>
      <selection pane="bottomRight" activeCell="A2" sqref="A2:Q2"/>
    </sheetView>
  </sheetViews>
  <sheetFormatPr defaultColWidth="8.85546875" defaultRowHeight="12.75"/>
  <cols>
    <col min="1" max="1" width="8.28515625" style="31" customWidth="1"/>
    <col min="2" max="2" width="12.140625" style="31" customWidth="1"/>
    <col min="3" max="3" width="45.28515625" style="31" customWidth="1"/>
    <col min="4" max="5" width="16" style="31" customWidth="1"/>
    <col min="6" max="7" width="14.42578125" style="31" customWidth="1"/>
    <col min="8" max="9" width="15.28515625" style="31" customWidth="1"/>
    <col min="10" max="13" width="14.85546875" style="31" customWidth="1"/>
    <col min="14" max="15" width="16.85546875" style="31" customWidth="1"/>
    <col min="16" max="17" width="18" style="31" customWidth="1"/>
    <col min="18" max="18" width="15.85546875" style="31" customWidth="1"/>
    <col min="19" max="19" width="7.42578125" style="31" bestFit="1" customWidth="1"/>
    <col min="20" max="22" width="10.5703125" style="31" bestFit="1" customWidth="1"/>
    <col min="23" max="23" width="5.140625" style="37" bestFit="1" customWidth="1"/>
    <col min="24" max="24" width="7.140625" style="31" bestFit="1" customWidth="1"/>
    <col min="25" max="16384" width="8.85546875" style="29"/>
  </cols>
  <sheetData>
    <row r="1" spans="1:33" ht="15.75">
      <c r="A1" s="412" t="s">
        <v>540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27"/>
      <c r="S1" s="27"/>
      <c r="T1" s="27"/>
      <c r="U1" s="27"/>
      <c r="V1" s="27"/>
      <c r="W1" s="27"/>
      <c r="X1" s="28"/>
      <c r="Y1" s="27" t="s">
        <v>45</v>
      </c>
      <c r="Z1" s="28"/>
    </row>
    <row r="2" spans="1:33" ht="33.75" customHeight="1">
      <c r="A2" s="453" t="s">
        <v>448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30"/>
    </row>
    <row r="3" spans="1:33" ht="16.5" thickBot="1">
      <c r="B3" s="32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 t="s">
        <v>253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4"/>
      <c r="AB3" s="34"/>
      <c r="AC3" s="34"/>
      <c r="AD3" s="35"/>
      <c r="AE3" s="31"/>
    </row>
    <row r="4" spans="1:33" ht="21" customHeight="1" thickBot="1">
      <c r="A4" s="454" t="s">
        <v>46</v>
      </c>
      <c r="B4" s="456" t="s">
        <v>251</v>
      </c>
      <c r="C4" s="458" t="s">
        <v>47</v>
      </c>
      <c r="D4" s="460" t="s">
        <v>233</v>
      </c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2" t="s">
        <v>353</v>
      </c>
      <c r="Q4" s="451" t="s">
        <v>355</v>
      </c>
      <c r="R4" s="29"/>
      <c r="S4" s="29"/>
      <c r="T4" s="29"/>
      <c r="U4" s="29"/>
      <c r="V4" s="29"/>
      <c r="W4" s="29"/>
      <c r="X4" s="29"/>
    </row>
    <row r="5" spans="1:33" ht="114" customHeight="1" thickBot="1">
      <c r="A5" s="455"/>
      <c r="B5" s="457"/>
      <c r="C5" s="459"/>
      <c r="D5" s="174" t="s">
        <v>428</v>
      </c>
      <c r="E5" s="174" t="s">
        <v>429</v>
      </c>
      <c r="F5" s="174" t="s">
        <v>430</v>
      </c>
      <c r="G5" s="174" t="s">
        <v>431</v>
      </c>
      <c r="H5" s="375" t="s">
        <v>434</v>
      </c>
      <c r="I5" s="375" t="s">
        <v>433</v>
      </c>
      <c r="J5" s="375" t="s">
        <v>436</v>
      </c>
      <c r="K5" s="375" t="s">
        <v>437</v>
      </c>
      <c r="L5" s="375" t="s">
        <v>445</v>
      </c>
      <c r="M5" s="375" t="s">
        <v>444</v>
      </c>
      <c r="N5" s="375" t="s">
        <v>443</v>
      </c>
      <c r="O5" s="375" t="s">
        <v>442</v>
      </c>
      <c r="P5" s="463"/>
      <c r="Q5" s="452"/>
      <c r="R5" s="29"/>
      <c r="S5" s="29"/>
      <c r="T5" s="29"/>
      <c r="U5" s="29"/>
      <c r="V5" s="29"/>
      <c r="W5" s="29"/>
      <c r="X5" s="29"/>
    </row>
    <row r="6" spans="1:33" ht="16.5" thickBot="1">
      <c r="A6" s="442" t="s">
        <v>38</v>
      </c>
      <c r="B6" s="175" t="s">
        <v>163</v>
      </c>
      <c r="C6" s="167" t="s">
        <v>201</v>
      </c>
      <c r="D6" s="288">
        <v>5000</v>
      </c>
      <c r="E6" s="288">
        <v>5000</v>
      </c>
      <c r="F6" s="288"/>
      <c r="G6" s="288"/>
      <c r="H6" s="400"/>
      <c r="I6" s="400"/>
      <c r="J6" s="400"/>
      <c r="K6" s="400"/>
      <c r="L6" s="400"/>
      <c r="M6" s="400"/>
      <c r="N6" s="401"/>
      <c r="O6" s="404"/>
      <c r="P6" s="290">
        <f t="shared" ref="P6:P36" si="0">+D6+F6+H6+J6+N6+L6</f>
        <v>5000</v>
      </c>
      <c r="Q6" s="341">
        <f>+O6+M6+K6+I6+G6+E6</f>
        <v>5000</v>
      </c>
      <c r="R6" s="109"/>
      <c r="S6" s="29"/>
      <c r="T6" s="29"/>
      <c r="U6" s="29"/>
      <c r="V6" s="29"/>
      <c r="W6" s="29"/>
      <c r="X6" s="29"/>
    </row>
    <row r="7" spans="1:33" ht="16.5" thickBot="1">
      <c r="A7" s="442"/>
      <c r="B7" s="175" t="s">
        <v>182</v>
      </c>
      <c r="C7" s="167" t="s">
        <v>265</v>
      </c>
      <c r="D7" s="288">
        <v>60000</v>
      </c>
      <c r="E7" s="288">
        <v>60000</v>
      </c>
      <c r="F7" s="400"/>
      <c r="G7" s="400"/>
      <c r="H7" s="400"/>
      <c r="I7" s="400"/>
      <c r="J7" s="400"/>
      <c r="K7" s="400"/>
      <c r="L7" s="400"/>
      <c r="M7" s="400"/>
      <c r="N7" s="401"/>
      <c r="O7" s="404"/>
      <c r="P7" s="290">
        <f t="shared" si="0"/>
        <v>60000</v>
      </c>
      <c r="Q7" s="341">
        <f t="shared" ref="Q7:Q36" si="1">+O7+M7+K7+I7+G7+E7</f>
        <v>60000</v>
      </c>
      <c r="R7" s="109"/>
      <c r="S7" s="29"/>
      <c r="T7" s="29"/>
      <c r="U7" s="29"/>
      <c r="V7" s="29"/>
      <c r="W7" s="29"/>
      <c r="X7" s="29"/>
    </row>
    <row r="8" spans="1:33" ht="16.5" thickBot="1">
      <c r="A8" s="442"/>
      <c r="B8" s="175" t="s">
        <v>183</v>
      </c>
      <c r="C8" s="167" t="s">
        <v>202</v>
      </c>
      <c r="D8" s="288">
        <v>9220000</v>
      </c>
      <c r="E8" s="288">
        <v>10540638</v>
      </c>
      <c r="F8" s="400"/>
      <c r="G8" s="400"/>
      <c r="H8" s="400"/>
      <c r="I8" s="400"/>
      <c r="J8" s="400"/>
      <c r="K8" s="400"/>
      <c r="L8" s="400"/>
      <c r="M8" s="400"/>
      <c r="N8" s="401"/>
      <c r="O8" s="404"/>
      <c r="P8" s="290">
        <f t="shared" si="0"/>
        <v>9220000</v>
      </c>
      <c r="Q8" s="341">
        <f t="shared" si="1"/>
        <v>10540638</v>
      </c>
      <c r="R8" s="109"/>
      <c r="S8" s="29"/>
      <c r="T8" s="29"/>
      <c r="U8" s="29"/>
      <c r="V8" s="29"/>
      <c r="W8" s="29"/>
      <c r="X8" s="29"/>
    </row>
    <row r="9" spans="1:33" ht="16.5" thickBot="1">
      <c r="A9" s="442"/>
      <c r="B9" s="175" t="s">
        <v>332</v>
      </c>
      <c r="C9" s="293" t="s">
        <v>333</v>
      </c>
      <c r="D9" s="400"/>
      <c r="E9" s="400"/>
      <c r="F9" s="288">
        <v>618400</v>
      </c>
      <c r="G9" s="288">
        <v>0</v>
      </c>
      <c r="H9" s="400"/>
      <c r="I9" s="400"/>
      <c r="J9" s="404"/>
      <c r="K9" s="404"/>
      <c r="L9" s="404"/>
      <c r="M9" s="404"/>
      <c r="N9" s="401"/>
      <c r="O9" s="404"/>
      <c r="P9" s="290">
        <f t="shared" si="0"/>
        <v>618400</v>
      </c>
      <c r="Q9" s="341">
        <f t="shared" si="1"/>
        <v>0</v>
      </c>
      <c r="R9" s="109"/>
      <c r="S9" s="29"/>
      <c r="T9" s="29"/>
      <c r="U9" s="29"/>
      <c r="V9" s="29"/>
      <c r="W9" s="29"/>
      <c r="X9" s="29"/>
    </row>
    <row r="10" spans="1:33" ht="16.5" thickBot="1">
      <c r="A10" s="442"/>
      <c r="B10" s="175" t="s">
        <v>422</v>
      </c>
      <c r="C10" s="293" t="s">
        <v>423</v>
      </c>
      <c r="D10" s="400"/>
      <c r="E10" s="400"/>
      <c r="F10" s="400"/>
      <c r="G10" s="400"/>
      <c r="H10" s="400"/>
      <c r="I10" s="400"/>
      <c r="J10" s="404"/>
      <c r="K10" s="404"/>
      <c r="L10" s="404"/>
      <c r="M10" s="404"/>
      <c r="N10" s="401"/>
      <c r="O10" s="404"/>
      <c r="P10" s="290">
        <f t="shared" si="0"/>
        <v>0</v>
      </c>
      <c r="Q10" s="341">
        <f t="shared" si="1"/>
        <v>0</v>
      </c>
      <c r="R10" s="109"/>
      <c r="S10" s="29"/>
      <c r="T10" s="29"/>
      <c r="U10" s="29"/>
      <c r="V10" s="29"/>
      <c r="W10" s="29"/>
      <c r="X10" s="29"/>
    </row>
    <row r="11" spans="1:33" ht="16.5" thickBot="1">
      <c r="A11" s="442"/>
      <c r="B11" s="175" t="s">
        <v>185</v>
      </c>
      <c r="C11" s="292" t="s">
        <v>204</v>
      </c>
      <c r="D11" s="400"/>
      <c r="E11" s="400"/>
      <c r="F11" s="288">
        <v>0</v>
      </c>
      <c r="G11" s="288">
        <v>43383018</v>
      </c>
      <c r="H11" s="400"/>
      <c r="I11" s="400"/>
      <c r="J11" s="400"/>
      <c r="K11" s="400"/>
      <c r="L11" s="400"/>
      <c r="M11" s="400"/>
      <c r="N11" s="401"/>
      <c r="O11" s="404"/>
      <c r="P11" s="290">
        <f t="shared" si="0"/>
        <v>0</v>
      </c>
      <c r="Q11" s="341">
        <f t="shared" si="1"/>
        <v>43383018</v>
      </c>
      <c r="R11" s="109"/>
      <c r="S11" s="29"/>
      <c r="T11" s="29"/>
      <c r="U11" s="29"/>
      <c r="V11" s="29"/>
      <c r="W11" s="29"/>
      <c r="X11" s="29"/>
    </row>
    <row r="12" spans="1:33" ht="16.5" thickBot="1">
      <c r="A12" s="442"/>
      <c r="B12" s="175" t="s">
        <v>351</v>
      </c>
      <c r="C12" s="292" t="s">
        <v>352</v>
      </c>
      <c r="D12" s="400"/>
      <c r="E12" s="400"/>
      <c r="F12" s="288">
        <v>0</v>
      </c>
      <c r="G12" s="288">
        <v>17460646</v>
      </c>
      <c r="H12" s="400"/>
      <c r="I12" s="400"/>
      <c r="J12" s="400"/>
      <c r="K12" s="400"/>
      <c r="L12" s="400"/>
      <c r="M12" s="400"/>
      <c r="N12" s="401"/>
      <c r="O12" s="401"/>
      <c r="P12" s="290">
        <f t="shared" si="0"/>
        <v>0</v>
      </c>
      <c r="Q12" s="341">
        <f t="shared" si="1"/>
        <v>17460646</v>
      </c>
      <c r="R12" s="109"/>
      <c r="S12" s="29"/>
      <c r="T12" s="29"/>
      <c r="U12" s="29"/>
      <c r="V12" s="29"/>
      <c r="W12" s="29"/>
      <c r="X12" s="29"/>
    </row>
    <row r="13" spans="1:33" ht="16.5" thickBot="1">
      <c r="A13" s="442"/>
      <c r="B13" s="175" t="s">
        <v>186</v>
      </c>
      <c r="C13" s="292" t="s">
        <v>205</v>
      </c>
      <c r="D13" s="288">
        <v>1325000</v>
      </c>
      <c r="E13" s="288">
        <v>1325000</v>
      </c>
      <c r="F13" s="400"/>
      <c r="G13" s="400"/>
      <c r="H13" s="400"/>
      <c r="I13" s="400"/>
      <c r="J13" s="400"/>
      <c r="K13" s="400"/>
      <c r="L13" s="400"/>
      <c r="M13" s="400"/>
      <c r="N13" s="401"/>
      <c r="O13" s="401"/>
      <c r="P13" s="290">
        <f t="shared" si="0"/>
        <v>1325000</v>
      </c>
      <c r="Q13" s="341">
        <f t="shared" si="1"/>
        <v>1325000</v>
      </c>
      <c r="R13" s="109"/>
      <c r="S13" s="29"/>
      <c r="T13" s="29"/>
      <c r="U13" s="29"/>
      <c r="V13" s="29"/>
      <c r="W13" s="29"/>
      <c r="X13" s="29"/>
    </row>
    <row r="14" spans="1:33" ht="16.5" thickBot="1">
      <c r="A14" s="442"/>
      <c r="B14" s="178" t="s">
        <v>187</v>
      </c>
      <c r="C14" s="292" t="s">
        <v>266</v>
      </c>
      <c r="D14" s="400"/>
      <c r="E14" s="400"/>
      <c r="F14" s="400"/>
      <c r="G14" s="400"/>
      <c r="H14" s="288">
        <v>31946110</v>
      </c>
      <c r="I14" s="288">
        <v>735603</v>
      </c>
      <c r="J14" s="400"/>
      <c r="K14" s="400"/>
      <c r="L14" s="400"/>
      <c r="M14" s="400"/>
      <c r="N14" s="401"/>
      <c r="O14" s="401"/>
      <c r="P14" s="290">
        <f t="shared" si="0"/>
        <v>31946110</v>
      </c>
      <c r="Q14" s="341">
        <f t="shared" si="1"/>
        <v>735603</v>
      </c>
      <c r="R14" s="109"/>
      <c r="S14" s="29"/>
      <c r="T14" s="29"/>
      <c r="U14" s="29"/>
      <c r="V14" s="29"/>
      <c r="W14" s="29"/>
      <c r="X14" s="29"/>
    </row>
    <row r="15" spans="1:33" ht="16.5" thickBot="1">
      <c r="A15" s="442"/>
      <c r="B15" s="175" t="s">
        <v>188</v>
      </c>
      <c r="C15" s="292" t="s">
        <v>267</v>
      </c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1"/>
      <c r="O15" s="401"/>
      <c r="P15" s="290">
        <f t="shared" si="0"/>
        <v>0</v>
      </c>
      <c r="Q15" s="341">
        <f t="shared" si="1"/>
        <v>0</v>
      </c>
      <c r="R15" s="109"/>
      <c r="S15" s="29"/>
      <c r="T15" s="29"/>
      <c r="U15" s="29"/>
      <c r="V15" s="29"/>
      <c r="W15" s="29"/>
      <c r="X15" s="29"/>
    </row>
    <row r="16" spans="1:33" ht="16.5" thickBot="1">
      <c r="A16" s="442"/>
      <c r="B16" s="175" t="s">
        <v>189</v>
      </c>
      <c r="C16" s="292" t="s">
        <v>206</v>
      </c>
      <c r="D16" s="288">
        <v>11800000</v>
      </c>
      <c r="E16" s="288">
        <v>11800000</v>
      </c>
      <c r="F16" s="400"/>
      <c r="G16" s="400"/>
      <c r="H16" s="400"/>
      <c r="I16" s="400"/>
      <c r="J16" s="400"/>
      <c r="K16" s="400"/>
      <c r="L16" s="400"/>
      <c r="M16" s="400"/>
      <c r="N16" s="401"/>
      <c r="O16" s="401"/>
      <c r="P16" s="290">
        <f t="shared" si="0"/>
        <v>11800000</v>
      </c>
      <c r="Q16" s="341">
        <f t="shared" si="1"/>
        <v>11800000</v>
      </c>
      <c r="R16" s="109"/>
      <c r="S16" s="29"/>
      <c r="T16" s="29"/>
      <c r="U16" s="29"/>
      <c r="V16" s="29"/>
      <c r="W16" s="29"/>
      <c r="X16" s="29"/>
    </row>
    <row r="17" spans="1:24" ht="16.5" thickBot="1">
      <c r="A17" s="442"/>
      <c r="B17" s="175" t="s">
        <v>190</v>
      </c>
      <c r="C17" s="292" t="s">
        <v>207</v>
      </c>
      <c r="D17" s="288">
        <v>6000000</v>
      </c>
      <c r="E17" s="288">
        <v>6000000</v>
      </c>
      <c r="F17" s="400"/>
      <c r="G17" s="400"/>
      <c r="H17" s="400"/>
      <c r="I17" s="400"/>
      <c r="J17" s="400"/>
      <c r="K17" s="400"/>
      <c r="L17" s="400"/>
      <c r="M17" s="400"/>
      <c r="N17" s="401"/>
      <c r="O17" s="401"/>
      <c r="P17" s="290">
        <f t="shared" si="0"/>
        <v>6000000</v>
      </c>
      <c r="Q17" s="341">
        <f t="shared" si="1"/>
        <v>6000000</v>
      </c>
      <c r="R17" s="109"/>
      <c r="S17" s="29"/>
      <c r="T17" s="29"/>
      <c r="U17" s="29"/>
      <c r="V17" s="29"/>
      <c r="W17" s="29"/>
      <c r="X17" s="29"/>
    </row>
    <row r="18" spans="1:24" ht="16.5" thickBot="1">
      <c r="A18" s="442"/>
      <c r="B18" s="175" t="s">
        <v>191</v>
      </c>
      <c r="C18" s="292" t="s">
        <v>48</v>
      </c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1"/>
      <c r="O18" s="401"/>
      <c r="P18" s="290">
        <f t="shared" si="0"/>
        <v>0</v>
      </c>
      <c r="Q18" s="341">
        <f t="shared" si="1"/>
        <v>0</v>
      </c>
      <c r="R18" s="109"/>
      <c r="S18" s="29"/>
      <c r="T18" s="29"/>
      <c r="U18" s="29"/>
      <c r="V18" s="29"/>
      <c r="W18" s="29"/>
      <c r="X18" s="29"/>
    </row>
    <row r="19" spans="1:24" ht="16.5" thickBot="1">
      <c r="A19" s="442"/>
      <c r="B19" s="175" t="s">
        <v>165</v>
      </c>
      <c r="C19" s="292" t="s">
        <v>164</v>
      </c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1"/>
      <c r="O19" s="401"/>
      <c r="P19" s="290">
        <f t="shared" si="0"/>
        <v>0</v>
      </c>
      <c r="Q19" s="341">
        <f t="shared" si="1"/>
        <v>0</v>
      </c>
      <c r="R19" s="109"/>
      <c r="S19" s="29"/>
      <c r="T19" s="29"/>
      <c r="U19" s="29"/>
      <c r="V19" s="29"/>
      <c r="W19" s="29"/>
      <c r="X19" s="29"/>
    </row>
    <row r="20" spans="1:24" ht="16.5" thickBot="1">
      <c r="A20" s="442"/>
      <c r="B20" s="175" t="s">
        <v>166</v>
      </c>
      <c r="C20" s="292" t="s">
        <v>208</v>
      </c>
      <c r="D20" s="288">
        <v>1602000</v>
      </c>
      <c r="E20" s="288">
        <v>2307689</v>
      </c>
      <c r="F20" s="288">
        <v>0</v>
      </c>
      <c r="G20" s="288">
        <v>309453</v>
      </c>
      <c r="H20" s="400"/>
      <c r="I20" s="400"/>
      <c r="J20" s="400"/>
      <c r="K20" s="400"/>
      <c r="L20" s="400"/>
      <c r="M20" s="400"/>
      <c r="N20" s="401"/>
      <c r="O20" s="401"/>
      <c r="P20" s="290">
        <f t="shared" si="0"/>
        <v>1602000</v>
      </c>
      <c r="Q20" s="341">
        <f t="shared" si="1"/>
        <v>2617142</v>
      </c>
      <c r="R20" s="109"/>
      <c r="S20" s="29"/>
      <c r="T20" s="29"/>
      <c r="U20" s="29"/>
      <c r="V20" s="29"/>
      <c r="W20" s="29"/>
      <c r="X20" s="29"/>
    </row>
    <row r="21" spans="1:24" ht="16.5" thickBot="1">
      <c r="A21" s="442"/>
      <c r="B21" s="175" t="s">
        <v>192</v>
      </c>
      <c r="C21" s="292" t="s">
        <v>209</v>
      </c>
      <c r="D21" s="288">
        <v>345000</v>
      </c>
      <c r="E21" s="288">
        <v>396788</v>
      </c>
      <c r="F21" s="288"/>
      <c r="G21" s="288"/>
      <c r="H21" s="288">
        <v>153625000</v>
      </c>
      <c r="I21" s="288">
        <v>0</v>
      </c>
      <c r="J21" s="400"/>
      <c r="K21" s="400"/>
      <c r="L21" s="400"/>
      <c r="M21" s="400"/>
      <c r="N21" s="401"/>
      <c r="O21" s="401"/>
      <c r="P21" s="290">
        <f t="shared" si="0"/>
        <v>153970000</v>
      </c>
      <c r="Q21" s="341">
        <f t="shared" si="1"/>
        <v>396788</v>
      </c>
      <c r="R21" s="109"/>
      <c r="S21" s="29"/>
      <c r="T21" s="29"/>
      <c r="U21" s="29"/>
      <c r="V21" s="29"/>
      <c r="W21" s="29"/>
      <c r="X21" s="29"/>
    </row>
    <row r="22" spans="1:24" ht="16.5" thickBot="1">
      <c r="A22" s="442"/>
      <c r="B22" s="175" t="s">
        <v>194</v>
      </c>
      <c r="C22" s="293" t="s">
        <v>211</v>
      </c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1"/>
      <c r="O22" s="401"/>
      <c r="P22" s="290">
        <f t="shared" si="0"/>
        <v>0</v>
      </c>
      <c r="Q22" s="341">
        <f t="shared" si="1"/>
        <v>0</v>
      </c>
      <c r="R22" s="109"/>
      <c r="S22" s="29"/>
      <c r="T22" s="29"/>
      <c r="U22" s="29"/>
      <c r="V22" s="29"/>
      <c r="W22" s="29"/>
      <c r="X22" s="29"/>
    </row>
    <row r="23" spans="1:24" ht="16.5" thickBot="1">
      <c r="A23" s="442"/>
      <c r="B23" s="175" t="s">
        <v>193</v>
      </c>
      <c r="C23" s="292" t="s">
        <v>210</v>
      </c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1"/>
      <c r="O23" s="401"/>
      <c r="P23" s="290">
        <f t="shared" si="0"/>
        <v>0</v>
      </c>
      <c r="Q23" s="341">
        <f t="shared" si="1"/>
        <v>0</v>
      </c>
      <c r="R23" s="109"/>
      <c r="S23" s="29"/>
      <c r="T23" s="29"/>
      <c r="U23" s="29"/>
      <c r="V23" s="29"/>
      <c r="W23" s="29"/>
      <c r="X23" s="29"/>
    </row>
    <row r="24" spans="1:24" ht="16.5" thickBot="1">
      <c r="A24" s="442"/>
      <c r="B24" s="175" t="s">
        <v>167</v>
      </c>
      <c r="C24" s="293" t="s">
        <v>49</v>
      </c>
      <c r="D24" s="400"/>
      <c r="E24" s="400"/>
      <c r="F24" s="288">
        <v>13848000</v>
      </c>
      <c r="G24" s="288">
        <v>13848000</v>
      </c>
      <c r="H24" s="400"/>
      <c r="I24" s="400"/>
      <c r="J24" s="400"/>
      <c r="K24" s="400"/>
      <c r="L24" s="400"/>
      <c r="M24" s="400"/>
      <c r="N24" s="401"/>
      <c r="O24" s="401"/>
      <c r="P24" s="290">
        <f t="shared" si="0"/>
        <v>13848000</v>
      </c>
      <c r="Q24" s="341">
        <f t="shared" si="1"/>
        <v>13848000</v>
      </c>
      <c r="R24" s="109"/>
      <c r="S24" s="29"/>
      <c r="T24" s="29"/>
      <c r="U24" s="29"/>
      <c r="V24" s="29"/>
      <c r="W24" s="29"/>
      <c r="X24" s="29"/>
    </row>
    <row r="25" spans="1:24" ht="16.5" thickBot="1">
      <c r="A25" s="442"/>
      <c r="B25" s="177" t="s">
        <v>195</v>
      </c>
      <c r="C25" s="293" t="s">
        <v>212</v>
      </c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1"/>
      <c r="O25" s="401"/>
      <c r="P25" s="290">
        <f t="shared" si="0"/>
        <v>0</v>
      </c>
      <c r="Q25" s="341">
        <f t="shared" si="1"/>
        <v>0</v>
      </c>
      <c r="R25" s="109"/>
      <c r="S25" s="29"/>
      <c r="T25" s="29"/>
      <c r="U25" s="29"/>
      <c r="V25" s="29"/>
      <c r="W25" s="29"/>
      <c r="X25" s="29"/>
    </row>
    <row r="26" spans="1:24" ht="16.5" thickBot="1">
      <c r="A26" s="442"/>
      <c r="B26" s="175" t="s">
        <v>268</v>
      </c>
      <c r="C26" s="293" t="s">
        <v>435</v>
      </c>
      <c r="D26" s="400"/>
      <c r="E26" s="288"/>
      <c r="F26" s="288"/>
      <c r="G26" s="288"/>
      <c r="H26" s="288">
        <v>0</v>
      </c>
      <c r="I26" s="288">
        <v>279663495</v>
      </c>
      <c r="J26" s="288">
        <v>163821551</v>
      </c>
      <c r="K26" s="288">
        <v>163927016</v>
      </c>
      <c r="L26" s="288"/>
      <c r="M26" s="288">
        <v>0</v>
      </c>
      <c r="N26" s="289"/>
      <c r="O26" s="289"/>
      <c r="P26" s="290">
        <f t="shared" si="0"/>
        <v>163821551</v>
      </c>
      <c r="Q26" s="341">
        <f t="shared" si="1"/>
        <v>443590511</v>
      </c>
      <c r="R26" s="109"/>
      <c r="S26" s="29"/>
      <c r="T26" s="29"/>
      <c r="U26" s="29"/>
      <c r="V26" s="29"/>
      <c r="W26" s="29"/>
      <c r="X26" s="29"/>
    </row>
    <row r="27" spans="1:24" ht="16.5" thickBot="1">
      <c r="A27" s="442"/>
      <c r="B27" s="175" t="s">
        <v>198</v>
      </c>
      <c r="C27" s="293" t="s">
        <v>169</v>
      </c>
      <c r="D27" s="400"/>
      <c r="E27" s="400"/>
      <c r="F27" s="288">
        <v>6245115</v>
      </c>
      <c r="G27" s="288">
        <v>6245115</v>
      </c>
      <c r="H27" s="288">
        <v>812024</v>
      </c>
      <c r="I27" s="288">
        <v>812024</v>
      </c>
      <c r="J27" s="400"/>
      <c r="K27" s="400"/>
      <c r="L27" s="400"/>
      <c r="M27" s="400"/>
      <c r="N27" s="401"/>
      <c r="O27" s="400"/>
      <c r="P27" s="290">
        <f t="shared" si="0"/>
        <v>7057139</v>
      </c>
      <c r="Q27" s="341">
        <f t="shared" si="1"/>
        <v>7057139</v>
      </c>
      <c r="R27" s="109"/>
      <c r="S27" s="29"/>
      <c r="T27" s="29"/>
      <c r="U27" s="29"/>
      <c r="V27" s="29"/>
      <c r="W27" s="29"/>
      <c r="X27" s="29"/>
    </row>
    <row r="28" spans="1:24" ht="32.25" thickBot="1">
      <c r="A28" s="442"/>
      <c r="B28" s="336" t="s">
        <v>338</v>
      </c>
      <c r="C28" s="374" t="s">
        <v>339</v>
      </c>
      <c r="D28" s="400"/>
      <c r="E28" s="288"/>
      <c r="F28" s="288">
        <v>114000</v>
      </c>
      <c r="G28" s="288">
        <v>114000</v>
      </c>
      <c r="H28" s="400"/>
      <c r="I28" s="400"/>
      <c r="J28" s="400"/>
      <c r="K28" s="400"/>
      <c r="L28" s="400"/>
      <c r="M28" s="400"/>
      <c r="N28" s="401"/>
      <c r="O28" s="400"/>
      <c r="P28" s="290">
        <f t="shared" si="0"/>
        <v>114000</v>
      </c>
      <c r="Q28" s="341">
        <f t="shared" si="1"/>
        <v>114000</v>
      </c>
      <c r="R28" s="109"/>
      <c r="S28" s="29"/>
      <c r="T28" s="29"/>
      <c r="U28" s="29"/>
      <c r="V28" s="29"/>
      <c r="W28" s="29"/>
      <c r="X28" s="29"/>
    </row>
    <row r="29" spans="1:24" ht="16.5" thickBot="1">
      <c r="A29" s="442"/>
      <c r="B29" s="175" t="s">
        <v>199</v>
      </c>
      <c r="C29" s="293" t="s">
        <v>215</v>
      </c>
      <c r="D29" s="288">
        <v>730000</v>
      </c>
      <c r="E29" s="288">
        <v>730000</v>
      </c>
      <c r="F29" s="400"/>
      <c r="G29" s="400"/>
      <c r="H29" s="400"/>
      <c r="I29" s="400"/>
      <c r="J29" s="400"/>
      <c r="K29" s="400"/>
      <c r="L29" s="400"/>
      <c r="M29" s="400"/>
      <c r="N29" s="401"/>
      <c r="O29" s="400"/>
      <c r="P29" s="290">
        <f t="shared" si="0"/>
        <v>730000</v>
      </c>
      <c r="Q29" s="341">
        <f t="shared" si="1"/>
        <v>730000</v>
      </c>
      <c r="R29" s="109"/>
      <c r="S29" s="29"/>
      <c r="T29" s="29"/>
      <c r="U29" s="29"/>
      <c r="V29" s="29"/>
      <c r="W29" s="29"/>
      <c r="X29" s="29"/>
    </row>
    <row r="30" spans="1:24" ht="32.25" thickBot="1">
      <c r="A30" s="442"/>
      <c r="B30" s="294" t="s">
        <v>424</v>
      </c>
      <c r="C30" s="374" t="s">
        <v>425</v>
      </c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1"/>
      <c r="O30" s="400"/>
      <c r="P30" s="290">
        <f t="shared" si="0"/>
        <v>0</v>
      </c>
      <c r="Q30" s="341">
        <f t="shared" si="1"/>
        <v>0</v>
      </c>
      <c r="R30" s="109"/>
      <c r="S30" s="29"/>
      <c r="T30" s="29"/>
      <c r="U30" s="29"/>
      <c r="V30" s="29"/>
      <c r="W30" s="29"/>
      <c r="X30" s="29"/>
    </row>
    <row r="31" spans="1:24" ht="16.5" thickBot="1">
      <c r="A31" s="442"/>
      <c r="B31" s="175" t="s">
        <v>200</v>
      </c>
      <c r="C31" s="293" t="s">
        <v>216</v>
      </c>
      <c r="D31" s="288">
        <v>408000</v>
      </c>
      <c r="E31" s="288">
        <v>408000</v>
      </c>
      <c r="F31" s="400"/>
      <c r="G31" s="400"/>
      <c r="H31" s="400"/>
      <c r="I31" s="400"/>
      <c r="J31" s="400"/>
      <c r="K31" s="400"/>
      <c r="L31" s="400"/>
      <c r="M31" s="400"/>
      <c r="N31" s="401"/>
      <c r="O31" s="401"/>
      <c r="P31" s="290">
        <f t="shared" si="0"/>
        <v>408000</v>
      </c>
      <c r="Q31" s="341">
        <f t="shared" si="1"/>
        <v>408000</v>
      </c>
      <c r="R31" s="109"/>
      <c r="S31" s="29"/>
      <c r="T31" s="29"/>
      <c r="U31" s="29"/>
      <c r="V31" s="29"/>
      <c r="W31" s="29"/>
      <c r="X31" s="29"/>
    </row>
    <row r="32" spans="1:24" ht="16.5" thickBot="1">
      <c r="A32" s="442"/>
      <c r="B32" s="294" t="s">
        <v>334</v>
      </c>
      <c r="C32" s="292" t="s">
        <v>336</v>
      </c>
      <c r="D32" s="400"/>
      <c r="E32" s="400"/>
      <c r="F32" s="400"/>
      <c r="G32" s="400"/>
      <c r="H32" s="288">
        <v>48310000</v>
      </c>
      <c r="I32" s="288">
        <v>0</v>
      </c>
      <c r="J32" s="400"/>
      <c r="K32" s="400"/>
      <c r="L32" s="400"/>
      <c r="M32" s="400"/>
      <c r="N32" s="401"/>
      <c r="O32" s="401"/>
      <c r="P32" s="290">
        <f t="shared" si="0"/>
        <v>48310000</v>
      </c>
      <c r="Q32" s="341">
        <f t="shared" si="1"/>
        <v>0</v>
      </c>
      <c r="R32" s="109"/>
      <c r="S32" s="29"/>
      <c r="T32" s="29"/>
      <c r="U32" s="29"/>
      <c r="V32" s="29"/>
      <c r="W32" s="29"/>
      <c r="X32" s="29"/>
    </row>
    <row r="33" spans="1:24" ht="16.5" thickBot="1">
      <c r="A33" s="442"/>
      <c r="B33" s="294" t="s">
        <v>335</v>
      </c>
      <c r="C33" s="292" t="s">
        <v>337</v>
      </c>
      <c r="D33" s="400"/>
      <c r="E33" s="400"/>
      <c r="F33" s="400"/>
      <c r="G33" s="400"/>
      <c r="H33" s="288">
        <v>44590100</v>
      </c>
      <c r="I33" s="288">
        <v>0</v>
      </c>
      <c r="J33" s="400"/>
      <c r="K33" s="400"/>
      <c r="L33" s="400"/>
      <c r="M33" s="400"/>
      <c r="N33" s="401"/>
      <c r="O33" s="401"/>
      <c r="P33" s="290">
        <f t="shared" si="0"/>
        <v>44590100</v>
      </c>
      <c r="Q33" s="341">
        <f t="shared" si="1"/>
        <v>0</v>
      </c>
      <c r="R33" s="109"/>
      <c r="S33" s="29"/>
      <c r="T33" s="29"/>
      <c r="U33" s="29"/>
      <c r="V33" s="29"/>
      <c r="W33" s="29"/>
      <c r="X33" s="29"/>
    </row>
    <row r="34" spans="1:24" ht="16.5" thickBot="1">
      <c r="A34" s="442"/>
      <c r="B34" s="175" t="s">
        <v>222</v>
      </c>
      <c r="C34" s="292" t="s">
        <v>224</v>
      </c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1"/>
      <c r="O34" s="400"/>
      <c r="P34" s="290">
        <f t="shared" si="0"/>
        <v>0</v>
      </c>
      <c r="Q34" s="341">
        <f t="shared" si="1"/>
        <v>0</v>
      </c>
      <c r="R34" s="109"/>
      <c r="S34" s="29"/>
      <c r="T34" s="29"/>
      <c r="U34" s="29"/>
      <c r="V34" s="29"/>
      <c r="W34" s="29"/>
      <c r="X34" s="29"/>
    </row>
    <row r="35" spans="1:24" ht="32.25" thickBot="1">
      <c r="A35" s="442"/>
      <c r="B35" s="175" t="s">
        <v>269</v>
      </c>
      <c r="C35" s="374" t="s">
        <v>432</v>
      </c>
      <c r="D35" s="400"/>
      <c r="E35" s="400"/>
      <c r="F35" s="288">
        <v>268051083</v>
      </c>
      <c r="G35" s="288">
        <v>285158666</v>
      </c>
      <c r="H35" s="288">
        <v>0</v>
      </c>
      <c r="I35" s="288">
        <v>34749699</v>
      </c>
      <c r="J35" s="400"/>
      <c r="K35" s="400"/>
      <c r="L35" s="400"/>
      <c r="M35" s="400"/>
      <c r="N35" s="401"/>
      <c r="O35" s="400"/>
      <c r="P35" s="290">
        <f t="shared" si="0"/>
        <v>268051083</v>
      </c>
      <c r="Q35" s="341">
        <f t="shared" si="1"/>
        <v>319908365</v>
      </c>
      <c r="R35" s="109"/>
      <c r="S35" s="29"/>
      <c r="T35" s="29"/>
      <c r="U35" s="29"/>
      <c r="V35" s="29"/>
      <c r="W35" s="29"/>
      <c r="X35" s="29"/>
    </row>
    <row r="36" spans="1:24" ht="16.5" thickBot="1">
      <c r="A36" s="442"/>
      <c r="B36" s="175" t="s">
        <v>440</v>
      </c>
      <c r="C36" s="374" t="s">
        <v>441</v>
      </c>
      <c r="D36" s="400"/>
      <c r="E36" s="400"/>
      <c r="F36" s="400"/>
      <c r="G36" s="400"/>
      <c r="H36" s="400"/>
      <c r="I36" s="400"/>
      <c r="J36" s="400"/>
      <c r="K36" s="400"/>
      <c r="L36" s="288"/>
      <c r="M36" s="288"/>
      <c r="N36" s="289">
        <v>59200000</v>
      </c>
      <c r="O36" s="288">
        <v>59200000</v>
      </c>
      <c r="P36" s="290">
        <f t="shared" si="0"/>
        <v>59200000</v>
      </c>
      <c r="Q36" s="341">
        <f t="shared" si="1"/>
        <v>59200000</v>
      </c>
      <c r="R36" s="109"/>
      <c r="S36" s="29"/>
      <c r="T36" s="29"/>
      <c r="U36" s="29"/>
      <c r="V36" s="29"/>
      <c r="W36" s="29"/>
      <c r="X36" s="29"/>
    </row>
    <row r="37" spans="1:24" ht="16.5" thickBot="1">
      <c r="A37" s="442"/>
      <c r="B37" s="168" t="s">
        <v>438</v>
      </c>
      <c r="C37" s="168" t="s">
        <v>439</v>
      </c>
      <c r="D37" s="290">
        <f>SUM(D6:D36)</f>
        <v>31495000</v>
      </c>
      <c r="E37" s="290">
        <f t="shared" ref="E37:O37" si="2">SUM(E6:E36)</f>
        <v>33573115</v>
      </c>
      <c r="F37" s="290">
        <f t="shared" si="2"/>
        <v>288876598</v>
      </c>
      <c r="G37" s="290">
        <f t="shared" si="2"/>
        <v>366518898</v>
      </c>
      <c r="H37" s="290">
        <f t="shared" si="2"/>
        <v>279283234</v>
      </c>
      <c r="I37" s="290">
        <f t="shared" si="2"/>
        <v>315960821</v>
      </c>
      <c r="J37" s="290">
        <f t="shared" si="2"/>
        <v>163821551</v>
      </c>
      <c r="K37" s="290">
        <f t="shared" si="2"/>
        <v>163927016</v>
      </c>
      <c r="L37" s="290">
        <f t="shared" si="2"/>
        <v>0</v>
      </c>
      <c r="M37" s="290">
        <f t="shared" si="2"/>
        <v>0</v>
      </c>
      <c r="N37" s="290">
        <f t="shared" si="2"/>
        <v>59200000</v>
      </c>
      <c r="O37" s="290">
        <f t="shared" si="2"/>
        <v>59200000</v>
      </c>
      <c r="P37" s="290">
        <f>SUM(P6:P36)</f>
        <v>822676383</v>
      </c>
      <c r="Q37" s="341">
        <f>+SUM(Q6:Q36)</f>
        <v>939179850</v>
      </c>
      <c r="R37" s="36"/>
      <c r="S37" s="29"/>
      <c r="T37" s="109"/>
      <c r="U37" s="109"/>
      <c r="V37" s="29"/>
      <c r="W37" s="29"/>
      <c r="X37" s="29"/>
    </row>
    <row r="38" spans="1:24" ht="37.9" customHeight="1" thickBot="1">
      <c r="A38" s="442" t="s">
        <v>39</v>
      </c>
      <c r="B38" s="178" t="s">
        <v>163</v>
      </c>
      <c r="C38" s="167" t="s">
        <v>201</v>
      </c>
      <c r="D38" s="288">
        <v>1000000</v>
      </c>
      <c r="E38" s="288">
        <v>1028350</v>
      </c>
      <c r="F38" s="400"/>
      <c r="G38" s="400"/>
      <c r="H38" s="400"/>
      <c r="I38" s="400"/>
      <c r="J38" s="400"/>
      <c r="K38" s="400"/>
      <c r="L38" s="400"/>
      <c r="M38" s="400"/>
      <c r="N38" s="289">
        <v>70000</v>
      </c>
      <c r="O38" s="289">
        <v>70000</v>
      </c>
      <c r="P38" s="290">
        <f>+D38+F38+H38+J38+N38+L38</f>
        <v>1070000</v>
      </c>
      <c r="Q38" s="290">
        <f>+O38+I38+G38+E38+K38+M38</f>
        <v>1098350</v>
      </c>
      <c r="S38" s="29"/>
      <c r="T38" s="29"/>
      <c r="U38" s="29"/>
      <c r="V38" s="29"/>
      <c r="W38" s="29"/>
      <c r="X38" s="29"/>
    </row>
    <row r="39" spans="1:24" ht="22.5" customHeight="1" thickBot="1">
      <c r="A39" s="442"/>
      <c r="B39" s="337" t="s">
        <v>358</v>
      </c>
      <c r="C39" s="338" t="s">
        <v>359</v>
      </c>
      <c r="D39" s="400"/>
      <c r="E39" s="400"/>
      <c r="F39" s="288">
        <v>0</v>
      </c>
      <c r="G39" s="288">
        <v>1369483</v>
      </c>
      <c r="H39" s="288"/>
      <c r="I39" s="288"/>
      <c r="J39" s="288"/>
      <c r="K39" s="288"/>
      <c r="L39" s="288"/>
      <c r="M39" s="288"/>
      <c r="N39" s="289"/>
      <c r="O39" s="289"/>
      <c r="P39" s="290">
        <f>+D39+F39+H39+J39+N39+L39</f>
        <v>0</v>
      </c>
      <c r="Q39" s="290">
        <f t="shared" ref="Q39:Q44" si="3">+O39+I39+G39+E39+K39+M39</f>
        <v>1369483</v>
      </c>
      <c r="R39" s="29"/>
      <c r="S39" s="29"/>
      <c r="T39" s="29"/>
      <c r="U39" s="29"/>
      <c r="V39" s="29"/>
      <c r="W39" s="29"/>
      <c r="X39" s="29"/>
    </row>
    <row r="40" spans="1:24" ht="22.5" customHeight="1" thickBot="1">
      <c r="A40" s="442"/>
      <c r="B40" s="337" t="s">
        <v>268</v>
      </c>
      <c r="C40" s="338" t="s">
        <v>435</v>
      </c>
      <c r="D40" s="400"/>
      <c r="E40" s="400"/>
      <c r="F40" s="288"/>
      <c r="G40" s="288">
        <v>954210</v>
      </c>
      <c r="H40" s="288">
        <v>954210</v>
      </c>
      <c r="I40" s="288"/>
      <c r="J40" s="288">
        <v>210184</v>
      </c>
      <c r="K40" s="288">
        <v>181834</v>
      </c>
      <c r="L40" s="288">
        <f>83641790-J40</f>
        <v>83431606</v>
      </c>
      <c r="M40" s="288">
        <v>99884349</v>
      </c>
      <c r="N40" s="401"/>
      <c r="O40" s="401"/>
      <c r="P40" s="290">
        <f>+D40+F40+H40+J40+N40+L40</f>
        <v>84596000</v>
      </c>
      <c r="Q40" s="290">
        <f t="shared" si="3"/>
        <v>101020393</v>
      </c>
      <c r="R40" s="29"/>
      <c r="S40" s="29"/>
      <c r="T40" s="29"/>
      <c r="U40" s="29"/>
      <c r="V40" s="29"/>
      <c r="W40" s="29"/>
      <c r="X40" s="29"/>
    </row>
    <row r="41" spans="1:24" ht="22.5" customHeight="1" thickBot="1">
      <c r="A41" s="442"/>
      <c r="B41" s="337" t="s">
        <v>334</v>
      </c>
      <c r="C41" s="292" t="s">
        <v>336</v>
      </c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1"/>
      <c r="O41" s="401"/>
      <c r="P41" s="290">
        <f>+D41+F41+H41+J41+N41+L41</f>
        <v>0</v>
      </c>
      <c r="Q41" s="290">
        <f t="shared" si="3"/>
        <v>0</v>
      </c>
      <c r="R41" s="29"/>
      <c r="S41" s="29"/>
      <c r="T41" s="29"/>
      <c r="U41" s="29"/>
      <c r="V41" s="29"/>
      <c r="W41" s="29"/>
      <c r="X41" s="29"/>
    </row>
    <row r="42" spans="1:24" ht="39" customHeight="1" thickBot="1">
      <c r="A42" s="442"/>
      <c r="B42" s="339" t="s">
        <v>360</v>
      </c>
      <c r="C42" s="376" t="s">
        <v>337</v>
      </c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1"/>
      <c r="O42" s="401"/>
      <c r="P42" s="290">
        <f>+D42+F42+H42+J42+N42+L42</f>
        <v>0</v>
      </c>
      <c r="Q42" s="290">
        <f t="shared" si="3"/>
        <v>0</v>
      </c>
      <c r="R42" s="29"/>
      <c r="S42" s="29"/>
      <c r="T42" s="29"/>
      <c r="U42" s="29"/>
      <c r="V42" s="29"/>
      <c r="W42" s="29"/>
      <c r="X42" s="29"/>
    </row>
    <row r="43" spans="1:24" ht="16.5" thickBot="1">
      <c r="A43" s="442"/>
      <c r="B43" s="443" t="s">
        <v>55</v>
      </c>
      <c r="C43" s="444"/>
      <c r="D43" s="290">
        <f>D38+D39+D41+D42+D40</f>
        <v>1000000</v>
      </c>
      <c r="E43" s="290">
        <f t="shared" ref="E43:O43" si="4">E38+E39+E41+E42+E40</f>
        <v>1028350</v>
      </c>
      <c r="F43" s="290">
        <f t="shared" si="4"/>
        <v>0</v>
      </c>
      <c r="G43" s="290">
        <f t="shared" si="4"/>
        <v>2323693</v>
      </c>
      <c r="H43" s="290">
        <f t="shared" si="4"/>
        <v>954210</v>
      </c>
      <c r="I43" s="290">
        <f t="shared" si="4"/>
        <v>0</v>
      </c>
      <c r="J43" s="290">
        <f t="shared" si="4"/>
        <v>210184</v>
      </c>
      <c r="K43" s="290">
        <f t="shared" si="4"/>
        <v>181834</v>
      </c>
      <c r="L43" s="290">
        <f t="shared" si="4"/>
        <v>83431606</v>
      </c>
      <c r="M43" s="290">
        <f t="shared" si="4"/>
        <v>99884349</v>
      </c>
      <c r="N43" s="290">
        <f t="shared" si="4"/>
        <v>70000</v>
      </c>
      <c r="O43" s="290">
        <f t="shared" si="4"/>
        <v>70000</v>
      </c>
      <c r="P43" s="290">
        <f>P38+P39+P41+P42+P40</f>
        <v>85666000</v>
      </c>
      <c r="Q43" s="290">
        <f>Q38+Q39+Q41+Q42+Q40</f>
        <v>103488226</v>
      </c>
      <c r="R43" s="109"/>
      <c r="S43" s="29"/>
      <c r="T43" s="29"/>
      <c r="U43" s="29"/>
      <c r="V43" s="29"/>
      <c r="W43" s="29"/>
      <c r="X43" s="29"/>
    </row>
    <row r="44" spans="1:24" ht="18.95" customHeight="1" thickBot="1">
      <c r="A44" s="464" t="s">
        <v>41</v>
      </c>
      <c r="B44" s="294" t="s">
        <v>268</v>
      </c>
      <c r="C44" s="293" t="s">
        <v>435</v>
      </c>
      <c r="D44" s="288"/>
      <c r="E44" s="288"/>
      <c r="F44" s="288"/>
      <c r="G44" s="288"/>
      <c r="H44" s="288"/>
      <c r="I44" s="288"/>
      <c r="J44" s="288">
        <v>120000</v>
      </c>
      <c r="K44" s="288">
        <v>126187</v>
      </c>
      <c r="L44" s="288">
        <f>14508813-120000</f>
        <v>14388813</v>
      </c>
      <c r="M44" s="288">
        <f>14508813-120000</f>
        <v>14388813</v>
      </c>
      <c r="N44" s="289"/>
      <c r="O44" s="289"/>
      <c r="P44" s="290">
        <f>+D44+F44+H44+J44+N44+L44</f>
        <v>14508813</v>
      </c>
      <c r="Q44" s="290">
        <f t="shared" si="3"/>
        <v>14515000</v>
      </c>
      <c r="R44" s="29"/>
      <c r="S44" s="29"/>
      <c r="T44" s="29"/>
      <c r="U44" s="29"/>
      <c r="V44" s="29"/>
      <c r="W44" s="29"/>
      <c r="X44" s="29"/>
    </row>
    <row r="45" spans="1:24" ht="18.95" customHeight="1" thickBot="1">
      <c r="A45" s="465"/>
      <c r="B45" s="294" t="s">
        <v>222</v>
      </c>
      <c r="C45" s="293" t="s">
        <v>224</v>
      </c>
      <c r="D45" s="288">
        <v>280000</v>
      </c>
      <c r="E45" s="288">
        <v>696000</v>
      </c>
      <c r="F45" s="288"/>
      <c r="G45" s="288"/>
      <c r="H45" s="288"/>
      <c r="I45" s="288"/>
      <c r="J45" s="288">
        <v>6187</v>
      </c>
      <c r="K45" s="288">
        <v>0</v>
      </c>
      <c r="L45" s="288"/>
      <c r="M45" s="288"/>
      <c r="N45" s="289"/>
      <c r="O45" s="289"/>
      <c r="P45" s="290">
        <f>+D45+F45+H45+J45+N45+L45</f>
        <v>286187</v>
      </c>
      <c r="Q45" s="290">
        <f t="shared" ref="Q45" si="5">+O45+I45+G45+E45+K45+M45</f>
        <v>696000</v>
      </c>
      <c r="R45" s="29"/>
      <c r="S45" s="29"/>
      <c r="T45" s="29"/>
      <c r="U45" s="29"/>
      <c r="V45" s="29"/>
      <c r="W45" s="29"/>
      <c r="X45" s="29"/>
    </row>
    <row r="46" spans="1:24" ht="22.5" customHeight="1" thickBot="1">
      <c r="A46" s="466"/>
      <c r="B46" s="443" t="s">
        <v>223</v>
      </c>
      <c r="C46" s="444"/>
      <c r="D46" s="290">
        <f t="shared" ref="D46:E46" si="6">SUM(D44:D45)</f>
        <v>280000</v>
      </c>
      <c r="E46" s="290">
        <f t="shared" si="6"/>
        <v>696000</v>
      </c>
      <c r="F46" s="290">
        <f>SUM(F44:F45)</f>
        <v>0</v>
      </c>
      <c r="G46" s="290">
        <f t="shared" ref="G46:O46" si="7">SUM(G44:G45)</f>
        <v>0</v>
      </c>
      <c r="H46" s="290">
        <f t="shared" si="7"/>
        <v>0</v>
      </c>
      <c r="I46" s="290">
        <f t="shared" si="7"/>
        <v>0</v>
      </c>
      <c r="J46" s="290">
        <f t="shared" si="7"/>
        <v>126187</v>
      </c>
      <c r="K46" s="290">
        <f t="shared" si="7"/>
        <v>126187</v>
      </c>
      <c r="L46" s="290">
        <f t="shared" si="7"/>
        <v>14388813</v>
      </c>
      <c r="M46" s="290">
        <f t="shared" si="7"/>
        <v>14388813</v>
      </c>
      <c r="N46" s="290">
        <f t="shared" si="7"/>
        <v>0</v>
      </c>
      <c r="O46" s="290">
        <f t="shared" si="7"/>
        <v>0</v>
      </c>
      <c r="P46" s="290">
        <f>SUM(P44:P45)</f>
        <v>14795000</v>
      </c>
      <c r="Q46" s="290">
        <f>SUM(Q44:Q45)</f>
        <v>15211000</v>
      </c>
      <c r="R46" s="109"/>
      <c r="S46" s="29"/>
      <c r="T46" s="29"/>
      <c r="U46" s="29"/>
      <c r="V46" s="29"/>
      <c r="W46" s="29"/>
      <c r="X46" s="29"/>
    </row>
    <row r="47" spans="1:24" ht="18.95" customHeight="1" thickBot="1">
      <c r="A47" s="464" t="s">
        <v>43</v>
      </c>
      <c r="B47" s="294" t="s">
        <v>268</v>
      </c>
      <c r="C47" s="293" t="s">
        <v>435</v>
      </c>
      <c r="D47" s="288"/>
      <c r="E47" s="288"/>
      <c r="F47" s="288"/>
      <c r="G47" s="288"/>
      <c r="H47" s="288"/>
      <c r="I47" s="288"/>
      <c r="J47" s="288">
        <v>775581</v>
      </c>
      <c r="K47" s="288">
        <v>775581</v>
      </c>
      <c r="L47" s="288">
        <f>3900700-775581</f>
        <v>3125119</v>
      </c>
      <c r="M47" s="288">
        <f>3900700-K47</f>
        <v>3125119</v>
      </c>
      <c r="N47" s="289"/>
      <c r="O47" s="289"/>
      <c r="P47" s="290">
        <f>+D47+F47+H47+J47+N47+L47</f>
        <v>3900700</v>
      </c>
      <c r="Q47" s="290">
        <f>+O47+I47+G47+E47+K47+M47</f>
        <v>3900700</v>
      </c>
      <c r="R47" s="29"/>
      <c r="S47" s="29"/>
      <c r="T47" s="29"/>
      <c r="U47" s="29"/>
      <c r="V47" s="29"/>
      <c r="W47" s="29"/>
      <c r="X47" s="29"/>
    </row>
    <row r="48" spans="1:24" ht="15.75" customHeight="1" thickBot="1">
      <c r="A48" s="465"/>
      <c r="B48" s="384" t="s">
        <v>426</v>
      </c>
      <c r="C48" s="293" t="s">
        <v>427</v>
      </c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9"/>
      <c r="O48" s="289"/>
      <c r="P48" s="290">
        <f t="shared" ref="P48:P49" si="8">+D48+F48+H48+J48+N48+L48</f>
        <v>0</v>
      </c>
      <c r="Q48" s="290">
        <f t="shared" ref="Q48:Q49" si="9">+O48+I48+G48+E48+K48+M48</f>
        <v>0</v>
      </c>
      <c r="R48" s="29"/>
      <c r="S48" s="29"/>
      <c r="T48" s="29"/>
      <c r="U48" s="29"/>
      <c r="V48" s="29"/>
      <c r="W48" s="29"/>
      <c r="X48" s="29"/>
    </row>
    <row r="49" spans="1:24" ht="15.75" customHeight="1" thickBot="1">
      <c r="A49" s="465"/>
      <c r="B49" s="384" t="s">
        <v>227</v>
      </c>
      <c r="C49" s="293" t="s">
        <v>225</v>
      </c>
      <c r="D49" s="288">
        <v>140000</v>
      </c>
      <c r="E49" s="288">
        <v>140000</v>
      </c>
      <c r="F49" s="288">
        <v>2800000</v>
      </c>
      <c r="G49" s="288">
        <v>2800000</v>
      </c>
      <c r="H49" s="288"/>
      <c r="I49" s="288"/>
      <c r="J49" s="288"/>
      <c r="K49" s="288"/>
      <c r="L49" s="288"/>
      <c r="M49" s="288"/>
      <c r="N49" s="289"/>
      <c r="O49" s="289"/>
      <c r="P49" s="290">
        <f t="shared" si="8"/>
        <v>2940000</v>
      </c>
      <c r="Q49" s="290">
        <f t="shared" si="9"/>
        <v>2940000</v>
      </c>
      <c r="R49" s="29"/>
      <c r="S49" s="29"/>
      <c r="T49" s="29"/>
      <c r="U49" s="29"/>
      <c r="V49" s="29"/>
      <c r="W49" s="29"/>
      <c r="X49" s="29"/>
    </row>
    <row r="50" spans="1:24" ht="21" customHeight="1" thickBot="1">
      <c r="A50" s="466"/>
      <c r="B50" s="443" t="s">
        <v>226</v>
      </c>
      <c r="C50" s="444"/>
      <c r="D50" s="290">
        <f>SUM(D47:D49)</f>
        <v>140000</v>
      </c>
      <c r="E50" s="290">
        <f t="shared" ref="E50:O50" si="10">SUM(E47:E49)</f>
        <v>140000</v>
      </c>
      <c r="F50" s="290">
        <f t="shared" si="10"/>
        <v>2800000</v>
      </c>
      <c r="G50" s="290">
        <f t="shared" si="10"/>
        <v>2800000</v>
      </c>
      <c r="H50" s="290">
        <f t="shared" si="10"/>
        <v>0</v>
      </c>
      <c r="I50" s="290">
        <f t="shared" si="10"/>
        <v>0</v>
      </c>
      <c r="J50" s="290">
        <f t="shared" si="10"/>
        <v>775581</v>
      </c>
      <c r="K50" s="290">
        <f t="shared" si="10"/>
        <v>775581</v>
      </c>
      <c r="L50" s="290">
        <f t="shared" si="10"/>
        <v>3125119</v>
      </c>
      <c r="M50" s="290">
        <f t="shared" si="10"/>
        <v>3125119</v>
      </c>
      <c r="N50" s="290">
        <f t="shared" si="10"/>
        <v>0</v>
      </c>
      <c r="O50" s="290">
        <f t="shared" si="10"/>
        <v>0</v>
      </c>
      <c r="P50" s="290">
        <f>+SUM(P47:P49)</f>
        <v>6840700</v>
      </c>
      <c r="Q50" s="290">
        <f>SUM(Q47:Q49)</f>
        <v>6840700</v>
      </c>
      <c r="R50" s="109"/>
      <c r="S50" s="29"/>
      <c r="T50" s="29"/>
      <c r="U50" s="29"/>
      <c r="V50" s="29"/>
      <c r="W50" s="29"/>
      <c r="X50" s="29"/>
    </row>
    <row r="51" spans="1:24" ht="18.95" customHeight="1" thickBot="1">
      <c r="A51" s="445" t="s">
        <v>155</v>
      </c>
      <c r="B51" s="294" t="s">
        <v>268</v>
      </c>
      <c r="C51" s="293" t="s">
        <v>435</v>
      </c>
      <c r="D51" s="400"/>
      <c r="E51" s="400"/>
      <c r="F51" s="400"/>
      <c r="G51" s="400"/>
      <c r="H51" s="400"/>
      <c r="I51" s="400"/>
      <c r="J51" s="288">
        <v>569210</v>
      </c>
      <c r="K51" s="288">
        <v>569210</v>
      </c>
      <c r="L51" s="288">
        <f>93069000-569210</f>
        <v>92499790</v>
      </c>
      <c r="M51" s="288">
        <f>93778433-K51</f>
        <v>93209223</v>
      </c>
      <c r="N51" s="289"/>
      <c r="O51" s="289"/>
      <c r="P51" s="290">
        <f>+D51+F51+H51+J51+N51+L51</f>
        <v>93069000</v>
      </c>
      <c r="Q51" s="290">
        <f t="shared" ref="Q51:Q52" si="11">+O51+I51+G51+E51+K51+M51</f>
        <v>93778433</v>
      </c>
      <c r="R51" s="29"/>
      <c r="S51" s="29"/>
      <c r="T51" s="29"/>
      <c r="U51" s="29"/>
      <c r="V51" s="29"/>
      <c r="W51" s="29"/>
      <c r="X51" s="29"/>
    </row>
    <row r="52" spans="1:24" ht="21" customHeight="1" thickBot="1">
      <c r="A52" s="446"/>
      <c r="B52" s="179" t="s">
        <v>228</v>
      </c>
      <c r="C52" s="180" t="s">
        <v>218</v>
      </c>
      <c r="D52" s="319">
        <v>55000</v>
      </c>
      <c r="E52" s="319">
        <v>55000</v>
      </c>
      <c r="F52" s="319"/>
      <c r="G52" s="402"/>
      <c r="H52" s="402"/>
      <c r="I52" s="402"/>
      <c r="J52" s="402"/>
      <c r="K52" s="402"/>
      <c r="L52" s="402"/>
      <c r="M52" s="402"/>
      <c r="N52" s="320"/>
      <c r="O52" s="319"/>
      <c r="P52" s="290">
        <f t="shared" ref="P52" si="12">+D52+F52+H52+J52+N52+L52</f>
        <v>55000</v>
      </c>
      <c r="Q52" s="290">
        <f t="shared" si="11"/>
        <v>55000</v>
      </c>
      <c r="R52" s="29"/>
      <c r="S52" s="29"/>
      <c r="T52" s="29"/>
      <c r="U52" s="29"/>
      <c r="V52" s="29"/>
      <c r="W52" s="29"/>
      <c r="X52" s="29"/>
    </row>
    <row r="53" spans="1:24" ht="21" customHeight="1" thickBot="1">
      <c r="A53" s="446"/>
      <c r="B53" s="179" t="s">
        <v>229</v>
      </c>
      <c r="C53" s="180" t="s">
        <v>219</v>
      </c>
      <c r="D53" s="319">
        <v>15000</v>
      </c>
      <c r="E53" s="319">
        <v>15000</v>
      </c>
      <c r="F53" s="402"/>
      <c r="G53" s="402"/>
      <c r="H53" s="402"/>
      <c r="I53" s="402"/>
      <c r="J53" s="402"/>
      <c r="K53" s="402"/>
      <c r="L53" s="402"/>
      <c r="M53" s="402"/>
      <c r="N53" s="320"/>
      <c r="O53" s="319"/>
      <c r="P53" s="290">
        <f t="shared" ref="P53:P59" si="13">+D53+F53+H53+J53+N53+L53</f>
        <v>15000</v>
      </c>
      <c r="Q53" s="290">
        <f t="shared" ref="Q53:Q59" si="14">+O53+I53+G53+E53+K53+M53</f>
        <v>15000</v>
      </c>
      <c r="R53" s="29"/>
      <c r="S53" s="29"/>
      <c r="T53" s="29"/>
      <c r="U53" s="29"/>
      <c r="V53" s="29"/>
      <c r="W53" s="29"/>
      <c r="X53" s="29"/>
    </row>
    <row r="54" spans="1:24" ht="21" customHeight="1" thickBot="1">
      <c r="A54" s="446"/>
      <c r="B54" s="179" t="s">
        <v>338</v>
      </c>
      <c r="C54" s="180" t="s">
        <v>446</v>
      </c>
      <c r="D54" s="319">
        <v>5000</v>
      </c>
      <c r="E54" s="319">
        <v>5000</v>
      </c>
      <c r="F54" s="402"/>
      <c r="G54" s="402"/>
      <c r="H54" s="402"/>
      <c r="I54" s="402"/>
      <c r="J54" s="402"/>
      <c r="K54" s="402"/>
      <c r="L54" s="402"/>
      <c r="M54" s="402"/>
      <c r="N54" s="320"/>
      <c r="O54" s="319"/>
      <c r="P54" s="290">
        <f t="shared" si="13"/>
        <v>5000</v>
      </c>
      <c r="Q54" s="290">
        <f t="shared" si="14"/>
        <v>5000</v>
      </c>
      <c r="R54" s="29"/>
      <c r="S54" s="29"/>
      <c r="T54" s="29"/>
      <c r="U54" s="29"/>
      <c r="V54" s="29"/>
      <c r="W54" s="29"/>
      <c r="X54" s="29"/>
    </row>
    <row r="55" spans="1:24" ht="21" customHeight="1" thickBot="1">
      <c r="A55" s="446"/>
      <c r="B55" s="179" t="s">
        <v>230</v>
      </c>
      <c r="C55" s="180" t="s">
        <v>220</v>
      </c>
      <c r="D55" s="319">
        <v>260000</v>
      </c>
      <c r="E55" s="319">
        <v>260000</v>
      </c>
      <c r="F55" s="402"/>
      <c r="G55" s="402"/>
      <c r="H55" s="402"/>
      <c r="I55" s="402"/>
      <c r="J55" s="402"/>
      <c r="K55" s="402"/>
      <c r="L55" s="402"/>
      <c r="M55" s="402"/>
      <c r="N55" s="320"/>
      <c r="O55" s="319"/>
      <c r="P55" s="290">
        <f t="shared" si="13"/>
        <v>260000</v>
      </c>
      <c r="Q55" s="290">
        <f t="shared" si="14"/>
        <v>260000</v>
      </c>
      <c r="R55" s="29"/>
      <c r="S55" s="29"/>
      <c r="T55" s="29"/>
      <c r="U55" s="29"/>
      <c r="V55" s="29"/>
      <c r="W55" s="29"/>
      <c r="X55" s="29"/>
    </row>
    <row r="56" spans="1:24" ht="21" customHeight="1" thickBot="1">
      <c r="A56" s="446"/>
      <c r="B56" s="179" t="s">
        <v>231</v>
      </c>
      <c r="C56" s="180" t="s">
        <v>221</v>
      </c>
      <c r="D56" s="319">
        <v>11009000</v>
      </c>
      <c r="E56" s="319">
        <v>11143000</v>
      </c>
      <c r="F56" s="402"/>
      <c r="G56" s="402"/>
      <c r="H56" s="402"/>
      <c r="I56" s="402"/>
      <c r="J56" s="402"/>
      <c r="K56" s="402"/>
      <c r="L56" s="402"/>
      <c r="M56" s="402"/>
      <c r="N56" s="320"/>
      <c r="O56" s="319"/>
      <c r="P56" s="290">
        <f t="shared" si="13"/>
        <v>11009000</v>
      </c>
      <c r="Q56" s="290">
        <f t="shared" si="14"/>
        <v>11143000</v>
      </c>
      <c r="R56" s="29"/>
      <c r="S56" s="29"/>
      <c r="T56" s="29"/>
      <c r="U56" s="29"/>
      <c r="V56" s="29"/>
      <c r="W56" s="29"/>
      <c r="X56" s="29"/>
    </row>
    <row r="57" spans="1:24" ht="21" customHeight="1" thickBot="1">
      <c r="A57" s="446"/>
      <c r="B57" s="179" t="s">
        <v>197</v>
      </c>
      <c r="C57" s="180" t="s">
        <v>272</v>
      </c>
      <c r="D57" s="402"/>
      <c r="E57" s="402"/>
      <c r="F57" s="402"/>
      <c r="G57" s="402"/>
      <c r="H57" s="402"/>
      <c r="I57" s="402"/>
      <c r="J57" s="402"/>
      <c r="K57" s="402"/>
      <c r="L57" s="402"/>
      <c r="M57" s="402"/>
      <c r="N57" s="320"/>
      <c r="O57" s="320"/>
      <c r="P57" s="290">
        <f t="shared" si="13"/>
        <v>0</v>
      </c>
      <c r="Q57" s="290">
        <f t="shared" si="14"/>
        <v>0</v>
      </c>
      <c r="R57" s="29"/>
      <c r="S57" s="29"/>
      <c r="T57" s="29"/>
      <c r="U57" s="29"/>
      <c r="V57" s="29"/>
      <c r="W57" s="29"/>
      <c r="X57" s="29"/>
    </row>
    <row r="58" spans="1:24" ht="21" customHeight="1" thickBot="1">
      <c r="A58" s="446"/>
      <c r="B58" s="179" t="s">
        <v>196</v>
      </c>
      <c r="C58" s="180" t="s">
        <v>271</v>
      </c>
      <c r="D58" s="319">
        <v>2500000</v>
      </c>
      <c r="E58" s="319">
        <v>2500000</v>
      </c>
      <c r="F58" s="402"/>
      <c r="G58" s="402"/>
      <c r="H58" s="402"/>
      <c r="I58" s="402"/>
      <c r="J58" s="402"/>
      <c r="K58" s="402"/>
      <c r="L58" s="402"/>
      <c r="M58" s="402"/>
      <c r="N58" s="320"/>
      <c r="O58" s="320"/>
      <c r="P58" s="290">
        <f t="shared" si="13"/>
        <v>2500000</v>
      </c>
      <c r="Q58" s="290">
        <f t="shared" si="14"/>
        <v>2500000</v>
      </c>
      <c r="R58" s="29"/>
      <c r="S58" s="29"/>
      <c r="T58" s="29"/>
      <c r="U58" s="29"/>
      <c r="V58" s="29"/>
      <c r="W58" s="29"/>
      <c r="X58" s="29"/>
    </row>
    <row r="59" spans="1:24" ht="21" customHeight="1" thickBot="1">
      <c r="A59" s="446"/>
      <c r="B59" s="179" t="s">
        <v>168</v>
      </c>
      <c r="C59" s="180" t="s">
        <v>214</v>
      </c>
      <c r="D59" s="319">
        <v>5450000</v>
      </c>
      <c r="E59" s="319">
        <v>7227559</v>
      </c>
      <c r="F59" s="402"/>
      <c r="G59" s="402"/>
      <c r="H59" s="402"/>
      <c r="I59" s="402"/>
      <c r="J59" s="402"/>
      <c r="K59" s="402"/>
      <c r="L59" s="402"/>
      <c r="M59" s="402"/>
      <c r="N59" s="320"/>
      <c r="O59" s="320"/>
      <c r="P59" s="290">
        <f t="shared" si="13"/>
        <v>5450000</v>
      </c>
      <c r="Q59" s="290">
        <f t="shared" si="14"/>
        <v>7227559</v>
      </c>
      <c r="R59" s="29"/>
      <c r="S59" s="29"/>
      <c r="T59" s="29"/>
      <c r="U59" s="29"/>
      <c r="V59" s="29"/>
      <c r="W59" s="29"/>
      <c r="X59" s="29"/>
    </row>
    <row r="60" spans="1:24" ht="33" customHeight="1" thickBot="1">
      <c r="A60" s="447"/>
      <c r="B60" s="448" t="s">
        <v>232</v>
      </c>
      <c r="C60" s="449"/>
      <c r="D60" s="290">
        <f>SUM(D51:D59)</f>
        <v>19294000</v>
      </c>
      <c r="E60" s="290">
        <f>SUM(E51:E59)</f>
        <v>21205559</v>
      </c>
      <c r="F60" s="290">
        <f t="shared" ref="F60:O60" si="15">SUM(F51:F59)</f>
        <v>0</v>
      </c>
      <c r="G60" s="290">
        <f t="shared" si="15"/>
        <v>0</v>
      </c>
      <c r="H60" s="290">
        <f t="shared" si="15"/>
        <v>0</v>
      </c>
      <c r="I60" s="290">
        <f t="shared" si="15"/>
        <v>0</v>
      </c>
      <c r="J60" s="290">
        <f t="shared" si="15"/>
        <v>569210</v>
      </c>
      <c r="K60" s="290">
        <f t="shared" si="15"/>
        <v>569210</v>
      </c>
      <c r="L60" s="290">
        <f t="shared" si="15"/>
        <v>92499790</v>
      </c>
      <c r="M60" s="290">
        <f t="shared" si="15"/>
        <v>93209223</v>
      </c>
      <c r="N60" s="290">
        <f t="shared" si="15"/>
        <v>0</v>
      </c>
      <c r="O60" s="290">
        <f t="shared" si="15"/>
        <v>0</v>
      </c>
      <c r="P60" s="290">
        <f>SUM(P51:P59)</f>
        <v>112363000</v>
      </c>
      <c r="Q60" s="290">
        <f>SUM(Q51:Q59)</f>
        <v>114983992</v>
      </c>
      <c r="R60" s="109"/>
      <c r="S60" s="29"/>
      <c r="T60" s="29"/>
      <c r="U60" s="29"/>
      <c r="V60" s="29"/>
      <c r="W60" s="29"/>
      <c r="X60" s="29"/>
    </row>
    <row r="61" spans="1:24" ht="26.25" customHeight="1" thickBot="1">
      <c r="A61" s="450" t="s">
        <v>56</v>
      </c>
      <c r="B61" s="450"/>
      <c r="C61" s="450"/>
      <c r="D61" s="290">
        <f>+D60+D50+D46+D43+D37</f>
        <v>52209000</v>
      </c>
      <c r="E61" s="290">
        <f t="shared" ref="E61:O61" si="16">+E60+E50+E46+E43+E37</f>
        <v>56643024</v>
      </c>
      <c r="F61" s="290">
        <f t="shared" si="16"/>
        <v>291676598</v>
      </c>
      <c r="G61" s="290">
        <f t="shared" si="16"/>
        <v>371642591</v>
      </c>
      <c r="H61" s="290">
        <f t="shared" si="16"/>
        <v>280237444</v>
      </c>
      <c r="I61" s="290">
        <f t="shared" si="16"/>
        <v>315960821</v>
      </c>
      <c r="J61" s="290">
        <f t="shared" si="16"/>
        <v>165502713</v>
      </c>
      <c r="K61" s="290">
        <f t="shared" si="16"/>
        <v>165579828</v>
      </c>
      <c r="L61" s="290">
        <f t="shared" si="16"/>
        <v>193445328</v>
      </c>
      <c r="M61" s="290">
        <f t="shared" si="16"/>
        <v>210607504</v>
      </c>
      <c r="N61" s="290">
        <f t="shared" si="16"/>
        <v>59270000</v>
      </c>
      <c r="O61" s="290">
        <f t="shared" si="16"/>
        <v>59270000</v>
      </c>
      <c r="P61" s="290">
        <f>SUM(+P60+P50+P46+P43+P37)</f>
        <v>1042341083</v>
      </c>
      <c r="Q61" s="290">
        <f>+Q60+Q50+Q46+Q43+Q37</f>
        <v>1179703768</v>
      </c>
      <c r="R61" s="29"/>
      <c r="S61" s="29"/>
      <c r="T61" s="29"/>
      <c r="U61" s="29"/>
      <c r="V61" s="29"/>
      <c r="W61" s="29"/>
      <c r="X61" s="29"/>
    </row>
    <row r="63" spans="1:24">
      <c r="P63" s="36">
        <f>+N61+L61+J61+H61+F61+D61</f>
        <v>1042341083</v>
      </c>
      <c r="Q63" s="36">
        <f>+O61+M61+K61+I61+G61+E61</f>
        <v>1179703768</v>
      </c>
    </row>
    <row r="64" spans="1:24">
      <c r="Q64" s="36"/>
    </row>
    <row r="65" spans="16:17">
      <c r="P65" s="340">
        <f>+P61-P63</f>
        <v>0</v>
      </c>
      <c r="Q65" s="340">
        <f>+Q61-Q63</f>
        <v>0</v>
      </c>
    </row>
    <row r="67" spans="16:17">
      <c r="P67" s="36">
        <f>+Q61-'4.sz.mell.'!Y61</f>
        <v>-71086765</v>
      </c>
      <c r="Q67" s="31" t="s">
        <v>447</v>
      </c>
    </row>
    <row r="69" spans="16:17">
      <c r="P69" s="36"/>
    </row>
  </sheetData>
  <mergeCells count="18">
    <mergeCell ref="A6:A37"/>
    <mergeCell ref="A38:A43"/>
    <mergeCell ref="B43:C43"/>
    <mergeCell ref="B46:C46"/>
    <mergeCell ref="A1:Q1"/>
    <mergeCell ref="A2:Q2"/>
    <mergeCell ref="A4:A5"/>
    <mergeCell ref="B4:B5"/>
    <mergeCell ref="C4:C5"/>
    <mergeCell ref="D4:O4"/>
    <mergeCell ref="P4:P5"/>
    <mergeCell ref="Q4:Q5"/>
    <mergeCell ref="B50:C50"/>
    <mergeCell ref="B60:C60"/>
    <mergeCell ref="A61:C61"/>
    <mergeCell ref="A44:A46"/>
    <mergeCell ref="A47:A50"/>
    <mergeCell ref="A51:A60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4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52"/>
  <sheetViews>
    <sheetView zoomScale="115" zoomScaleNormal="115" zoomScaleSheetLayoutView="90" workbookViewId="0">
      <selection activeCell="C36" sqref="C36"/>
    </sheetView>
  </sheetViews>
  <sheetFormatPr defaultColWidth="8.85546875" defaultRowHeight="12.75"/>
  <cols>
    <col min="1" max="1" width="4.42578125" style="29" customWidth="1"/>
    <col min="2" max="2" width="7.5703125" style="31" customWidth="1"/>
    <col min="3" max="3" width="93.140625" style="31" bestFit="1" customWidth="1"/>
    <col min="4" max="4" width="15.5703125" style="31" customWidth="1"/>
    <col min="5" max="5" width="15" style="31" customWidth="1"/>
    <col min="6" max="6" width="8.85546875" style="29"/>
    <col min="7" max="7" width="14.85546875" style="29" customWidth="1"/>
    <col min="8" max="8" width="8.85546875" style="29"/>
    <col min="9" max="9" width="51.140625" style="29" bestFit="1" customWidth="1"/>
    <col min="10" max="16384" width="8.85546875" style="29"/>
  </cols>
  <sheetData>
    <row r="1" spans="1:9" ht="15.75">
      <c r="A1" s="415" t="s">
        <v>541</v>
      </c>
      <c r="B1" s="415"/>
      <c r="C1" s="415"/>
      <c r="D1" s="415"/>
      <c r="E1" s="415"/>
    </row>
    <row r="2" spans="1:9" s="31" customFormat="1" ht="27.75" customHeight="1">
      <c r="A2" s="468" t="s">
        <v>297</v>
      </c>
      <c r="B2" s="468"/>
      <c r="C2" s="468"/>
      <c r="D2" s="468"/>
      <c r="E2" s="468"/>
      <c r="F2" s="111"/>
      <c r="G2" s="111"/>
      <c r="H2" s="111"/>
      <c r="I2" s="111"/>
    </row>
    <row r="3" spans="1:9" ht="29.25" customHeight="1">
      <c r="A3" s="469" t="s">
        <v>106</v>
      </c>
      <c r="B3" s="469"/>
      <c r="C3" s="469"/>
      <c r="D3" s="469"/>
      <c r="E3" s="469"/>
      <c r="F3" s="111"/>
      <c r="G3" s="111"/>
      <c r="H3" s="111"/>
      <c r="I3" s="111"/>
    </row>
    <row r="4" spans="1:9" ht="12.75" customHeight="1">
      <c r="B4" s="112"/>
      <c r="C4" s="113"/>
      <c r="D4" s="114" t="s">
        <v>107</v>
      </c>
      <c r="F4" s="111"/>
      <c r="G4" s="111"/>
      <c r="H4" s="111"/>
      <c r="I4" s="111"/>
    </row>
    <row r="5" spans="1:9" ht="12.75" customHeight="1">
      <c r="A5" s="467" t="s">
        <v>108</v>
      </c>
      <c r="B5" s="467"/>
      <c r="C5" s="467"/>
      <c r="D5" s="115">
        <v>1426453</v>
      </c>
      <c r="F5" s="111"/>
      <c r="G5" s="111"/>
      <c r="H5" s="111"/>
      <c r="I5" s="111"/>
    </row>
    <row r="6" spans="1:9" ht="12.75" customHeight="1">
      <c r="A6" s="116"/>
      <c r="B6" s="116"/>
      <c r="C6" s="116"/>
      <c r="D6" s="117"/>
      <c r="F6" s="111"/>
      <c r="G6" s="111"/>
      <c r="H6" s="111"/>
      <c r="I6" s="111"/>
    </row>
    <row r="7" spans="1:9" ht="15.75" customHeight="1">
      <c r="A7" s="467" t="s">
        <v>109</v>
      </c>
      <c r="B7" s="467"/>
      <c r="C7" s="467"/>
      <c r="D7" s="118"/>
      <c r="F7" s="111"/>
      <c r="G7" s="111"/>
      <c r="H7" s="111"/>
      <c r="I7" s="111"/>
    </row>
    <row r="8" spans="1:9" ht="12.75" customHeight="1">
      <c r="B8" s="112"/>
      <c r="C8" s="119"/>
      <c r="D8" s="117" t="s">
        <v>295</v>
      </c>
      <c r="F8" s="111"/>
      <c r="G8" s="111"/>
      <c r="H8" s="111"/>
      <c r="I8" s="111"/>
    </row>
    <row r="9" spans="1:9" ht="12.75" customHeight="1">
      <c r="B9" s="112"/>
      <c r="C9" s="119"/>
      <c r="D9" s="115">
        <v>2491</v>
      </c>
      <c r="F9" s="111"/>
      <c r="G9" s="111"/>
      <c r="H9" s="111"/>
      <c r="I9" s="111"/>
    </row>
    <row r="10" spans="1:9" ht="12.75" customHeight="1">
      <c r="B10" s="112"/>
      <c r="C10" s="120" t="s">
        <v>273</v>
      </c>
      <c r="D10" s="121"/>
      <c r="F10" s="111"/>
      <c r="G10" s="111"/>
      <c r="H10" s="111"/>
      <c r="I10" s="111"/>
    </row>
    <row r="11" spans="1:9" ht="41.25" customHeight="1">
      <c r="B11" s="122"/>
      <c r="C11" s="123" t="s">
        <v>110</v>
      </c>
      <c r="D11" s="379" t="s">
        <v>457</v>
      </c>
      <c r="E11" s="379" t="s">
        <v>458</v>
      </c>
      <c r="F11" s="111"/>
      <c r="G11" s="111"/>
      <c r="H11" s="111"/>
      <c r="I11" s="111"/>
    </row>
    <row r="12" spans="1:9" ht="12.75" customHeight="1">
      <c r="B12" s="115" t="s">
        <v>111</v>
      </c>
      <c r="C12" s="124" t="s">
        <v>63</v>
      </c>
      <c r="D12" s="125" t="s">
        <v>112</v>
      </c>
      <c r="E12" s="125" t="s">
        <v>112</v>
      </c>
      <c r="F12" s="111"/>
      <c r="G12" s="111"/>
      <c r="H12" s="111"/>
      <c r="I12" s="111"/>
    </row>
    <row r="13" spans="1:9" ht="12.75" customHeight="1">
      <c r="B13" s="125" t="s">
        <v>113</v>
      </c>
      <c r="C13" s="126" t="s">
        <v>316</v>
      </c>
      <c r="D13" s="226">
        <v>70715200</v>
      </c>
      <c r="E13" s="226">
        <v>70715200</v>
      </c>
      <c r="F13" s="111"/>
      <c r="G13" s="111"/>
      <c r="H13" s="111"/>
      <c r="I13" s="111"/>
    </row>
    <row r="14" spans="1:9" ht="12.75" customHeight="1">
      <c r="B14" s="125" t="s">
        <v>114</v>
      </c>
      <c r="C14" s="126" t="s">
        <v>115</v>
      </c>
      <c r="D14" s="226">
        <v>20130543</v>
      </c>
      <c r="E14" s="226">
        <v>20130543</v>
      </c>
      <c r="F14" s="111"/>
      <c r="G14" s="111"/>
      <c r="H14" s="111"/>
      <c r="I14" s="111">
        <v>735603</v>
      </c>
    </row>
    <row r="15" spans="1:9" ht="12.75" customHeight="1">
      <c r="B15" s="125" t="s">
        <v>116</v>
      </c>
      <c r="C15" s="126" t="s">
        <v>117</v>
      </c>
      <c r="D15" s="226">
        <v>9024810</v>
      </c>
      <c r="E15" s="226">
        <v>9024810</v>
      </c>
      <c r="F15" s="111"/>
      <c r="G15" s="111"/>
      <c r="H15" s="111"/>
      <c r="I15" s="111"/>
    </row>
    <row r="16" spans="1:9" ht="12.75" customHeight="1">
      <c r="B16" s="125" t="s">
        <v>118</v>
      </c>
      <c r="C16" s="126" t="s">
        <v>119</v>
      </c>
      <c r="D16" s="226">
        <v>6400000</v>
      </c>
      <c r="E16" s="226">
        <v>6400000</v>
      </c>
      <c r="F16" s="111"/>
      <c r="G16" s="111"/>
      <c r="H16" s="111"/>
      <c r="I16" s="111"/>
    </row>
    <row r="17" spans="2:9" ht="12.75" customHeight="1">
      <c r="B17" s="125" t="s">
        <v>120</v>
      </c>
      <c r="C17" s="126" t="s">
        <v>121</v>
      </c>
      <c r="D17" s="226">
        <v>522123</v>
      </c>
      <c r="E17" s="226">
        <v>522123</v>
      </c>
      <c r="F17" s="111"/>
      <c r="G17" s="111"/>
      <c r="H17" s="111"/>
      <c r="I17" s="111"/>
    </row>
    <row r="18" spans="2:9" ht="12.75" customHeight="1">
      <c r="B18" s="125" t="s">
        <v>122</v>
      </c>
      <c r="C18" s="126" t="s">
        <v>123</v>
      </c>
      <c r="D18" s="226">
        <v>4183610</v>
      </c>
      <c r="E18" s="226">
        <v>4183610</v>
      </c>
      <c r="F18" s="111"/>
      <c r="G18" s="111"/>
      <c r="H18" s="111"/>
      <c r="I18" s="111"/>
    </row>
    <row r="19" spans="2:9" ht="12.75" customHeight="1">
      <c r="B19" s="125" t="s">
        <v>124</v>
      </c>
      <c r="C19" s="126" t="s">
        <v>125</v>
      </c>
      <c r="D19" s="226">
        <v>6725700</v>
      </c>
      <c r="E19" s="226">
        <v>6725700</v>
      </c>
      <c r="F19" s="111"/>
      <c r="G19" s="111"/>
      <c r="H19" s="111"/>
      <c r="I19" s="111"/>
    </row>
    <row r="20" spans="2:9" ht="12.75" customHeight="1">
      <c r="B20" s="125" t="s">
        <v>126</v>
      </c>
      <c r="C20" s="126" t="s">
        <v>127</v>
      </c>
      <c r="D20" s="226">
        <v>84150</v>
      </c>
      <c r="E20" s="226">
        <v>84150</v>
      </c>
      <c r="F20" s="111"/>
      <c r="G20" s="111"/>
      <c r="H20" s="111"/>
      <c r="I20" s="111"/>
    </row>
    <row r="21" spans="2:9" ht="12.75" customHeight="1">
      <c r="B21" s="125"/>
      <c r="C21" s="126" t="s">
        <v>128</v>
      </c>
      <c r="D21" s="226">
        <v>19531119</v>
      </c>
      <c r="E21" s="226">
        <v>19531119</v>
      </c>
      <c r="F21" s="111"/>
      <c r="G21" s="111"/>
      <c r="H21" s="111"/>
      <c r="I21" s="111"/>
    </row>
    <row r="22" spans="2:9" ht="12.75" customHeight="1">
      <c r="B22" s="125"/>
      <c r="C22" s="183" t="s">
        <v>303</v>
      </c>
      <c r="D22" s="226">
        <v>1041000</v>
      </c>
      <c r="E22" s="226">
        <v>1041000</v>
      </c>
      <c r="F22" s="111"/>
      <c r="G22" s="111"/>
      <c r="H22" s="111"/>
      <c r="I22" s="111"/>
    </row>
    <row r="23" spans="2:9" ht="12.75" customHeight="1">
      <c r="B23" s="410"/>
      <c r="C23" s="183" t="s">
        <v>535</v>
      </c>
      <c r="D23" s="226"/>
      <c r="E23" s="226">
        <v>105164</v>
      </c>
      <c r="F23" s="111"/>
      <c r="G23" s="111"/>
      <c r="H23" s="111"/>
      <c r="I23" s="111"/>
    </row>
    <row r="24" spans="2:9" ht="12.75" customHeight="1">
      <c r="B24" s="125" t="s">
        <v>38</v>
      </c>
      <c r="C24" s="127" t="s">
        <v>129</v>
      </c>
      <c r="D24" s="227">
        <f>SUM(D13:D14,D19,D20,D21:D22,)</f>
        <v>118227712</v>
      </c>
      <c r="E24" s="227">
        <f>SUM(E13:E14,E19,E20,E21:E22,E23)</f>
        <v>118332876</v>
      </c>
      <c r="F24" s="111"/>
      <c r="G24" s="111"/>
      <c r="H24" s="111"/>
      <c r="I24" s="111"/>
    </row>
    <row r="25" spans="2:9">
      <c r="B25" s="125"/>
      <c r="C25" s="126" t="s">
        <v>304</v>
      </c>
      <c r="D25" s="226">
        <v>27103200</v>
      </c>
      <c r="E25" s="226">
        <v>27103200</v>
      </c>
    </row>
    <row r="26" spans="2:9">
      <c r="B26" s="125"/>
      <c r="C26" s="126" t="s">
        <v>305</v>
      </c>
      <c r="D26" s="226">
        <v>13846200</v>
      </c>
      <c r="E26" s="226">
        <v>15466500</v>
      </c>
    </row>
    <row r="27" spans="2:9">
      <c r="B27" s="125"/>
      <c r="C27" s="126" t="s">
        <v>308</v>
      </c>
      <c r="D27" s="226">
        <v>802000</v>
      </c>
      <c r="E27" s="226">
        <v>802000</v>
      </c>
    </row>
    <row r="28" spans="2:9" ht="32.25" customHeight="1">
      <c r="B28" s="125"/>
      <c r="C28" s="129" t="s">
        <v>309</v>
      </c>
      <c r="D28" s="226">
        <v>1102752</v>
      </c>
      <c r="E28" s="226">
        <v>1102752</v>
      </c>
    </row>
    <row r="29" spans="2:9">
      <c r="B29" s="125"/>
      <c r="C29" s="126" t="s">
        <v>274</v>
      </c>
      <c r="D29" s="226">
        <v>7350000</v>
      </c>
      <c r="E29" s="226">
        <v>7350000</v>
      </c>
    </row>
    <row r="30" spans="2:9">
      <c r="B30" s="125"/>
      <c r="C30" s="121" t="s">
        <v>275</v>
      </c>
      <c r="D30" s="226">
        <v>3675000</v>
      </c>
      <c r="E30" s="226">
        <v>3675000</v>
      </c>
    </row>
    <row r="31" spans="2:9">
      <c r="B31" s="125"/>
      <c r="C31" s="126" t="s">
        <v>306</v>
      </c>
      <c r="D31" s="226">
        <v>5119867</v>
      </c>
      <c r="E31" s="226">
        <v>5119867</v>
      </c>
    </row>
    <row r="32" spans="2:9">
      <c r="B32" s="125"/>
      <c r="C32" s="126" t="s">
        <v>307</v>
      </c>
      <c r="D32" s="226">
        <v>2641633</v>
      </c>
      <c r="E32" s="226">
        <v>2913967</v>
      </c>
    </row>
    <row r="33" spans="2:7">
      <c r="B33" s="125" t="s">
        <v>39</v>
      </c>
      <c r="C33" s="128" t="s">
        <v>237</v>
      </c>
      <c r="D33" s="227">
        <f>SUM(D25:D32)</f>
        <v>61640652</v>
      </c>
      <c r="E33" s="227">
        <f>SUM(E25:E32)</f>
        <v>63533286</v>
      </c>
    </row>
    <row r="34" spans="2:7">
      <c r="B34" s="125"/>
      <c r="C34" s="126" t="s">
        <v>238</v>
      </c>
      <c r="D34" s="226">
        <v>21935000</v>
      </c>
      <c r="E34" s="411">
        <v>21935000</v>
      </c>
    </row>
    <row r="35" spans="2:7">
      <c r="B35" s="125"/>
      <c r="C35" s="126" t="s">
        <v>314</v>
      </c>
      <c r="D35" s="226">
        <v>20178000</v>
      </c>
      <c r="E35" s="411">
        <f>26475071-671594</f>
        <v>25803477</v>
      </c>
    </row>
    <row r="36" spans="2:7">
      <c r="B36" s="125"/>
      <c r="C36" s="126" t="s">
        <v>130</v>
      </c>
      <c r="D36" s="226">
        <v>21700817</v>
      </c>
      <c r="E36" s="226">
        <v>23362250</v>
      </c>
      <c r="G36" s="29">
        <v>285158666</v>
      </c>
    </row>
    <row r="37" spans="2:7">
      <c r="B37" s="125"/>
      <c r="C37" s="126" t="s">
        <v>276</v>
      </c>
      <c r="D37" s="226">
        <v>787740</v>
      </c>
      <c r="E37" s="226">
        <v>1318980</v>
      </c>
    </row>
    <row r="38" spans="2:7">
      <c r="B38" s="125"/>
      <c r="C38" s="126" t="s">
        <v>239</v>
      </c>
      <c r="D38" s="226">
        <v>3400000</v>
      </c>
      <c r="E38" s="411">
        <v>3400000</v>
      </c>
    </row>
    <row r="39" spans="2:7">
      <c r="B39" s="125"/>
      <c r="C39" s="126" t="s">
        <v>310</v>
      </c>
      <c r="D39" s="226">
        <v>4982400</v>
      </c>
      <c r="E39" s="411">
        <v>4760960</v>
      </c>
    </row>
    <row r="40" spans="2:7">
      <c r="B40" s="125"/>
      <c r="C40" s="126" t="s">
        <v>311</v>
      </c>
      <c r="D40" s="226">
        <v>200000</v>
      </c>
      <c r="E40" s="411">
        <v>175000</v>
      </c>
    </row>
    <row r="41" spans="2:7">
      <c r="B41" s="125"/>
      <c r="C41" s="126" t="s">
        <v>312</v>
      </c>
      <c r="D41" s="226">
        <v>5280000</v>
      </c>
      <c r="E41" s="411">
        <v>5280000</v>
      </c>
    </row>
    <row r="42" spans="2:7">
      <c r="B42" s="125"/>
      <c r="C42" s="126" t="s">
        <v>313</v>
      </c>
      <c r="D42" s="226">
        <v>1962000</v>
      </c>
      <c r="E42" s="411">
        <v>1962000</v>
      </c>
    </row>
    <row r="43" spans="2:7">
      <c r="B43" s="125" t="s">
        <v>131</v>
      </c>
      <c r="C43" s="127" t="s">
        <v>132</v>
      </c>
      <c r="D43" s="227">
        <f>SUM(D34:D42)</f>
        <v>80425957</v>
      </c>
      <c r="E43" s="227">
        <f>SUM(E34:E42)</f>
        <v>87997667</v>
      </c>
    </row>
    <row r="44" spans="2:7">
      <c r="B44" s="125"/>
      <c r="C44" s="126" t="s">
        <v>133</v>
      </c>
      <c r="D44" s="226">
        <v>3014110</v>
      </c>
      <c r="E44" s="226">
        <v>4194717</v>
      </c>
    </row>
    <row r="45" spans="2:7">
      <c r="B45" s="125" t="s">
        <v>43</v>
      </c>
      <c r="C45" s="127" t="s">
        <v>134</v>
      </c>
      <c r="D45" s="227">
        <f>D44</f>
        <v>3014110</v>
      </c>
      <c r="E45" s="227">
        <f>E44</f>
        <v>4194717</v>
      </c>
    </row>
    <row r="46" spans="2:7">
      <c r="B46" s="125"/>
      <c r="C46" s="127" t="s">
        <v>180</v>
      </c>
      <c r="D46" s="227">
        <v>39167652</v>
      </c>
      <c r="E46" s="227">
        <v>39167652</v>
      </c>
    </row>
    <row r="47" spans="2:7">
      <c r="B47" s="125" t="s">
        <v>155</v>
      </c>
      <c r="C47" s="127" t="s">
        <v>240</v>
      </c>
      <c r="D47" s="227">
        <v>4742652</v>
      </c>
      <c r="E47" s="227">
        <f>+'1.sz.mell.'!D22</f>
        <v>11100120</v>
      </c>
    </row>
    <row r="48" spans="2:7" ht="25.5">
      <c r="B48" s="125"/>
      <c r="C48" s="129" t="s">
        <v>277</v>
      </c>
      <c r="D48" s="227">
        <f>SUM(D24,D33,D43,D45,D47)</f>
        <v>268051083</v>
      </c>
      <c r="E48" s="227">
        <f>SUM(E24,E33,E43,E45,E47)</f>
        <v>285158666</v>
      </c>
    </row>
    <row r="50" spans="5:5">
      <c r="E50" s="36">
        <f>+'1.sz.mell.'!D24</f>
        <v>285158666</v>
      </c>
    </row>
    <row r="52" spans="5:5">
      <c r="E52" s="36">
        <f>+E50-E48</f>
        <v>0</v>
      </c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Q67"/>
  <sheetViews>
    <sheetView zoomScaleNormal="100" workbookViewId="0">
      <selection activeCell="G22" sqref="G22"/>
    </sheetView>
  </sheetViews>
  <sheetFormatPr defaultRowHeight="12.75"/>
  <cols>
    <col min="1" max="1" width="10.28515625" style="38" customWidth="1"/>
    <col min="2" max="2" width="55" style="38" customWidth="1"/>
    <col min="3" max="3" width="17" style="38" customWidth="1"/>
    <col min="4" max="4" width="16.42578125" style="38" customWidth="1"/>
    <col min="5" max="5" width="9.140625" style="38"/>
    <col min="6" max="6" width="10.85546875" style="38" bestFit="1" customWidth="1"/>
    <col min="7" max="16384" width="9.140625" style="38"/>
  </cols>
  <sheetData>
    <row r="1" spans="1:9" ht="22.5" customHeight="1">
      <c r="A1" s="471" t="s">
        <v>542</v>
      </c>
      <c r="B1" s="471"/>
      <c r="C1" s="471"/>
      <c r="D1" s="471"/>
      <c r="E1" s="185"/>
      <c r="F1" s="185"/>
    </row>
    <row r="2" spans="1:9" ht="22.5" customHeight="1">
      <c r="A2" s="182"/>
      <c r="B2" s="182"/>
      <c r="C2" s="182"/>
      <c r="D2" s="182"/>
      <c r="E2" s="185"/>
      <c r="F2" s="185"/>
    </row>
    <row r="3" spans="1:9" ht="39" customHeight="1">
      <c r="A3" s="470" t="s">
        <v>296</v>
      </c>
      <c r="B3" s="470"/>
      <c r="C3" s="470"/>
      <c r="D3" s="470"/>
      <c r="E3" s="184"/>
      <c r="F3" s="184"/>
    </row>
    <row r="4" spans="1:9">
      <c r="B4" s="39"/>
      <c r="C4" s="39"/>
    </row>
    <row r="5" spans="1:9">
      <c r="B5" s="39"/>
      <c r="C5" s="39"/>
    </row>
    <row r="6" spans="1:9">
      <c r="B6" s="39"/>
    </row>
    <row r="7" spans="1:9" ht="13.5" thickBot="1">
      <c r="B7" s="39"/>
      <c r="C7" s="142"/>
      <c r="D7" s="142" t="s">
        <v>253</v>
      </c>
    </row>
    <row r="8" spans="1:9" ht="26.25" customHeight="1" thickBot="1">
      <c r="B8" s="348" t="s">
        <v>63</v>
      </c>
      <c r="C8" s="348" t="s">
        <v>366</v>
      </c>
      <c r="D8" s="348" t="s">
        <v>459</v>
      </c>
    </row>
    <row r="9" spans="1:9" ht="16.5" thickBot="1">
      <c r="B9" s="44" t="s">
        <v>340</v>
      </c>
      <c r="C9" s="347">
        <v>153625000</v>
      </c>
      <c r="D9" s="347">
        <f>+'1.sz.mell.'!D56</f>
        <v>155500000</v>
      </c>
    </row>
    <row r="10" spans="1:9" ht="15.75">
      <c r="B10" s="204" t="s">
        <v>454</v>
      </c>
      <c r="C10" s="243">
        <v>31946110</v>
      </c>
      <c r="D10" s="243">
        <f>+'1.sz.mell.'!D57</f>
        <v>9680678</v>
      </c>
    </row>
    <row r="11" spans="1:9" ht="15.75">
      <c r="B11" s="393" t="s">
        <v>520</v>
      </c>
      <c r="C11" s="243">
        <v>12015699</v>
      </c>
      <c r="D11" s="243">
        <v>12015699</v>
      </c>
    </row>
    <row r="12" spans="1:9" ht="15.75">
      <c r="B12" s="44" t="s">
        <v>469</v>
      </c>
      <c r="C12" s="243">
        <v>44590100</v>
      </c>
      <c r="D12" s="243">
        <f>44590100+5009294</f>
        <v>49599394</v>
      </c>
    </row>
    <row r="13" spans="1:9" ht="15.75">
      <c r="B13" s="44" t="s">
        <v>470</v>
      </c>
      <c r="C13" s="243">
        <v>48310000</v>
      </c>
      <c r="D13" s="243">
        <f>48310000-2657</f>
        <v>48307343</v>
      </c>
    </row>
    <row r="14" spans="1:9" s="45" customFormat="1" ht="15" customHeight="1">
      <c r="B14" s="41" t="s">
        <v>315</v>
      </c>
      <c r="C14" s="243">
        <v>812024</v>
      </c>
      <c r="D14" s="243">
        <f>+'1.sz.mell.'!D60</f>
        <v>812024</v>
      </c>
      <c r="I14" s="45">
        <v>735603</v>
      </c>
    </row>
    <row r="15" spans="1:9" s="45" customFormat="1" ht="15" customHeight="1">
      <c r="B15" s="205" t="s">
        <v>451</v>
      </c>
      <c r="C15" s="243">
        <v>0</v>
      </c>
      <c r="D15" s="243">
        <f>+'1.sz.mell.'!D61</f>
        <v>17311683</v>
      </c>
    </row>
    <row r="16" spans="1:9" s="45" customFormat="1" ht="15" customHeight="1">
      <c r="B16" s="205" t="s">
        <v>450</v>
      </c>
      <c r="C16" s="243">
        <v>0</v>
      </c>
      <c r="D16" s="243">
        <f>+'1.sz.mell.'!D62</f>
        <v>20000000</v>
      </c>
    </row>
    <row r="17" spans="2:6" s="45" customFormat="1" ht="15" customHeight="1">
      <c r="B17" s="205" t="s">
        <v>453</v>
      </c>
      <c r="C17" s="243">
        <v>0</v>
      </c>
      <c r="D17" s="243">
        <f>+'1.sz.mell.'!D63</f>
        <v>2734000</v>
      </c>
    </row>
    <row r="18" spans="2:6" s="42" customFormat="1" ht="15" customHeight="1">
      <c r="B18" s="40" t="s">
        <v>57</v>
      </c>
      <c r="C18" s="244">
        <f>SUM(C9:C17)</f>
        <v>291298933</v>
      </c>
      <c r="D18" s="244">
        <f>SUM(D9:D17)</f>
        <v>315960821</v>
      </c>
      <c r="F18" s="135">
        <f>+'4a.sz.mell.'!I61</f>
        <v>315960821</v>
      </c>
    </row>
    <row r="19" spans="2:6" s="42" customFormat="1" ht="15" customHeight="1">
      <c r="B19" s="44" t="s">
        <v>264</v>
      </c>
      <c r="C19" s="243">
        <v>48165179</v>
      </c>
      <c r="D19" s="243">
        <f>27725176+10249733</f>
        <v>37974909</v>
      </c>
      <c r="F19" s="135"/>
    </row>
    <row r="20" spans="2:6" ht="15" customHeight="1">
      <c r="B20" s="40" t="s">
        <v>57</v>
      </c>
      <c r="C20" s="244">
        <f>SUM(C19)</f>
        <v>48165179</v>
      </c>
      <c r="D20" s="244">
        <f>SUM(D19)</f>
        <v>37974909</v>
      </c>
    </row>
    <row r="21" spans="2:6" ht="15" customHeight="1">
      <c r="B21" s="43" t="s">
        <v>58</v>
      </c>
      <c r="C21" s="244">
        <f>SUM(C18,C20)</f>
        <v>339464112</v>
      </c>
      <c r="D21" s="244">
        <f>SUM(D18,D20)</f>
        <v>353935730</v>
      </c>
      <c r="F21" s="144"/>
    </row>
    <row r="23" spans="2:6">
      <c r="C23" s="144">
        <f>+'1.sz.mell.'!C90</f>
        <v>327448413</v>
      </c>
      <c r="D23" s="144">
        <f>+'1.sz.mell.'!D90</f>
        <v>353935730</v>
      </c>
    </row>
    <row r="24" spans="2:6">
      <c r="C24" s="144"/>
    </row>
    <row r="25" spans="2:6">
      <c r="C25" s="144"/>
      <c r="D25" s="144">
        <f>+D23-D21</f>
        <v>0</v>
      </c>
    </row>
    <row r="35" spans="7:7">
      <c r="G35" s="38">
        <v>285158666</v>
      </c>
    </row>
    <row r="52" spans="4:17">
      <c r="D52" s="38">
        <f>SUM(D41:D51)</f>
        <v>0</v>
      </c>
      <c r="E52" s="144">
        <f>+'4a.sz.mell.'!E61</f>
        <v>56643024</v>
      </c>
    </row>
    <row r="54" spans="4:17">
      <c r="E54" s="38">
        <f>+D52+D54</f>
        <v>0</v>
      </c>
    </row>
    <row r="63" spans="4:17">
      <c r="Q63" s="38">
        <f>+O61+M61+K61+I61+G61+E61</f>
        <v>0</v>
      </c>
    </row>
    <row r="67" spans="16:16">
      <c r="P67" s="144">
        <f>+Q61-'4.sz.mell.'!Y61</f>
        <v>-1250790533</v>
      </c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132"/>
  <sheetViews>
    <sheetView zoomScaleNormal="100" workbookViewId="0">
      <selection activeCell="I29" sqref="I29"/>
    </sheetView>
  </sheetViews>
  <sheetFormatPr defaultRowHeight="15.75"/>
  <cols>
    <col min="1" max="1" width="5.85546875" style="38" customWidth="1"/>
    <col min="2" max="2" width="57.140625" style="52" customWidth="1"/>
    <col min="3" max="3" width="30.85546875" style="52" customWidth="1"/>
    <col min="4" max="4" width="18.5703125" style="53" customWidth="1"/>
    <col min="5" max="5" width="18.85546875" style="38" customWidth="1"/>
    <col min="6" max="16384" width="9.140625" style="38"/>
  </cols>
  <sheetData>
    <row r="1" spans="1:9" ht="30" customHeight="1">
      <c r="A1" s="412" t="s">
        <v>543</v>
      </c>
      <c r="B1" s="412"/>
      <c r="C1" s="412"/>
      <c r="D1" s="412"/>
      <c r="E1" s="412"/>
    </row>
    <row r="2" spans="1:9" ht="30" customHeight="1">
      <c r="A2" s="181"/>
      <c r="B2" s="181"/>
      <c r="C2" s="181"/>
      <c r="D2" s="181"/>
      <c r="E2" s="181"/>
    </row>
    <row r="3" spans="1:9" ht="49.5" customHeight="1">
      <c r="A3" s="470" t="s">
        <v>298</v>
      </c>
      <c r="B3" s="470"/>
      <c r="C3" s="470"/>
      <c r="D3" s="470"/>
      <c r="E3" s="470"/>
    </row>
    <row r="4" spans="1:9">
      <c r="B4" s="46"/>
      <c r="C4" s="46"/>
      <c r="D4" s="47"/>
    </row>
    <row r="5" spans="1:9" ht="19.5" customHeight="1" thickBot="1">
      <c r="B5" s="46"/>
      <c r="C5" s="46"/>
      <c r="D5" s="47" t="s">
        <v>253</v>
      </c>
    </row>
    <row r="6" spans="1:9" s="42" customFormat="1" ht="39" customHeight="1" thickBot="1">
      <c r="B6" s="186" t="s">
        <v>249</v>
      </c>
      <c r="C6" s="187" t="s">
        <v>242</v>
      </c>
      <c r="D6" s="349" t="s">
        <v>367</v>
      </c>
      <c r="E6" s="349" t="s">
        <v>368</v>
      </c>
    </row>
    <row r="7" spans="1:9">
      <c r="B7" s="48" t="s">
        <v>60</v>
      </c>
      <c r="C7" s="48"/>
      <c r="D7" s="189">
        <f>SUM(D8:D10)</f>
        <v>246525100</v>
      </c>
      <c r="E7" s="189">
        <f>SUM(E8:E10)</f>
        <v>202288276</v>
      </c>
    </row>
    <row r="8" spans="1:9">
      <c r="B8" s="296" t="s">
        <v>340</v>
      </c>
      <c r="C8" s="48"/>
      <c r="D8" s="295">
        <v>153625000</v>
      </c>
      <c r="E8" s="295">
        <v>154837440</v>
      </c>
    </row>
    <row r="9" spans="1:9" ht="31.5">
      <c r="B9" s="247" t="s">
        <v>418</v>
      </c>
      <c r="C9" s="245" t="s">
        <v>243</v>
      </c>
      <c r="D9" s="246">
        <v>44590100</v>
      </c>
      <c r="E9" s="246">
        <f>+'4.sz.mell.'!U39</f>
        <v>22053670</v>
      </c>
    </row>
    <row r="10" spans="1:9" ht="36" customHeight="1">
      <c r="B10" s="247" t="s">
        <v>417</v>
      </c>
      <c r="C10" s="245" t="s">
        <v>243</v>
      </c>
      <c r="D10" s="315">
        <v>48310000</v>
      </c>
      <c r="E10" s="315">
        <f>+'4.sz.mell.'!U38</f>
        <v>25397166</v>
      </c>
    </row>
    <row r="11" spans="1:9">
      <c r="B11" s="49" t="s">
        <v>61</v>
      </c>
      <c r="C11" s="48"/>
      <c r="D11" s="316">
        <f>+SUM(D15:D35)</f>
        <v>80573313</v>
      </c>
      <c r="E11" s="316">
        <f>+SUM(E12:E41)</f>
        <v>151647454</v>
      </c>
    </row>
    <row r="12" spans="1:9" ht="31.5">
      <c r="B12" s="247" t="s">
        <v>451</v>
      </c>
      <c r="C12" s="245" t="s">
        <v>244</v>
      </c>
      <c r="D12" s="315">
        <v>0</v>
      </c>
      <c r="E12" s="315">
        <f>+'1.sz.mell.'!D61</f>
        <v>17311683</v>
      </c>
      <c r="F12" s="382"/>
    </row>
    <row r="13" spans="1:9">
      <c r="B13" s="41" t="s">
        <v>341</v>
      </c>
      <c r="C13" s="188" t="s">
        <v>243</v>
      </c>
      <c r="D13" s="297">
        <v>350000</v>
      </c>
      <c r="E13" s="297">
        <v>380619</v>
      </c>
    </row>
    <row r="14" spans="1:9">
      <c r="B14" s="41" t="s">
        <v>466</v>
      </c>
      <c r="C14" s="188" t="s">
        <v>243</v>
      </c>
      <c r="D14" s="297">
        <v>0</v>
      </c>
      <c r="E14" s="297">
        <f>269240+9141</f>
        <v>278381</v>
      </c>
      <c r="I14" s="38">
        <v>735603</v>
      </c>
    </row>
    <row r="15" spans="1:9">
      <c r="B15" s="41" t="s">
        <v>241</v>
      </c>
      <c r="C15" s="188" t="s">
        <v>243</v>
      </c>
      <c r="D15" s="297">
        <v>1651000</v>
      </c>
      <c r="E15" s="297">
        <f>+'4.sz.mell.'!U46</f>
        <v>2696600</v>
      </c>
    </row>
    <row r="16" spans="1:9">
      <c r="B16" s="41" t="s">
        <v>250</v>
      </c>
      <c r="C16" s="188" t="s">
        <v>243</v>
      </c>
      <c r="D16" s="297">
        <v>254000</v>
      </c>
      <c r="E16" s="297">
        <f>+'4.sz.mell.'!U48</f>
        <v>737844</v>
      </c>
    </row>
    <row r="17" spans="2:5">
      <c r="B17" s="41" t="s">
        <v>260</v>
      </c>
      <c r="C17" s="188" t="s">
        <v>243</v>
      </c>
      <c r="D17" s="297">
        <v>222000</v>
      </c>
      <c r="E17" s="297">
        <f>+'4.sz.mell.'!U51</f>
        <v>222000</v>
      </c>
    </row>
    <row r="18" spans="2:5">
      <c r="B18" s="41" t="s">
        <v>261</v>
      </c>
      <c r="C18" s="188" t="s">
        <v>243</v>
      </c>
      <c r="D18" s="297">
        <v>889000</v>
      </c>
      <c r="E18" s="297">
        <f>+'4.sz.mell.'!U60</f>
        <v>1078900</v>
      </c>
    </row>
    <row r="19" spans="2:5">
      <c r="B19" s="41" t="s">
        <v>462</v>
      </c>
      <c r="C19" s="188" t="s">
        <v>243</v>
      </c>
      <c r="D19" s="297">
        <v>0</v>
      </c>
      <c r="E19" s="243">
        <f>+'4.sz.mell.'!U11+'4.sz.mell.'!U12+'4.sz.mell.'!U13+'4.sz.mell.'!U10+'4.sz.mell.'!W10+'4.sz.mell.'!W11+'4.sz.mell.'!W12+'4.sz.mell.'!W13</f>
        <v>577860</v>
      </c>
    </row>
    <row r="20" spans="2:5">
      <c r="B20" s="41" t="s">
        <v>262</v>
      </c>
      <c r="C20" s="188" t="s">
        <v>243</v>
      </c>
      <c r="D20" s="297">
        <v>1100000</v>
      </c>
      <c r="E20" s="297">
        <v>1450000</v>
      </c>
    </row>
    <row r="21" spans="2:5">
      <c r="B21" s="41" t="s">
        <v>521</v>
      </c>
      <c r="C21" s="188" t="s">
        <v>243</v>
      </c>
      <c r="D21" s="297">
        <v>600000</v>
      </c>
      <c r="E21" s="297">
        <v>600000</v>
      </c>
    </row>
    <row r="22" spans="2:5">
      <c r="B22" s="41" t="s">
        <v>461</v>
      </c>
      <c r="C22" s="188" t="s">
        <v>243</v>
      </c>
      <c r="D22" s="297">
        <v>0</v>
      </c>
      <c r="E22" s="297">
        <f>+'1.sz.mell.'!D63</f>
        <v>2734000</v>
      </c>
    </row>
    <row r="23" spans="2:5">
      <c r="B23" s="41" t="s">
        <v>317</v>
      </c>
      <c r="C23" s="188" t="s">
        <v>243</v>
      </c>
      <c r="D23" s="297">
        <v>300000</v>
      </c>
      <c r="E23" s="297">
        <v>300000</v>
      </c>
    </row>
    <row r="24" spans="2:5">
      <c r="B24" s="41" t="s">
        <v>318</v>
      </c>
      <c r="C24" s="188" t="s">
        <v>243</v>
      </c>
      <c r="D24" s="297">
        <v>23447542</v>
      </c>
      <c r="E24" s="297">
        <v>23447542</v>
      </c>
    </row>
    <row r="25" spans="2:5">
      <c r="B25" s="41" t="s">
        <v>342</v>
      </c>
      <c r="C25" s="188" t="s">
        <v>243</v>
      </c>
      <c r="D25" s="297">
        <v>292681</v>
      </c>
      <c r="E25" s="297">
        <v>292681</v>
      </c>
    </row>
    <row r="26" spans="2:5">
      <c r="B26" s="41" t="s">
        <v>463</v>
      </c>
      <c r="C26" s="188" t="s">
        <v>244</v>
      </c>
      <c r="D26" s="297">
        <v>0</v>
      </c>
      <c r="E26" s="297">
        <v>787111</v>
      </c>
    </row>
    <row r="27" spans="2:5">
      <c r="B27" s="41" t="s">
        <v>321</v>
      </c>
      <c r="C27" s="188" t="s">
        <v>243</v>
      </c>
      <c r="D27" s="297">
        <v>130000</v>
      </c>
      <c r="E27" s="297">
        <v>130000</v>
      </c>
    </row>
    <row r="28" spans="2:5">
      <c r="B28" s="41" t="s">
        <v>322</v>
      </c>
      <c r="C28" s="188" t="s">
        <v>243</v>
      </c>
      <c r="D28" s="297">
        <v>440000</v>
      </c>
      <c r="E28" s="297">
        <v>320000</v>
      </c>
    </row>
    <row r="29" spans="2:5">
      <c r="B29" s="41" t="s">
        <v>323</v>
      </c>
      <c r="C29" s="188" t="s">
        <v>244</v>
      </c>
      <c r="D29" s="297">
        <v>4189100</v>
      </c>
      <c r="E29" s="297">
        <v>4189100</v>
      </c>
    </row>
    <row r="30" spans="2:5">
      <c r="B30" s="41" t="s">
        <v>315</v>
      </c>
      <c r="C30" s="188" t="s">
        <v>243</v>
      </c>
      <c r="D30" s="297">
        <v>812024</v>
      </c>
      <c r="E30" s="297">
        <v>932024</v>
      </c>
    </row>
    <row r="31" spans="2:5">
      <c r="B31" s="41" t="s">
        <v>419</v>
      </c>
      <c r="C31" s="188" t="s">
        <v>244</v>
      </c>
      <c r="D31" s="297">
        <v>0</v>
      </c>
      <c r="E31" s="297">
        <v>709433</v>
      </c>
    </row>
    <row r="32" spans="2:5">
      <c r="B32" s="41" t="s">
        <v>468</v>
      </c>
      <c r="C32" s="188" t="s">
        <v>244</v>
      </c>
      <c r="D32" s="297">
        <v>0</v>
      </c>
      <c r="E32" s="297">
        <v>762000</v>
      </c>
    </row>
    <row r="33" spans="2:7">
      <c r="B33" s="41" t="s">
        <v>464</v>
      </c>
      <c r="C33" s="188" t="s">
        <v>244</v>
      </c>
      <c r="D33" s="297">
        <v>4500000</v>
      </c>
      <c r="E33" s="297">
        <f>8803526+320000</f>
        <v>9123526</v>
      </c>
    </row>
    <row r="34" spans="2:7">
      <c r="B34" s="41" t="s">
        <v>319</v>
      </c>
      <c r="C34" s="188" t="s">
        <v>244</v>
      </c>
      <c r="D34" s="297">
        <v>14136116</v>
      </c>
      <c r="E34" s="297">
        <v>14136277</v>
      </c>
    </row>
    <row r="35" spans="2:7">
      <c r="B35" s="41" t="s">
        <v>320</v>
      </c>
      <c r="C35" s="188" t="s">
        <v>244</v>
      </c>
      <c r="D35" s="297">
        <v>27609850</v>
      </c>
      <c r="E35" s="297">
        <f>27706312+14360208</f>
        <v>42066520</v>
      </c>
      <c r="G35" s="38">
        <v>285158666</v>
      </c>
    </row>
    <row r="36" spans="2:7">
      <c r="B36" s="41" t="s">
        <v>460</v>
      </c>
      <c r="C36" s="188" t="s">
        <v>244</v>
      </c>
      <c r="D36" s="297">
        <v>0</v>
      </c>
      <c r="E36" s="297">
        <v>23529412</v>
      </c>
    </row>
    <row r="37" spans="2:7">
      <c r="B37" s="41" t="s">
        <v>465</v>
      </c>
      <c r="C37" s="188" t="s">
        <v>243</v>
      </c>
      <c r="D37" s="297">
        <v>0</v>
      </c>
      <c r="E37" s="297">
        <v>69979</v>
      </c>
    </row>
    <row r="38" spans="2:7">
      <c r="B38" s="41" t="s">
        <v>467</v>
      </c>
      <c r="C38" s="188" t="s">
        <v>243</v>
      </c>
      <c r="D38" s="297">
        <v>0</v>
      </c>
      <c r="E38" s="297">
        <v>135400</v>
      </c>
    </row>
    <row r="39" spans="2:7">
      <c r="B39" s="41" t="s">
        <v>529</v>
      </c>
      <c r="C39" s="188" t="s">
        <v>243</v>
      </c>
      <c r="D39" s="297">
        <v>0</v>
      </c>
      <c r="E39" s="297">
        <v>556732</v>
      </c>
    </row>
    <row r="40" spans="2:7">
      <c r="B40" s="41" t="s">
        <v>530</v>
      </c>
      <c r="C40" s="188" t="s">
        <v>243</v>
      </c>
      <c r="D40" s="297">
        <v>0</v>
      </c>
      <c r="E40" s="297">
        <v>2032000</v>
      </c>
    </row>
    <row r="41" spans="2:7">
      <c r="B41" s="41" t="s">
        <v>531</v>
      </c>
      <c r="C41" s="188" t="s">
        <v>243</v>
      </c>
      <c r="D41" s="297">
        <v>0</v>
      </c>
      <c r="E41" s="297">
        <v>59830</v>
      </c>
    </row>
    <row r="42" spans="2:7">
      <c r="B42" s="43" t="s">
        <v>57</v>
      </c>
      <c r="C42" s="43"/>
      <c r="D42" s="244">
        <f>+D11+D7</f>
        <v>327098413</v>
      </c>
      <c r="E42" s="244">
        <f>+E11+E7</f>
        <v>353935730</v>
      </c>
    </row>
    <row r="43" spans="2:7" s="42" customFormat="1">
      <c r="B43" s="50"/>
      <c r="C43" s="50"/>
      <c r="D43" s="51"/>
      <c r="E43" s="135"/>
    </row>
    <row r="44" spans="2:7" ht="24.75" customHeight="1">
      <c r="B44" s="50"/>
      <c r="C44" s="50"/>
      <c r="D44" s="51"/>
      <c r="E44" s="144">
        <f>+'1.sz.mell.'!D90</f>
        <v>353935730</v>
      </c>
    </row>
    <row r="45" spans="2:7" ht="11.25" customHeight="1">
      <c r="B45" s="50"/>
      <c r="C45" s="50"/>
      <c r="D45" s="51"/>
    </row>
    <row r="46" spans="2:7" s="42" customFormat="1">
      <c r="B46" s="50"/>
      <c r="C46" s="50"/>
      <c r="D46" s="50"/>
      <c r="E46" s="135">
        <f>+E44-E42</f>
        <v>0</v>
      </c>
    </row>
    <row r="47" spans="2:7" s="42" customFormat="1">
      <c r="B47" s="52"/>
      <c r="C47" s="52"/>
      <c r="D47" s="52"/>
    </row>
    <row r="48" spans="2:7">
      <c r="D48" s="52"/>
    </row>
    <row r="49" spans="2:5" s="42" customFormat="1">
      <c r="B49" s="52"/>
      <c r="C49" s="52"/>
      <c r="D49" s="52"/>
    </row>
    <row r="50" spans="2:5">
      <c r="D50" s="52"/>
    </row>
    <row r="51" spans="2:5">
      <c r="D51" s="52"/>
    </row>
    <row r="52" spans="2:5">
      <c r="D52" s="52"/>
    </row>
    <row r="53" spans="2:5">
      <c r="D53" s="52"/>
    </row>
    <row r="54" spans="2:5">
      <c r="D54" s="52"/>
    </row>
    <row r="55" spans="2:5">
      <c r="D55" s="53">
        <f>SUM(D44:D54)</f>
        <v>0</v>
      </c>
      <c r="E55" s="144">
        <f>+'4a.sz.mell.'!E61</f>
        <v>56643024</v>
      </c>
    </row>
    <row r="56" spans="2:5">
      <c r="D56" s="52"/>
    </row>
    <row r="57" spans="2:5">
      <c r="D57" s="52"/>
      <c r="E57" s="38">
        <f>+D55+D57</f>
        <v>0</v>
      </c>
    </row>
    <row r="58" spans="2:5">
      <c r="D58" s="52"/>
    </row>
    <row r="59" spans="2:5">
      <c r="D59" s="52"/>
    </row>
    <row r="64" spans="2:5" s="45" customFormat="1">
      <c r="B64" s="52"/>
      <c r="C64" s="52"/>
      <c r="D64" s="53"/>
    </row>
    <row r="65" spans="2:17" s="42" customFormat="1">
      <c r="B65" s="52"/>
      <c r="C65" s="52"/>
      <c r="D65" s="53"/>
    </row>
    <row r="66" spans="2:17" s="54" customFormat="1">
      <c r="B66" s="52"/>
      <c r="C66" s="52"/>
      <c r="D66" s="53"/>
      <c r="Q66" s="54">
        <f>+O64+M64+K64+I64+G64+E64</f>
        <v>0</v>
      </c>
    </row>
    <row r="70" spans="2:17">
      <c r="P70" s="144">
        <f>+Q64-'4.sz.mell.'!Y61</f>
        <v>-1250790533</v>
      </c>
    </row>
    <row r="78" spans="2:17">
      <c r="B78" s="50"/>
      <c r="C78" s="50"/>
      <c r="D78" s="55"/>
    </row>
    <row r="79" spans="2:17">
      <c r="D79" s="52"/>
    </row>
    <row r="80" spans="2:17">
      <c r="D80" s="52"/>
    </row>
    <row r="81" spans="2:4" s="42" customFormat="1">
      <c r="B81" s="50"/>
      <c r="C81" s="50"/>
      <c r="D81" s="50"/>
    </row>
    <row r="82" spans="2:4">
      <c r="D82" s="52"/>
    </row>
    <row r="83" spans="2:4">
      <c r="D83" s="52"/>
    </row>
    <row r="84" spans="2:4" s="42" customFormat="1">
      <c r="B84" s="50"/>
      <c r="C84" s="50"/>
      <c r="D84" s="52"/>
    </row>
    <row r="85" spans="2:4">
      <c r="D85" s="56"/>
    </row>
    <row r="86" spans="2:4">
      <c r="D86" s="56"/>
    </row>
    <row r="87" spans="2:4">
      <c r="D87" s="56"/>
    </row>
    <row r="88" spans="2:4">
      <c r="D88" s="56"/>
    </row>
    <row r="89" spans="2:4">
      <c r="D89" s="56"/>
    </row>
    <row r="90" spans="2:4">
      <c r="D90" s="56"/>
    </row>
    <row r="91" spans="2:4">
      <c r="D91" s="56"/>
    </row>
    <row r="92" spans="2:4">
      <c r="D92" s="56"/>
    </row>
    <row r="93" spans="2:4">
      <c r="B93" s="50"/>
      <c r="C93" s="50"/>
      <c r="D93" s="51"/>
    </row>
    <row r="94" spans="2:4">
      <c r="B94" s="50"/>
      <c r="C94" s="50"/>
    </row>
    <row r="95" spans="2:4">
      <c r="D95" s="51"/>
    </row>
    <row r="96" spans="2:4">
      <c r="B96" s="50"/>
      <c r="C96" s="50"/>
    </row>
    <row r="98" spans="2:4">
      <c r="D98" s="51"/>
    </row>
    <row r="99" spans="2:4">
      <c r="B99" s="50"/>
      <c r="C99" s="50"/>
      <c r="D99" s="51"/>
    </row>
    <row r="100" spans="2:4">
      <c r="B100" s="50"/>
      <c r="C100" s="50"/>
    </row>
    <row r="101" spans="2:4">
      <c r="D101" s="51"/>
    </row>
    <row r="102" spans="2:4">
      <c r="B102" s="50"/>
      <c r="C102" s="50"/>
      <c r="D102" s="56"/>
    </row>
    <row r="103" spans="2:4">
      <c r="B103" s="57"/>
      <c r="C103" s="57"/>
      <c r="D103" s="56"/>
    </row>
    <row r="104" spans="2:4">
      <c r="B104" s="57"/>
      <c r="C104" s="57"/>
      <c r="D104" s="56"/>
    </row>
    <row r="105" spans="2:4">
      <c r="B105" s="57"/>
      <c r="C105" s="57"/>
      <c r="D105" s="56"/>
    </row>
    <row r="106" spans="2:4">
      <c r="B106" s="57"/>
      <c r="C106" s="57"/>
      <c r="D106" s="56"/>
    </row>
    <row r="107" spans="2:4">
      <c r="B107" s="57"/>
      <c r="C107" s="57"/>
      <c r="D107" s="56"/>
    </row>
    <row r="108" spans="2:4">
      <c r="B108" s="57"/>
      <c r="C108" s="57"/>
      <c r="D108" s="56"/>
    </row>
    <row r="109" spans="2:4">
      <c r="B109" s="57"/>
      <c r="C109" s="57"/>
      <c r="D109" s="56"/>
    </row>
    <row r="110" spans="2:4">
      <c r="B110" s="57"/>
      <c r="C110" s="57"/>
      <c r="D110" s="56"/>
    </row>
    <row r="111" spans="2:4">
      <c r="B111" s="57"/>
      <c r="C111" s="57"/>
    </row>
    <row r="118" spans="2:4">
      <c r="D118" s="51"/>
    </row>
    <row r="119" spans="2:4">
      <c r="B119" s="50"/>
      <c r="C119" s="50"/>
    </row>
    <row r="120" spans="2:4">
      <c r="D120" s="51"/>
    </row>
    <row r="121" spans="2:4">
      <c r="B121" s="50"/>
      <c r="C121" s="50"/>
    </row>
    <row r="124" spans="2:4">
      <c r="D124" s="51"/>
    </row>
    <row r="125" spans="2:4">
      <c r="D125" s="52"/>
    </row>
    <row r="126" spans="2:4">
      <c r="D126" s="51"/>
    </row>
    <row r="127" spans="2:4">
      <c r="B127" s="50"/>
      <c r="C127" s="50"/>
      <c r="D127" s="56"/>
    </row>
    <row r="128" spans="2:4">
      <c r="B128" s="57"/>
      <c r="C128" s="57"/>
    </row>
    <row r="129" spans="2:4">
      <c r="D129" s="51"/>
    </row>
    <row r="130" spans="2:4">
      <c r="B130" s="50"/>
      <c r="C130" s="50"/>
    </row>
    <row r="131" spans="2:4">
      <c r="D131" s="51"/>
    </row>
    <row r="132" spans="2:4">
      <c r="B132" s="50"/>
      <c r="C132" s="50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35"/>
  <sheetViews>
    <sheetView view="pageBreakPreview" zoomScaleNormal="80" zoomScaleSheetLayoutView="100" workbookViewId="0">
      <selection activeCell="F20" sqref="F20"/>
    </sheetView>
  </sheetViews>
  <sheetFormatPr defaultRowHeight="15.75"/>
  <cols>
    <col min="1" max="1" width="47.140625" style="63" customWidth="1"/>
    <col min="2" max="2" width="15.140625" style="67" customWidth="1"/>
    <col min="3" max="3" width="21.28515625" style="67" customWidth="1"/>
    <col min="4" max="4" width="23.7109375" style="67" customWidth="1"/>
    <col min="5" max="5" width="14" style="67" customWidth="1"/>
    <col min="6" max="6" width="21.7109375" style="67" customWidth="1"/>
    <col min="7" max="7" width="18.28515625" style="67" customWidth="1"/>
    <col min="8" max="8" width="21.7109375" style="67" customWidth="1"/>
    <col min="9" max="9" width="19.7109375" style="67" customWidth="1"/>
    <col min="10" max="10" width="21.5703125" style="65" customWidth="1"/>
    <col min="11" max="11" width="26.140625" style="65" customWidth="1"/>
    <col min="12" max="12" width="17" style="65" customWidth="1"/>
    <col min="13" max="13" width="17.7109375" style="65" customWidth="1"/>
    <col min="14" max="14" width="18.85546875" style="66" customWidth="1"/>
    <col min="15" max="16384" width="9.140625" style="38"/>
  </cols>
  <sheetData>
    <row r="1" spans="1:17" ht="21" customHeight="1">
      <c r="A1" s="415" t="s">
        <v>544</v>
      </c>
      <c r="B1" s="415"/>
      <c r="C1" s="415"/>
      <c r="D1" s="415"/>
      <c r="E1" s="415"/>
      <c r="F1" s="415"/>
      <c r="G1" s="415"/>
      <c r="H1" s="415"/>
      <c r="I1" s="415"/>
      <c r="J1" s="170"/>
      <c r="K1" s="170"/>
      <c r="L1" s="170"/>
      <c r="M1" s="170"/>
      <c r="N1" s="170"/>
    </row>
    <row r="2" spans="1:17">
      <c r="B2" s="64"/>
      <c r="C2" s="64"/>
      <c r="D2" s="64"/>
      <c r="E2" s="64"/>
      <c r="F2" s="64"/>
      <c r="G2" s="64"/>
      <c r="H2" s="64"/>
      <c r="I2" s="64"/>
    </row>
    <row r="3" spans="1:17" ht="27.75" customHeight="1">
      <c r="A3" s="477" t="s">
        <v>62</v>
      </c>
      <c r="B3" s="477"/>
      <c r="C3" s="477"/>
      <c r="D3" s="477"/>
      <c r="E3" s="477"/>
      <c r="F3" s="477"/>
      <c r="G3" s="477"/>
      <c r="H3" s="477"/>
      <c r="I3" s="477"/>
      <c r="J3" s="248"/>
      <c r="K3" s="248"/>
      <c r="L3" s="248"/>
      <c r="M3" s="248"/>
      <c r="N3" s="248"/>
    </row>
    <row r="4" spans="1:17" ht="42.75" customHeight="1">
      <c r="A4" s="420" t="s">
        <v>64</v>
      </c>
      <c r="B4" s="420"/>
      <c r="C4" s="420"/>
      <c r="D4" s="420"/>
      <c r="E4" s="420"/>
      <c r="F4" s="420"/>
      <c r="G4" s="420"/>
      <c r="H4" s="420"/>
      <c r="I4" s="420"/>
      <c r="J4" s="200"/>
      <c r="K4" s="200"/>
      <c r="L4" s="200"/>
      <c r="M4" s="200"/>
      <c r="N4" s="200"/>
    </row>
    <row r="5" spans="1:17" ht="30" customHeight="1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</row>
    <row r="6" spans="1:17" ht="31.5" customHeight="1">
      <c r="A6" s="476" t="s">
        <v>249</v>
      </c>
      <c r="B6" s="475" t="s">
        <v>329</v>
      </c>
      <c r="C6" s="475" t="s">
        <v>324</v>
      </c>
      <c r="D6" s="472" t="s">
        <v>326</v>
      </c>
      <c r="E6" s="473"/>
      <c r="F6" s="473"/>
      <c r="G6" s="474"/>
      <c r="H6" s="475" t="s">
        <v>373</v>
      </c>
      <c r="I6" s="478" t="s">
        <v>374</v>
      </c>
      <c r="J6" s="472" t="s">
        <v>327</v>
      </c>
      <c r="K6" s="473"/>
      <c r="L6" s="474"/>
      <c r="M6" s="475" t="s">
        <v>325</v>
      </c>
      <c r="N6" s="475"/>
      <c r="O6" s="68"/>
      <c r="P6" s="69"/>
      <c r="Q6" s="66"/>
    </row>
    <row r="7" spans="1:17" ht="73.5" customHeight="1">
      <c r="A7" s="476"/>
      <c r="B7" s="475"/>
      <c r="C7" s="475"/>
      <c r="D7" s="250" t="s">
        <v>369</v>
      </c>
      <c r="E7" s="250" t="s">
        <v>370</v>
      </c>
      <c r="F7" s="250" t="s">
        <v>371</v>
      </c>
      <c r="G7" s="250" t="s">
        <v>372</v>
      </c>
      <c r="H7" s="475"/>
      <c r="I7" s="479"/>
      <c r="J7" s="250" t="s">
        <v>369</v>
      </c>
      <c r="K7" s="250" t="s">
        <v>375</v>
      </c>
      <c r="L7" s="250" t="s">
        <v>370</v>
      </c>
      <c r="M7" s="250" t="s">
        <v>369</v>
      </c>
      <c r="N7" s="250" t="s">
        <v>375</v>
      </c>
      <c r="O7" s="58"/>
      <c r="P7" s="58"/>
      <c r="Q7" s="71"/>
    </row>
    <row r="8" spans="1:17" ht="50.25" customHeight="1">
      <c r="A8" s="251" t="s">
        <v>350</v>
      </c>
      <c r="B8" s="253" t="s">
        <v>243</v>
      </c>
      <c r="C8" s="255">
        <v>155500000</v>
      </c>
      <c r="D8" s="255">
        <v>153625000</v>
      </c>
      <c r="E8" s="257">
        <v>1</v>
      </c>
      <c r="F8" s="255">
        <f>+'6.sz.mell.'!D9</f>
        <v>155500000</v>
      </c>
      <c r="G8" s="257">
        <v>1</v>
      </c>
      <c r="H8" s="256">
        <f>+D8</f>
        <v>153625000</v>
      </c>
      <c r="I8" s="256">
        <v>154837440</v>
      </c>
      <c r="J8" s="256">
        <f>+D8</f>
        <v>153625000</v>
      </c>
      <c r="K8" s="256">
        <f>+F8</f>
        <v>155500000</v>
      </c>
      <c r="L8" s="258">
        <v>1</v>
      </c>
      <c r="M8" s="256">
        <v>0</v>
      </c>
      <c r="N8" s="256">
        <f>+C8-F8</f>
        <v>0</v>
      </c>
      <c r="O8" s="58"/>
      <c r="P8" s="58"/>
      <c r="Q8" s="71"/>
    </row>
    <row r="9" spans="1:17" ht="83.25" customHeight="1">
      <c r="A9" s="251" t="s">
        <v>330</v>
      </c>
      <c r="B9" s="253" t="s">
        <v>243</v>
      </c>
      <c r="C9" s="255">
        <v>89180205</v>
      </c>
      <c r="D9" s="256">
        <v>44590100</v>
      </c>
      <c r="E9" s="257">
        <f>+D9/C9</f>
        <v>0.49999997196687312</v>
      </c>
      <c r="F9" s="255">
        <f>+'6.sz.mell.'!D12</f>
        <v>49599394</v>
      </c>
      <c r="G9" s="257">
        <f>+F9/C9</f>
        <v>0.55617044163556251</v>
      </c>
      <c r="H9" s="256">
        <v>44590100</v>
      </c>
      <c r="I9" s="256">
        <v>43862144</v>
      </c>
      <c r="J9" s="256">
        <f>+C9-D9</f>
        <v>44590105</v>
      </c>
      <c r="K9" s="256">
        <f>+F9</f>
        <v>49599394</v>
      </c>
      <c r="L9" s="258">
        <f>+K9/C9</f>
        <v>0.55617044163556251</v>
      </c>
      <c r="M9" s="256">
        <v>44590105</v>
      </c>
      <c r="N9" s="256">
        <f>+C9-F9</f>
        <v>39580811</v>
      </c>
      <c r="O9" s="68"/>
      <c r="P9" s="68"/>
      <c r="Q9" s="66"/>
    </row>
    <row r="10" spans="1:17" s="42" customFormat="1" ht="82.5" customHeight="1">
      <c r="A10" s="252" t="s">
        <v>328</v>
      </c>
      <c r="B10" s="254" t="s">
        <v>243</v>
      </c>
      <c r="C10" s="259">
        <v>88739589</v>
      </c>
      <c r="D10" s="260">
        <v>48310000</v>
      </c>
      <c r="E10" s="258">
        <f>+D10/C10</f>
        <v>0.54440189034456765</v>
      </c>
      <c r="F10" s="255">
        <f>+'6.sz.mell.'!D13</f>
        <v>48307343</v>
      </c>
      <c r="G10" s="258">
        <f>+F10/C10</f>
        <v>0.54437194880404505</v>
      </c>
      <c r="H10" s="260">
        <v>48310000</v>
      </c>
      <c r="I10" s="260">
        <v>41530198</v>
      </c>
      <c r="J10" s="260">
        <f>+C10-D10</f>
        <v>40429589</v>
      </c>
      <c r="K10" s="260">
        <f>+F10</f>
        <v>48307343</v>
      </c>
      <c r="L10" s="258">
        <f>+K10/C10</f>
        <v>0.54437194880404505</v>
      </c>
      <c r="M10" s="260">
        <f>+J10</f>
        <v>40429589</v>
      </c>
      <c r="N10" s="260">
        <f>+C10-F10</f>
        <v>40432246</v>
      </c>
      <c r="O10" s="169"/>
      <c r="P10" s="169"/>
      <c r="Q10" s="70"/>
    </row>
    <row r="14" spans="1:17">
      <c r="I14" s="67">
        <v>735603</v>
      </c>
    </row>
    <row r="35" spans="7:7">
      <c r="G35" s="67">
        <v>285158666</v>
      </c>
    </row>
  </sheetData>
  <mergeCells count="11">
    <mergeCell ref="J6:L6"/>
    <mergeCell ref="M6:N6"/>
    <mergeCell ref="A1:I1"/>
    <mergeCell ref="C6:C7"/>
    <mergeCell ref="B6:B7"/>
    <mergeCell ref="A6:A7"/>
    <mergeCell ref="H6:H7"/>
    <mergeCell ref="A4:I4"/>
    <mergeCell ref="A3:I3"/>
    <mergeCell ref="D6:G6"/>
    <mergeCell ref="I6:I7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8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15</vt:i4>
      </vt:variant>
    </vt:vector>
  </HeadingPairs>
  <TitlesOfParts>
    <vt:vector size="29" baseType="lpstr">
      <vt:lpstr>1.sz.mell.</vt:lpstr>
      <vt:lpstr>2.sz.mell.</vt:lpstr>
      <vt:lpstr>3.sz.mell.</vt:lpstr>
      <vt:lpstr>4.sz.mell.</vt:lpstr>
      <vt:lpstr>4a.sz.mell.</vt:lpstr>
      <vt:lpstr>5.sz.mell.</vt:lpstr>
      <vt:lpstr>6.sz.mell.</vt:lpstr>
      <vt:lpstr>7.sz.mell.</vt:lpstr>
      <vt:lpstr>8.sz.mell.</vt:lpstr>
      <vt:lpstr>9.sz.mell.</vt:lpstr>
      <vt:lpstr>10. sz.mell.</vt:lpstr>
      <vt:lpstr>11.sz.mell.</vt:lpstr>
      <vt:lpstr>12.sz.m.</vt:lpstr>
      <vt:lpstr>13.sz.m.</vt:lpstr>
      <vt:lpstr>'1.sz.mell.'!Nyomtatási_cím</vt:lpstr>
      <vt:lpstr>'2.sz.mell.'!Nyomtatási_cím</vt:lpstr>
      <vt:lpstr>'1.sz.mell.'!Nyomtatási_terület</vt:lpstr>
      <vt:lpstr>'10. sz.mell.'!Nyomtatási_terület</vt:lpstr>
      <vt:lpstr>'11.sz.mell.'!Nyomtatási_terület</vt:lpstr>
      <vt:lpstr>'12.sz.m.'!Nyomtatási_terület</vt:lpstr>
      <vt:lpstr>'13.sz.m.'!Nyomtatási_terület</vt:lpstr>
      <vt:lpstr>'2.sz.mell.'!Nyomtatási_terület</vt:lpstr>
      <vt:lpstr>'3.sz.mell.'!Nyomtatási_terület</vt:lpstr>
      <vt:lpstr>'4.sz.mell.'!Nyomtatási_terület</vt:lpstr>
      <vt:lpstr>'4a.sz.mell.'!Nyomtatási_terület</vt:lpstr>
      <vt:lpstr>'5.sz.mell.'!Nyomtatási_terület</vt:lpstr>
      <vt:lpstr>'6.sz.mell.'!Nyomtatási_terület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2019-04-17T06:21:23Z</cp:lastPrinted>
  <dcterms:created xsi:type="dcterms:W3CDTF">2015-02-02T07:42:02Z</dcterms:created>
  <dcterms:modified xsi:type="dcterms:W3CDTF">2019-04-29T09:47:48Z</dcterms:modified>
</cp:coreProperties>
</file>