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8" firstSheet="3" activeTab="2"/>
  </bookViews>
  <sheets>
    <sheet name="1.1.sz.mell." sheetId="1" r:id="rId1"/>
    <sheet name="1.2.sz.mell. " sheetId="2" r:id="rId2"/>
    <sheet name="1.3 mell" sheetId="3" r:id="rId3"/>
    <sheet name="2.1.sz.mell  " sheetId="4" r:id="rId4"/>
    <sheet name="2.2 mell." sheetId="5" r:id="rId5"/>
    <sheet name="3.mell." sheetId="6" r:id="rId6"/>
    <sheet name="4.mell." sheetId="7" r:id="rId7"/>
    <sheet name="5.mell." sheetId="8" r:id="rId8"/>
    <sheet name="6.mell.(2)" sheetId="9" r:id="rId9"/>
    <sheet name="6.mell." sheetId="10" r:id="rId10"/>
    <sheet name="7. sz. mell" sheetId="11" r:id="rId11"/>
    <sheet name="7.1. sz. mell" sheetId="12" r:id="rId12"/>
    <sheet name="8.mell." sheetId="13" r:id="rId13"/>
    <sheet name="9. sz. mell." sheetId="14" r:id="rId14"/>
    <sheet name="10. sz. mell." sheetId="15" r:id="rId15"/>
    <sheet name="10.1. sz. mell." sheetId="16" r:id="rId16"/>
    <sheet name="10.2. sz. mell." sheetId="17" r:id="rId17"/>
    <sheet name="11.mell." sheetId="18" r:id="rId18"/>
  </sheets>
  <definedNames>
    <definedName name="Excel_BuiltIn_Print_Area_1">'1.1.sz.mell.'!$A$1:$C$174</definedName>
    <definedName name="Excel_BuiltIn_Print_Area_2">#REF!</definedName>
    <definedName name="Excel_BuiltIn_Print_Area_2_1">'1.2.sz.mell. '!$A$1:$C$129</definedName>
    <definedName name="Excel_BuiltIn_Print_Area_3">#REF!</definedName>
    <definedName name="Excel_BuiltIn_Print_Area_3_1">#REF!</definedName>
    <definedName name="Excel_BuiltIn_Print_Area_4">'1.1.sz.mell.'!$A$1:$H$174</definedName>
    <definedName name="Excel_BuiltIn_Print_Area_4_1">#REF!</definedName>
    <definedName name="Excel_BuiltIn_Print_Area_4_1_1">#REF!</definedName>
    <definedName name="Excel_BuiltIn_Print_Titles_2">#REF!</definedName>
    <definedName name="Excel_BuiltIn_Print_Titles_2_1">#REF!</definedName>
    <definedName name="Excel_BuiltIn_Print_Titles_2_11">#REF!</definedName>
    <definedName name="Excel_BuiltIn_Print_Titles_3">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6">#REF!</definedName>
    <definedName name="Excel_BuiltIn_Print_Titles_6_1">#REF!</definedName>
    <definedName name="_xlnm.Print_Titles" localSheetId="10">'7. sz. mell'!$1:$6</definedName>
    <definedName name="_xlnm.Print_Titles" localSheetId="11">'7.1. sz. mell'!$1:$6</definedName>
    <definedName name="_xlnm.Print_Titles" localSheetId="13">'9. sz. mell.'!$1:$6</definedName>
    <definedName name="_xlnm.Print_Area" localSheetId="0">'1.1.sz.mell.'!$A$1:$I$174</definedName>
    <definedName name="_xlnm.Print_Area" localSheetId="1">'1.2.sz.mell. '!$A$1:$H$129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D75" authorId="0">
      <text>
        <r>
          <rPr>
            <sz val="10"/>
            <rFont val="Times New Roman CE"/>
            <family val="1"/>
          </rPr>
          <t>Bérkompenzáció</t>
        </r>
      </text>
    </comment>
    <comment ref="D77" authorId="0">
      <text>
        <r>
          <rPr>
            <sz val="10"/>
            <rFont val="Times New Roman CE"/>
            <family val="1"/>
          </rPr>
          <t>Szociális tűzifa beszerzése</t>
        </r>
      </text>
    </comment>
    <comment ref="D99" authorId="0">
      <text>
        <r>
          <rPr>
            <sz val="10"/>
            <rFont val="Times New Roman CE"/>
            <family val="1"/>
          </rPr>
          <t xml:space="preserve">Szociális tűzifa pénzmaradvány
</t>
        </r>
      </text>
    </comment>
  </commentList>
</comments>
</file>

<file path=xl/sharedStrings.xml><?xml version="1.0" encoding="utf-8"?>
<sst xmlns="http://schemas.openxmlformats.org/spreadsheetml/2006/main" count="1955" uniqueCount="571">
  <si>
    <t>B E V É T E L E K</t>
  </si>
  <si>
    <t>1. sz. táblázat</t>
  </si>
  <si>
    <t>Ezer forintban</t>
  </si>
  <si>
    <t>Sor-
szám</t>
  </si>
  <si>
    <t>Bevételi jogcím</t>
  </si>
  <si>
    <t>2013. évi előirányzat</t>
  </si>
  <si>
    <t xml:space="preserve"> I. sz. módosítás 2013. június 30.</t>
  </si>
  <si>
    <t>Módosított előirányzat 2013. június 30.</t>
  </si>
  <si>
    <t>II. sz. módosítás 2013. szeptember 30.</t>
  </si>
  <si>
    <t>Módosított előirányzat 2013. szeptember 30.</t>
  </si>
  <si>
    <t>2013. évi teljesítés 2013.szeptember 30.</t>
  </si>
  <si>
    <t>1.</t>
  </si>
  <si>
    <t>I. Önkormányzat működési bevételei (2+3+4)</t>
  </si>
  <si>
    <t>2.</t>
  </si>
  <si>
    <t>I/1. Közhatalmi bevételek (2.1. + …+ 2.4.)</t>
  </si>
  <si>
    <t>2.1.</t>
  </si>
  <si>
    <t xml:space="preserve"> Helyi adók</t>
  </si>
  <si>
    <t xml:space="preserve">    Iparűzési adó</t>
  </si>
  <si>
    <t>Igazgatási szolg. Díj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</si>
  <si>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</si>
  <si>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</si>
  <si>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</si>
  <si>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</si>
  <si>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</si>
  <si>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</si>
  <si>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</si>
  <si>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</si>
  <si>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</si>
  <si>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</si>
  <si>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</si>
  <si>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</si>
  <si>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</si>
  <si>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</si>
  <si>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</si>
  <si>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</si>
  <si>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</si>
  <si>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</si>
  <si>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</si>
  <si>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</si>
  <si>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</si>
  <si>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Továbbszámlázott szolgátlatás</t>
  </si>
  <si>
    <t>3.8.</t>
  </si>
  <si>
    <t>Működési célú hozam- és kamatbevételek</t>
  </si>
  <si>
    <t>3.9.</t>
  </si>
  <si>
    <t>Egyéb működési célú bevétel</t>
  </si>
  <si>
    <t xml:space="preserve">4. </t>
  </si>
  <si>
    <t>II. Átengedett központi adók Gépjármű adó</t>
  </si>
  <si>
    <t>5.</t>
  </si>
  <si>
    <r>
      <t xml:space="preserve">III. Támogatások, kiegészítések </t>
    </r>
    <r>
      <rPr>
        <sz val="10"/>
        <rFont val="Times New Roman CE"/>
        <family val="1"/>
      </rPr>
      <t>(5.1+…+5.8.)</t>
    </r>
  </si>
  <si>
    <t>5.1.</t>
  </si>
  <si>
    <t xml:space="preserve">Működési támogatás </t>
  </si>
  <si>
    <t>5.2.</t>
  </si>
  <si>
    <t>Ált. működéshez és ágazati feladathoz kapcsolódó támogatás</t>
  </si>
  <si>
    <t>önkormányzati hivatal működtetése</t>
  </si>
  <si>
    <t>zöldterület gazdálkodás</t>
  </si>
  <si>
    <t>közvilágítás</t>
  </si>
  <si>
    <t>köztemető</t>
  </si>
  <si>
    <t>közutak fenntartása</t>
  </si>
  <si>
    <t>köznevelési és gyermekétkeztetési feladatok támogatása</t>
  </si>
  <si>
    <t>szociális és gyermekjóléti feladatok támogatása</t>
  </si>
  <si>
    <t>FHT és lakásfenntartási támogatás visszaigénylése</t>
  </si>
  <si>
    <t>Könyvtárak támogatása</t>
  </si>
  <si>
    <t>5.3.</t>
  </si>
  <si>
    <t>Központosított előirányzatok</t>
  </si>
  <si>
    <t>Közművelődési érdekeltségnövelő pályázat (felhalmozási)</t>
  </si>
  <si>
    <t xml:space="preserve">                                  Nyári gyermekétkeztetés támogatása (működési)</t>
  </si>
  <si>
    <t xml:space="preserve">                                  Szeretlek Magyarország támogatás</t>
  </si>
  <si>
    <t>5.4.</t>
  </si>
  <si>
    <t>Kiegészítő támogatás</t>
  </si>
  <si>
    <t>5.5.</t>
  </si>
  <si>
    <t>Szerkezetátalakítási tartalékból gyermekétkeztetés támogatása</t>
  </si>
  <si>
    <t>5.6.</t>
  </si>
  <si>
    <t>Bérkompenzáció támogatása</t>
  </si>
  <si>
    <t>5.7.</t>
  </si>
  <si>
    <t>Vis maior támogatás</t>
  </si>
  <si>
    <t>5.8.</t>
  </si>
  <si>
    <t>Egyéb támogatás</t>
  </si>
  <si>
    <t>6.</t>
  </si>
  <si>
    <r>
      <t>IV</t>
    </r>
    <r>
      <rPr>
        <b/>
        <sz val="10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</si>
  <si>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</si>
  <si>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</si>
  <si>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</si>
  <si>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</si>
  <si>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</si>
  <si>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önkormányzatok támogatása </t>
  </si>
  <si>
    <t>6.1.3.</t>
  </si>
  <si>
    <t xml:space="preserve">   Társulástól átvett pénzeszköz</t>
  </si>
  <si>
    <t>6.1.4.</t>
  </si>
  <si>
    <t xml:space="preserve">   EU támogatás pályázatokhoz</t>
  </si>
  <si>
    <t>6.1.5.</t>
  </si>
  <si>
    <t xml:space="preserve">   Egyéb működési támogatás államháztartáson belülről (közhasznú foglalkoztatás támogatása működési pe.)</t>
  </si>
  <si>
    <t>6.2.</t>
  </si>
  <si>
    <t>Felhalmozási támogatás államháztartáson belülről (6.2.1.+…+ 6.2.5.)</t>
  </si>
  <si>
    <t>6.2.1.</t>
  </si>
  <si>
    <t>6.2.2.</t>
  </si>
  <si>
    <t xml:space="preserve">   Helyi, nemzetiségi önkormányzattól átvett pénzeszköz</t>
  </si>
  <si>
    <t>6.2.3.</t>
  </si>
  <si>
    <t>6.2.4.</t>
  </si>
  <si>
    <t xml:space="preserve">   EU támogatás</t>
  </si>
  <si>
    <t>6.2.5.</t>
  </si>
  <si>
    <t xml:space="preserve">   Egyéb felhalmozási támogatás államháztartáson belülről (közhasznú foglalkoztatás támogatása)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</si>
  <si>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</si>
  <si>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</si>
  <si>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</si>
  <si>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</si>
  <si>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</si>
  <si>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</si>
  <si>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</si>
  <si>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</si>
  <si>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</si>
  <si>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</si>
  <si>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</si>
  <si>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</si>
  <si>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ÁFA visszaigénylés felhalmozásból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</si>
  <si>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</si>
  <si>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</si>
  <si>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</si>
  <si>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</si>
  <si>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</si>
  <si>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</si>
  <si>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</si>
  <si>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</si>
  <si>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</si>
  <si>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</si>
  <si>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</si>
  <si>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</si>
  <si>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</si>
  <si>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</si>
  <si>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</si>
  <si>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</si>
  <si>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</si>
  <si>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</si>
  <si>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</si>
  <si>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</si>
  <si>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</si>
  <si>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</si>
  <si>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</si>
  <si>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</si>
  <si>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</si>
  <si>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</si>
  <si>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</si>
  <si>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</si>
  <si>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</si>
  <si>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</si>
  <si>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</si>
  <si>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</si>
  <si>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</si>
  <si>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</si>
  <si>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</si>
  <si>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</si>
  <si>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</si>
  <si>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</si>
  <si>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</si>
  <si>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</si>
  <si>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</si>
  <si>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</si>
  <si>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t>2013. évi teljesítés  szeptember 30.</t>
  </si>
  <si>
    <r>
      <t xml:space="preserve">I. Működési költségvetés kiadásai </t>
    </r>
    <r>
      <rPr>
        <sz val="10"/>
        <rFont val="Times New Roman CE"/>
        <family val="1"/>
      </rPr>
      <t>(1.1+…+1.5.)</t>
    </r>
  </si>
  <si>
    <t>1.1.</t>
  </si>
  <si>
    <t>Személyi  juttatások</t>
  </si>
  <si>
    <t xml:space="preserve">                                  Bérkompenzáció</t>
  </si>
  <si>
    <t xml:space="preserve">                                  Hosszabb távú közfoglalkoztatás bértámogatása</t>
  </si>
  <si>
    <t>1.2.</t>
  </si>
  <si>
    <t>Munkaadókat terhelő járulékok és szociális hozzájárulási adó</t>
  </si>
  <si>
    <t>1.3.</t>
  </si>
  <si>
    <t>Dologi  kiadások</t>
  </si>
  <si>
    <t xml:space="preserve">                                  Óvodai, iskolai étkeztetés támogatása</t>
  </si>
  <si>
    <t xml:space="preserve">                                  Szociális tűzifa beszerzése (működési)</t>
  </si>
  <si>
    <t>1.4.</t>
  </si>
  <si>
    <t>Ellátottak pénzbeli juttatásai</t>
  </si>
  <si>
    <t xml:space="preserve">                                  FHT és lakásfenntartási támogatás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</si>
  <si>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</si>
  <si>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</si>
  <si>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</si>
  <si>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</si>
  <si>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</si>
  <si>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</si>
  <si>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</si>
  <si>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</si>
  <si>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</si>
  <si>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</si>
  <si>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</si>
  <si>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</si>
  <si>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</si>
  <si>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</si>
  <si>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</si>
  <si>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</si>
  <si>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t xml:space="preserve">II. Felhalmozási költségvetés kiadásai </t>
    </r>
    <r>
      <rPr>
        <sz val="10"/>
        <rFont val="Times New Roman CE"/>
        <family val="1"/>
      </rPr>
      <t>(2.1+…+2.3)</t>
    </r>
  </si>
  <si>
    <t>Beruházások</t>
  </si>
  <si>
    <t xml:space="preserve">                      Közművelődési érdekeltségnövelő pályázat (felhalmozási)</t>
  </si>
  <si>
    <t xml:space="preserve">                      Ügyviteli eszközök beszerzése</t>
  </si>
  <si>
    <t xml:space="preserve">                      Gépkocsi beszerzése 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</si>
  <si>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</si>
  <si>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</si>
  <si>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</si>
  <si>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</si>
  <si>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</si>
  <si>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</si>
  <si>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</si>
  <si>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</si>
  <si>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</si>
  <si>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</si>
  <si>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</si>
  <si>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</si>
  <si>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</si>
  <si>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</si>
  <si>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</si>
  <si>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</si>
  <si>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</si>
  <si>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 xml:space="preserve">                                  ÓKTK támogatás</t>
  </si>
  <si>
    <t>Céltartalék</t>
  </si>
  <si>
    <t xml:space="preserve">                                  Pénzmaradvány    </t>
  </si>
  <si>
    <t xml:space="preserve">                                  Gépkocsi beszerzése</t>
  </si>
  <si>
    <t>4.</t>
  </si>
  <si>
    <t>IV. Kölcsön nyújtása</t>
  </si>
  <si>
    <t>Intézményi finanszírozás átadása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</si>
  <si>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</si>
  <si>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</si>
  <si>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</si>
  <si>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</si>
  <si>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</si>
  <si>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</si>
  <si>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</si>
  <si>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</si>
  <si>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</si>
  <si>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</si>
  <si>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</si>
  <si>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</si>
  <si>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r>
      <t xml:space="preserve">Felhalmozási célú finanszírozási </t>
    </r>
    <r>
      <rPr>
        <i/>
        <sz val="10"/>
        <color indexed="10"/>
        <rFont val="Times New Roman"/>
        <family val="1"/>
      </rPr>
      <t>kiadások</t>
    </r>
    <r>
      <rPr>
        <i/>
        <sz val="10"/>
        <rFont val="Times New Roman"/>
        <family val="1"/>
      </rPr>
      <t xml:space="preserve"> (6.2.1.+...+6.2.8.)</t>
    </r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</si>
  <si>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</si>
  <si>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</si>
  <si>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</si>
  <si>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</si>
  <si>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</si>
  <si>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</si>
  <si>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</si>
  <si>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</si>
  <si>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</si>
  <si>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</si>
  <si>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</si>
  <si>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</si>
  <si>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</si>
  <si>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</si>
  <si>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 xml:space="preserve">KÜLSŐ FORRÁS BEVONÁSÁVAL – HITEL, KÖLCSÖN -  FINANSZÍROZHATÓ HIÁNY ÖSSZEGE </t>
  </si>
  <si>
    <t>4. sz. táblázat</t>
  </si>
  <si>
    <r>
      <t xml:space="preserve">2013. évi külső forrásból fedezhető működési hiány  </t>
    </r>
    <r>
      <rPr>
        <sz val="10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</si>
  <si>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10"/>
        <rFont val="Times New Roman"/>
        <family val="1"/>
      </rPr>
      <t>(2.2. melléklet 3. oszlop 30. sor)</t>
    </r>
  </si>
  <si>
    <t>2013. évi külső forrásból fedezhető összes hiány (1+2)</t>
  </si>
  <si>
    <t>FINANSZÍROZÁSI BEVÉTELEK ÉS KIADÁSOK EGYENLEGE</t>
  </si>
  <si>
    <t>5. sz. táblázat</t>
  </si>
  <si>
    <t xml:space="preserve"> Finanszírozási műveletek egyenlege (1.1-1.2.) +/-</t>
  </si>
  <si>
    <t>Finanszírozási bevételek (1. melléklet 1. sz. táblázat 11. sor)</t>
  </si>
  <si>
    <t>1.1.1.</t>
  </si>
  <si>
    <t>1.1-ből: Működési célú finanszírozási bevételek (2.1. melléklet 2. sz. oszlop 22. sor)</t>
  </si>
  <si>
    <t>1.1.2.</t>
  </si>
  <si>
    <t xml:space="preserve">             Felhalmozási célú finanszírozási bevételek (2.2. melléklet 2. sz. oszlop 25. sor)</t>
  </si>
  <si>
    <t>Finanszírozási kiadások (1. melléklet 2. sz. táblázat 6. sor)</t>
  </si>
  <si>
    <t>1.2.1.</t>
  </si>
  <si>
    <t>1.2-ből: Működési célú finanszírozási kiadások (2.1. melléklet 4. sz. oszlop 22. sor)</t>
  </si>
  <si>
    <t>1.2.2.</t>
  </si>
  <si>
    <t xml:space="preserve">              Felhalmozási célú finanszírozási kiadások (2.2 .melléklet 4. sz. oszlop 25. sor)</t>
  </si>
  <si>
    <t>II. sz. módosítás 2013. 09.30.</t>
  </si>
  <si>
    <t>Módosított előirányzat 2013.szeptember  30.</t>
  </si>
  <si>
    <t>Helyi adók</t>
  </si>
  <si>
    <t>Igazg.szolg.díj</t>
  </si>
  <si>
    <t>II. Átengedett központi adók</t>
  </si>
  <si>
    <r>
      <t xml:space="preserve">III. Támogatások, kiegészítések </t>
    </r>
    <r>
      <rPr>
        <sz val="8"/>
        <rFont val="Times New Roman CE"/>
        <family val="1"/>
      </rPr>
      <t>(5.1+…+5.8.)</t>
    </r>
  </si>
  <si>
    <t>Szerkezetátalakítási tartalékból gyermekétkeztetési támogatás</t>
  </si>
  <si>
    <t>Bérkompenzáció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</si>
  <si>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</si>
  <si>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 xml:space="preserve">   Egyéb működési támogatás államháztartáson belülről</t>
  </si>
  <si>
    <t xml:space="preserve">   Egyéb felhalmozási támogatás államháztartáson belülről</t>
  </si>
  <si>
    <t>ÁFA visszaigénylés</t>
  </si>
  <si>
    <t>Hiány belső finanszírozás bevételei (11.1.1.+….+11.1.5.)</t>
  </si>
  <si>
    <t>Hiány külső finanszírozásának bevételei (11.2.1.+….+11.2.5.)</t>
  </si>
  <si>
    <t>KÖLTSÉGVETÉSI ÉS FINANSZÍROZÁSI BEVÉTELEK ÖSSZESEN: (10+11)</t>
  </si>
  <si>
    <t>BEVÉTELEK ÖSSZESEN: (12+13)</t>
  </si>
  <si>
    <r>
      <t xml:space="preserve">I. Működési költségvetés kiadásai </t>
    </r>
    <r>
      <rPr>
        <sz val="8"/>
        <rFont val="Times New Roman CE"/>
        <family val="1"/>
      </rPr>
      <t>(1.1+…+1.5.)</t>
    </r>
  </si>
  <si>
    <r>
      <t xml:space="preserve">II. Felhalmozási költségvetés kiadásai </t>
    </r>
    <r>
      <rPr>
        <sz val="8"/>
        <rFont val="Times New Roman CE"/>
        <family val="1"/>
      </rPr>
      <t>(2.1+…+2.3)</t>
    </r>
  </si>
  <si>
    <t xml:space="preserve">               - Felhalmozási célú pénzeszköz átadás államháztartáson kívülre Martinsalakos ház támogatás</t>
  </si>
  <si>
    <t xml:space="preserve">Intézményi finanszírozás </t>
  </si>
  <si>
    <t>Működési célú finanszírozási kiadások 6.1.1.+….+6.1.7.)</t>
  </si>
  <si>
    <t>Felhalmozási célú finanszírozási bevételek (6.2.1.+…..6.2.8.)</t>
  </si>
  <si>
    <t>I. Működési célú bevételek és kiadások mérlege
(Önkormányzati szinten)</t>
  </si>
  <si>
    <t xml:space="preserve">2.1. melléklet a …................önkormányzati rendelethez     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</si>
  <si>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</si>
  <si>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</si>
  <si>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</si>
  <si>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</si>
  <si>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</si>
  <si>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</si>
  <si>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</si>
  <si>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</si>
  <si>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</si>
  <si>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</si>
  <si>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</si>
  <si>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</si>
  <si>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</si>
  <si>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 xml:space="preserve">Kiegészítő támogatás </t>
  </si>
  <si>
    <t>Kölcsön nyújtása</t>
  </si>
  <si>
    <t>Kölcsön visszatérülés  (működési célú)</t>
  </si>
  <si>
    <t>Nádasd-völgyi Háziorvosi Ügyeleti Önkormányzati Társ.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</si>
  <si>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</si>
  <si>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</si>
  <si>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</si>
  <si>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</si>
  <si>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Értékpapír vásárlása, visszavásárlása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</si>
  <si>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</si>
  <si>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</si>
  <si>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</si>
  <si>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</si>
  <si>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</si>
  <si>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</si>
  <si>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</si>
  <si>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</si>
  <si>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</si>
  <si>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</si>
  <si>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</si>
  <si>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</si>
  <si>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</si>
  <si>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</si>
  <si>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</si>
  <si>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</si>
  <si>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</si>
  <si>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</si>
  <si>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</si>
  <si>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</si>
  <si>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</si>
  <si>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</si>
  <si>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</si>
  <si>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</si>
  <si>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</si>
  <si>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</si>
  <si>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</si>
  <si>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</si>
  <si>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</si>
  <si>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</si>
  <si>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</si>
  <si>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</si>
  <si>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</si>
  <si>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</si>
  <si>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</si>
  <si>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megnevezése</t>
  </si>
  <si>
    <t>Önkormányzat</t>
  </si>
  <si>
    <t>01</t>
  </si>
  <si>
    <t>Feladat megnevezése</t>
  </si>
  <si>
    <t>Önkormányzat összesen</t>
  </si>
  <si>
    <t>--------</t>
  </si>
  <si>
    <t>Ezer forintban !</t>
  </si>
  <si>
    <t>Száma</t>
  </si>
  <si>
    <t>Előirányzat-csoport, kiemelt előirányzat megnevezése</t>
  </si>
  <si>
    <t>I. Önkormányzatok működési bevételei</t>
  </si>
  <si>
    <t>I/1. Közhatalmi bevételek (2.1.+…+2.4.)</t>
  </si>
  <si>
    <t>III. Támogatások, kiegészítések (5.1+…+5.7.)</t>
  </si>
  <si>
    <t>Ált. működéshez és ágazati feladathoz kapcsolódó támogatások</t>
  </si>
  <si>
    <t>Fenntartott, illetve támogatott előadó-művészeti szervezetek támogatása</t>
  </si>
  <si>
    <t>Egyéb támogatás, kiegészítés</t>
  </si>
  <si>
    <t>IV. Átvett pénzeszközök államháztartáson belülről (6.1.+…6.2.)</t>
  </si>
  <si>
    <t>Kiegészzítő támogatás hiány fedezetére</t>
  </si>
  <si>
    <t>Működési célú pénzeszköz átvétel államháztartáson kívülről</t>
  </si>
  <si>
    <t>Felhalmozási célú pénzeszköz átvétel államháztartáson kívülről</t>
  </si>
  <si>
    <t>VI. Felhalmozási célú bevételek (8.1+8.2.+8.3.)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</si>
  <si>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</si>
  <si>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>Működési célú finanszírozási bevételek</t>
  </si>
  <si>
    <t xml:space="preserve">  Felhalmozási célú finanszírozási bevételek</t>
  </si>
  <si>
    <t>BEVÉTELEK ÖSSZESEN: (10+11)</t>
  </si>
  <si>
    <t>I. Működési költségvetés kiadásai (1.1+…+1.5.)</t>
  </si>
  <si>
    <t xml:space="preserve"> - Szociális, rászorultság jellegű ellátások</t>
  </si>
  <si>
    <t xml:space="preserve">     -  Működési célú pénzeszköz átadás államháztartáson belülre</t>
  </si>
  <si>
    <t xml:space="preserve">     - Működési célú pénzeszköz átadás államháztartáson kívülre</t>
  </si>
  <si>
    <t xml:space="preserve">     - Működési támogatás átadás</t>
  </si>
  <si>
    <t xml:space="preserve">     - Garancia és kezességvállalásból származó kifizetés</t>
  </si>
  <si>
    <t xml:space="preserve">     - Kamatkiadások</t>
  </si>
  <si>
    <t>1.13.</t>
  </si>
  <si>
    <t xml:space="preserve">     - Pénzforgalom nélküli kiadások</t>
  </si>
  <si>
    <t>II. Felhalmozási költségvetés kiadásai (2.1+…+2.7)</t>
  </si>
  <si>
    <t xml:space="preserve">Beruházások </t>
  </si>
  <si>
    <t xml:space="preserve"> Egyéb felhalmozási kiadások</t>
  </si>
  <si>
    <t xml:space="preserve">     2.3-ból  - Felhalmozási célú pénzeszköz átadás államháztartáson kívülre</t>
  </si>
  <si>
    <t xml:space="preserve">  - Felhalmozási célú pénzeszközátadás államháztartáson belülre</t>
  </si>
  <si>
    <t xml:space="preserve">  - Pénzügyi befektetések kiadásai</t>
  </si>
  <si>
    <t xml:space="preserve">  - Lakástámogatás</t>
  </si>
  <si>
    <t xml:space="preserve">  - Lakásépítés</t>
  </si>
  <si>
    <t xml:space="preserve">  - EU-s forrásból finanszírozott támogatással megvalósuló programok, projektek kiadásai</t>
  </si>
  <si>
    <t xml:space="preserve">  - EU-s forrásból finanszírozott támogatással megvalósuló programok, projektek
    önkormányzati hozzájárulásának kiadásai</t>
  </si>
  <si>
    <t>III. Tartalékok (3.1.+3.2)</t>
  </si>
  <si>
    <t>V. Költségvetési szervek finanszírozása</t>
  </si>
  <si>
    <t>KÖLTSÉGVETÉSI KIADÁSOK ÖSSZESEN: (1+2+3+4+5)</t>
  </si>
  <si>
    <t>V. Finanszírozási kiadások (7.1.+7.2.)</t>
  </si>
  <si>
    <t>7.1</t>
  </si>
  <si>
    <t>Működési célú finanszírozási kiadások</t>
  </si>
  <si>
    <t>Felhalmozási célú pénzügyi műveletek kiadások</t>
  </si>
  <si>
    <t>KIADÁSOK ÖSSZESEN: (6+7)</t>
  </si>
  <si>
    <t>Éves engedélyezett létszám előirányzat (fő)</t>
  </si>
  <si>
    <t>Közfoglalkoztatottak létszáma (fő)</t>
  </si>
  <si>
    <t>Költségvetési szerv megnevezése</t>
  </si>
  <si>
    <t>Borsodnádasdi Önkormányzat</t>
  </si>
  <si>
    <t>Egészségügyi ellátás</t>
  </si>
  <si>
    <t>I. Intézményi működési bevételek (1.1.+…+1.8.)</t>
  </si>
  <si>
    <t>1.5.</t>
  </si>
  <si>
    <t>Általános forgalmi adó bevétel</t>
  </si>
  <si>
    <t>Osztalék,  hozambevétel</t>
  </si>
  <si>
    <t>Kamatbevétel</t>
  </si>
  <si>
    <t>II. Átvett pénzeszközök  államháztartáson belülről (2.1.+2.4.)</t>
  </si>
  <si>
    <t>Működési támogatás államháztartáson belülről TB támogatás</t>
  </si>
  <si>
    <t xml:space="preserve"> - finanszírozási hiány</t>
  </si>
  <si>
    <t>Felhalmozási támogatás államháztartáson belülről</t>
  </si>
  <si>
    <t xml:space="preserve"> - ebből EU támogatás</t>
  </si>
  <si>
    <t>III. Átvett pénzeszköz államháztartáson kívülről (3.1.+3.2.)</t>
  </si>
  <si>
    <t>IV. Önkormányzati támogatás</t>
  </si>
  <si>
    <t>Költségvetési bevételek összesen (1+…+4)</t>
  </si>
  <si>
    <t>V. Finanszírozási bevételek (6.1.+6.2.)</t>
  </si>
  <si>
    <t>Költségvetési maradvány igénybevétele</t>
  </si>
  <si>
    <t>Vállalkozási maradvány igénybevétele</t>
  </si>
  <si>
    <t>VI. Függő, átfutó, kiegyenlítő bevételek</t>
  </si>
  <si>
    <t>BEVÉTELEK ÖSSZESEN: (5+6+7)</t>
  </si>
  <si>
    <t>II. Felhalmozási költségvetés kiadásai (2.1+…+2.4)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</si>
  <si>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</si>
  <si>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</si>
  <si>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</si>
  <si>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</si>
  <si>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</si>
  <si>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Költségvetési szerv I.</t>
  </si>
  <si>
    <t>04</t>
  </si>
  <si>
    <t>Borsodnádasdi Alapszolgáltatási Központ</t>
  </si>
  <si>
    <t>Módosított előirányzat 2013. 09. 30.</t>
  </si>
  <si>
    <t>Működési támogatás államháztartáson belülről hiány finanszírozása</t>
  </si>
  <si>
    <t>Költségvetési szerv II.</t>
  </si>
  <si>
    <t>05</t>
  </si>
  <si>
    <t>Általános Művelődési Központ 2013. augusztus 14-ig</t>
  </si>
  <si>
    <t>II. sz. Módosítás 2013. szeptember 30.</t>
  </si>
  <si>
    <t>Teljesítés 2013. augusztus 14-ig</t>
  </si>
  <si>
    <t>Működési támogatás államháztartáson belülről finanszírozási hiány</t>
  </si>
  <si>
    <t>Költségvetési szerv III.</t>
  </si>
  <si>
    <t>Mesekert Óvoda 2013. augusztus 15-től</t>
  </si>
  <si>
    <t>Teljesítés 2013. szeptember 30.</t>
  </si>
  <si>
    <t>Költségvetési szerv IV.</t>
  </si>
  <si>
    <t>Közösségi Ház és Könyvtár 2013. augusztus 15-től</t>
  </si>
  <si>
    <t>Címzett és céltámogatások</t>
  </si>
  <si>
    <t>Felhalmozási célú finanszírozási kiadások (6.2.1.+…..6.2.8.)</t>
  </si>
  <si>
    <t>II. Felhalmozási célú bevételek és kiadások mérlege
(Önkormányzati szinten)</t>
  </si>
  <si>
    <t>2013. évi teljesítés 2013. június 30.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</si>
  <si>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</si>
  <si>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</si>
  <si>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</si>
  <si>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</si>
  <si>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</si>
  <si>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</si>
  <si>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</si>
  <si>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</si>
  <si>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</si>
  <si>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</si>
  <si>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</si>
  <si>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</si>
  <si>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</si>
  <si>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</si>
  <si>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</si>
  <si>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</si>
  <si>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</si>
  <si>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</si>
  <si>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</si>
  <si>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</si>
  <si>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</si>
  <si>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</si>
  <si>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</si>
  <si>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</si>
  <si>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</si>
  <si>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</si>
  <si>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</si>
  <si>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</si>
  <si>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</si>
  <si>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</si>
  <si>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(14+20)</t>
  </si>
  <si>
    <t>Felhalmozási célú finanszírozási kiadások összesen
(14+...+25)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</si>
  <si>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</si>
  <si>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</si>
  <si>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</si>
  <si>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</si>
  <si>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</si>
  <si>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</si>
  <si>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</si>
  <si>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31.</t>
  </si>
  <si>
    <t>Borsodnádasdi  Önkormányzat saját bevételeinek részletezése az adósságot keletkeztető ügyletből származó tárgyévi fizetési kötelezettség megállapításához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</si>
  <si>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</si>
  <si>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</si>
  <si>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</si>
  <si>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</si>
  <si>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</si>
  <si>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</si>
  <si>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</si>
  <si>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</si>
  <si>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</si>
  <si>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</si>
  <si>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</si>
  <si>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</si>
  <si>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Felhasználás
2012. XII.31-ig</t>
  </si>
  <si>
    <t xml:space="preserve">
2013. év utáni szükséglet
</t>
  </si>
  <si>
    <t>6=(2-4-5)</t>
  </si>
  <si>
    <t>ÉMOP-4.2.1/A-11. BNSZAK szociális alapszolgáltatások fejlesztése</t>
  </si>
  <si>
    <t>2012-2013.</t>
  </si>
  <si>
    <t>KEOP-7.1.0/11-2011-0010. Szennyvízcsatornázás előkészítése</t>
  </si>
  <si>
    <t>Közművelődési érdekeltségnövelő pályázat</t>
  </si>
  <si>
    <t>Kazán I. prg.</t>
  </si>
  <si>
    <t>Kazán II. prg.</t>
  </si>
  <si>
    <t>2013.</t>
  </si>
  <si>
    <t>Kazán III. prg.</t>
  </si>
  <si>
    <t>Mezőgazdasági prg.</t>
  </si>
  <si>
    <t>Belvíz prg.</t>
  </si>
  <si>
    <t>Közúthálózat karbantartása pályázat</t>
  </si>
  <si>
    <t>Téli közfoglalkoztatás</t>
  </si>
  <si>
    <t>ÖSSZESEN:</t>
  </si>
  <si>
    <t>Felújítási kiadások előirányzata felújításonként</t>
  </si>
  <si>
    <t>Felújítás  megnevezése</t>
  </si>
  <si>
    <t>2013. év utáni szükséglet
(6=2 - 4 - 5)</t>
  </si>
  <si>
    <t>ÉMOP-3.1.2-/E-11-2011-0059. Árvízi településrekonstrukció</t>
  </si>
  <si>
    <t>ÉMOP-3.1.2/D-09-2010-0005. Kultúrház átépítése</t>
  </si>
  <si>
    <t>2011-2013.</t>
  </si>
  <si>
    <t>EU-s projekt neve, azonosítója:</t>
  </si>
  <si>
    <t>Ezer forintban!</t>
  </si>
  <si>
    <t>Források</t>
  </si>
  <si>
    <t>2014.</t>
  </si>
  <si>
    <t>2014.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</si>
  <si>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</si>
  <si>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</si>
  <si>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</si>
  <si>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</si>
  <si>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</si>
  <si>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</si>
  <si>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</si>
  <si>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</si>
  <si>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</si>
  <si>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</si>
  <si>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</si>
  <si>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</si>
  <si>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</si>
  <si>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</si>
  <si>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ÉMOP-3.1.2/E-11-2011-0059. Árvízi településrekonstrukció</t>
  </si>
  <si>
    <t>Önkormányzaton kívüli EU-s projektekhez történő hozzájárulás 2013. évi előirányzat</t>
  </si>
  <si>
    <t>Támogatott neve</t>
  </si>
  <si>
    <t>Hozzájárulás  (E Ft)</t>
  </si>
  <si>
    <t>ÉMOP-3.1.2-/D-09-2010-0005. Kultúrház felújítása</t>
  </si>
  <si>
    <t>ÉMOP-4.2.1/A-11. BNSZAK szociális szolgáltatásainak minőségi fejlesztése</t>
  </si>
  <si>
    <t>Önkormányzati hivatal</t>
  </si>
  <si>
    <t>----------------------------</t>
  </si>
  <si>
    <t>Egyéb bevétel</t>
  </si>
  <si>
    <t>Működési támogatás államháztartáson belülről</t>
  </si>
  <si>
    <t>IV. Közhatalmi bevételek</t>
  </si>
  <si>
    <t>V. Önkormányzati támogatás</t>
  </si>
  <si>
    <t>Költségvetési bevételek összesen (1+…+5)</t>
  </si>
  <si>
    <t>VI. Finanszírozási bevételek (7.1.+7.2.)</t>
  </si>
  <si>
    <t>VII. Függő, átfutó, kiegyenlítő bevételek</t>
  </si>
  <si>
    <t>BEVÉTELEK ÖSSZESEN: (6+7+8)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</si>
  <si>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</si>
  <si>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</si>
  <si>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</si>
  <si>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</si>
  <si>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</si>
  <si>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</si>
  <si>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</si>
  <si>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</si>
  <si>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</si>
  <si>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</si>
  <si>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</si>
  <si>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</si>
  <si>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</si>
  <si>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</si>
  <si>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</si>
  <si>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</si>
  <si>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</si>
  <si>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2013. .......................... hó ..... nap</t>
  </si>
  <si>
    <t>költségvetési szerv vezetője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</si>
</sst>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mmm\ d/"/>
    <numFmt numFmtId="166" formatCode="_-* #,##0\ _F_t_-;\-* #,##0\ _F_t_-;_-* \-??\ _F_t_-;_-@_-"/>
  </numFmts>
  <fonts count="67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 CE"/>
      <family val="1"/>
    </font>
    <font>
      <i/>
      <sz val="10"/>
      <name val="Times New Roman CE"/>
      <family val="1"/>
    </font>
    <font>
      <sz val="9"/>
      <name val="Times New Roman CE"/>
      <family val="1"/>
    </font>
    <font>
      <b/>
      <sz val="14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"/>
      <family val="1"/>
    </font>
    <font>
      <sz val="10.5"/>
      <name val="Times New Roman CE"/>
      <family val="1"/>
    </font>
    <font>
      <b/>
      <i/>
      <sz val="10.5"/>
      <name val="Times New Roman CE"/>
      <family val="1"/>
    </font>
    <font>
      <b/>
      <sz val="10.5"/>
      <name val="Times New Roman CE"/>
      <family val="1"/>
    </font>
    <font>
      <i/>
      <sz val="10.5"/>
      <name val="Times New Roman CE"/>
      <family val="1"/>
    </font>
    <font>
      <b/>
      <i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name val="Times New Roman CE"/>
      <family val="1"/>
    </font>
    <font>
      <b/>
      <sz val="11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2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1" fillId="0" borderId="0" applyFill="0" applyBorder="0" applyAlignment="0" applyProtection="0"/>
  </cellStyleXfs>
  <cellXfs count="626">
    <xf numFmtId="0" fontId="0" fillId="0" borderId="0" xfId="0" applyAlignment="1">
      <alignment/>
    </xf>
    <xf numFmtId="0" fontId="17" fillId="0" borderId="0" xfId="56" applyFont="1" applyFill="1">
      <alignment/>
      <protection/>
    </xf>
    <xf numFmtId="0" fontId="17" fillId="0" borderId="0" xfId="56" applyFont="1" applyFill="1" applyAlignment="1">
      <alignment horizontal="right" vertical="center" indent="1"/>
      <protection/>
    </xf>
    <xf numFmtId="0" fontId="17" fillId="0" borderId="0" xfId="56" applyFill="1">
      <alignment/>
      <protection/>
    </xf>
    <xf numFmtId="164" fontId="22" fillId="0" borderId="0" xfId="56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right" vertical="center"/>
      <protection/>
    </xf>
    <xf numFmtId="0" fontId="25" fillId="0" borderId="11" xfId="56" applyFont="1" applyFill="1" applyBorder="1" applyAlignment="1" applyProtection="1">
      <alignment horizontal="center" vertical="center" wrapText="1"/>
      <protection/>
    </xf>
    <xf numFmtId="0" fontId="25" fillId="0" borderId="12" xfId="56" applyFont="1" applyFill="1" applyBorder="1" applyAlignment="1" applyProtection="1">
      <alignment horizontal="center" vertical="center" wrapText="1"/>
      <protection/>
    </xf>
    <xf numFmtId="0" fontId="25" fillId="0" borderId="13" xfId="56" applyFont="1" applyFill="1" applyBorder="1" applyAlignment="1" applyProtection="1">
      <alignment horizontal="center" vertical="center" wrapText="1"/>
      <protection/>
    </xf>
    <xf numFmtId="0" fontId="26" fillId="0" borderId="11" xfId="56" applyFont="1" applyFill="1" applyBorder="1" applyAlignment="1" applyProtection="1">
      <alignment horizontal="center" vertical="center" wrapText="1"/>
      <protection/>
    </xf>
    <xf numFmtId="0" fontId="26" fillId="0" borderId="12" xfId="56" applyFont="1" applyFill="1" applyBorder="1" applyAlignment="1" applyProtection="1">
      <alignment horizontal="center" vertical="center" wrapText="1"/>
      <protection/>
    </xf>
    <xf numFmtId="0" fontId="26" fillId="0" borderId="13" xfId="56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>
      <alignment/>
      <protection/>
    </xf>
    <xf numFmtId="0" fontId="28" fillId="0" borderId="14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horizontal="left" vertical="center" wrapText="1" indent="1"/>
      <protection/>
    </xf>
    <xf numFmtId="164" fontId="22" fillId="0" borderId="15" xfId="56" applyNumberFormat="1" applyFont="1" applyFill="1" applyBorder="1" applyAlignment="1" applyProtection="1">
      <alignment horizontal="right" vertical="center" wrapText="1" indent="1"/>
      <protection/>
    </xf>
    <xf numFmtId="10" fontId="0" fillId="0" borderId="0" xfId="56" applyNumberFormat="1" applyFont="1" applyFill="1">
      <alignment/>
      <protection/>
    </xf>
    <xf numFmtId="0" fontId="0" fillId="0" borderId="0" xfId="56" applyFont="1" applyFill="1">
      <alignment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9" fillId="0" borderId="12" xfId="0" applyFont="1" applyBorder="1" applyAlignment="1" applyProtection="1">
      <alignment horizontal="left" vertical="center" wrapText="1" indent="1"/>
      <protection/>
    </xf>
    <xf numFmtId="164" fontId="22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0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18" xfId="0" applyFont="1" applyBorder="1" applyAlignment="1" applyProtection="1">
      <alignment horizontal="left" vertical="center" wrapText="1" indent="1"/>
      <protection/>
    </xf>
    <xf numFmtId="164" fontId="17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Fill="1" applyBorder="1" applyAlignment="1" applyProtection="1">
      <alignment horizontal="left" vertical="center" wrapText="1"/>
      <protection/>
    </xf>
    <xf numFmtId="0" fontId="30" fillId="0" borderId="20" xfId="0" applyFont="1" applyFill="1" applyBorder="1" applyAlignment="1" applyProtection="1">
      <alignment horizontal="left" vertical="center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0" fontId="30" fillId="0" borderId="21" xfId="0" applyFont="1" applyBorder="1" applyAlignment="1" applyProtection="1">
      <alignment horizontal="left" vertical="center" wrapText="1" indent="1"/>
      <protection/>
    </xf>
    <xf numFmtId="164" fontId="22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0" fillId="0" borderId="22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18" xfId="56" applyFont="1" applyFill="1" applyBorder="1" applyAlignment="1" applyProtection="1">
      <alignment horizontal="left" vertical="center" wrapText="1" indent="1"/>
      <protection/>
    </xf>
    <xf numFmtId="164" fontId="17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4" xfId="56" applyFont="1" applyFill="1" applyBorder="1" applyAlignment="1" applyProtection="1">
      <alignment horizontal="left" vertical="center" wrapText="1" indent="1"/>
      <protection/>
    </xf>
    <xf numFmtId="164" fontId="17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26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27" xfId="56" applyFont="1" applyFill="1" applyBorder="1" applyAlignment="1" applyProtection="1">
      <alignment horizontal="left" vertical="center" wrapText="1" indent="1"/>
      <protection/>
    </xf>
    <xf numFmtId="164" fontId="17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6" applyNumberFormat="1" applyFont="1" applyFill="1" applyBorder="1" applyAlignment="1" applyProtection="1">
      <alignment horizontal="left" vertical="center" wrapText="1"/>
      <protection locked="0"/>
    </xf>
    <xf numFmtId="49" fontId="0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21" xfId="56" applyFont="1" applyFill="1" applyBorder="1" applyAlignment="1" applyProtection="1">
      <alignment horizontal="left" vertical="center" wrapText="1" indent="1"/>
      <protection/>
    </xf>
    <xf numFmtId="164" fontId="1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20" xfId="56" applyFont="1" applyFill="1" applyBorder="1" applyAlignment="1" applyProtection="1">
      <alignment horizontal="left" vertical="center" wrapText="1" indent="1"/>
      <protection/>
    </xf>
    <xf numFmtId="164" fontId="17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4" xfId="56" applyFont="1" applyFill="1" applyBorder="1" applyAlignment="1" applyProtection="1">
      <alignment horizontal="left" vertical="center" wrapText="1" indent="10"/>
      <protection/>
    </xf>
    <xf numFmtId="164" fontId="17" fillId="0" borderId="25" xfId="56" applyNumberFormat="1" applyFont="1" applyFill="1" applyBorder="1" applyAlignment="1" applyProtection="1">
      <alignment horizontal="right" vertical="center" wrapText="1"/>
      <protection locked="0"/>
    </xf>
    <xf numFmtId="49" fontId="28" fillId="0" borderId="34" xfId="56" applyNumberFormat="1" applyFont="1" applyFill="1" applyBorder="1" applyAlignment="1" applyProtection="1">
      <alignment horizontal="left" vertical="center" wrapText="1" indent="1"/>
      <protection/>
    </xf>
    <xf numFmtId="0" fontId="28" fillId="0" borderId="24" xfId="56" applyFont="1" applyFill="1" applyBorder="1" applyAlignment="1" applyProtection="1">
      <alignment horizontal="left" vertical="center" wrapText="1" indent="1"/>
      <protection/>
    </xf>
    <xf numFmtId="164" fontId="22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34" xfId="56" applyNumberFormat="1" applyFont="1" applyFill="1" applyBorder="1" applyAlignment="1" applyProtection="1">
      <alignment horizontal="left" vertical="center" wrapText="1" indent="1"/>
      <protection/>
    </xf>
    <xf numFmtId="164" fontId="17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6" xfId="56" applyFont="1" applyFill="1" applyBorder="1" applyAlignment="1" applyProtection="1">
      <alignment horizontal="left" vertical="center" wrapText="1" indent="1"/>
      <protection/>
    </xf>
    <xf numFmtId="0" fontId="28" fillId="0" borderId="37" xfId="56" applyFont="1" applyFill="1" applyBorder="1" applyAlignment="1" applyProtection="1">
      <alignment horizontal="left" vertical="center" wrapText="1" indent="1"/>
      <protection/>
    </xf>
    <xf numFmtId="49" fontId="0" fillId="0" borderId="38" xfId="56" applyNumberFormat="1" applyFont="1" applyFill="1" applyBorder="1" applyAlignment="1" applyProtection="1">
      <alignment horizontal="left" vertical="center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32" fillId="0" borderId="39" xfId="56" applyNumberFormat="1" applyFont="1" applyFill="1" applyBorder="1" applyAlignment="1" applyProtection="1">
      <alignment horizontal="right" vertical="center" wrapText="1" indent="1"/>
      <protection/>
    </xf>
    <xf numFmtId="49" fontId="0" fillId="0" borderId="40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24" xfId="0" applyFont="1" applyBorder="1" applyAlignment="1" applyProtection="1">
      <alignment horizontal="left" vertical="center" wrapText="1" indent="1"/>
      <protection/>
    </xf>
    <xf numFmtId="0" fontId="31" fillId="0" borderId="24" xfId="0" applyFont="1" applyBorder="1" applyAlignment="1" applyProtection="1">
      <alignment horizontal="left" vertical="center" wrapText="1" indent="1"/>
      <protection/>
    </xf>
    <xf numFmtId="164" fontId="32" fillId="0" borderId="19" xfId="56" applyNumberFormat="1" applyFont="1" applyFill="1" applyBorder="1" applyAlignment="1" applyProtection="1">
      <alignment horizontal="right" vertical="center" wrapText="1" indent="1"/>
      <protection/>
    </xf>
    <xf numFmtId="0" fontId="30" fillId="0" borderId="24" xfId="0" applyFont="1" applyBorder="1" applyAlignment="1" applyProtection="1">
      <alignment horizontal="left" vertical="center" indent="1"/>
      <protection/>
    </xf>
    <xf numFmtId="49" fontId="0" fillId="0" borderId="41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42" xfId="0" applyFont="1" applyBorder="1" applyAlignment="1" applyProtection="1">
      <alignment horizontal="left" vertical="center" indent="1"/>
      <protection/>
    </xf>
    <xf numFmtId="164" fontId="17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2" xfId="0" applyFont="1" applyBorder="1" applyAlignment="1" applyProtection="1">
      <alignment horizontal="left" vertical="center" wrapText="1" indent="1"/>
      <protection/>
    </xf>
    <xf numFmtId="164" fontId="17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2" xfId="0" applyFont="1" applyBorder="1" applyAlignment="1" applyProtection="1">
      <alignment horizontal="left" vertical="center" wrapText="1" indent="1"/>
      <protection/>
    </xf>
    <xf numFmtId="164" fontId="1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1" xfId="0" applyFont="1" applyBorder="1" applyAlignment="1" applyProtection="1">
      <alignment horizontal="left" vertical="center" wrapText="1" indent="1"/>
      <protection/>
    </xf>
    <xf numFmtId="164" fontId="22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56" applyFont="1" applyFill="1" applyBorder="1" applyAlignment="1" applyProtection="1">
      <alignment horizontal="left" vertical="center" wrapText="1" indent="1"/>
      <protection/>
    </xf>
    <xf numFmtId="164" fontId="33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11" xfId="0" applyFont="1" applyBorder="1" applyAlignment="1" applyProtection="1">
      <alignment horizontal="left" vertical="center" wrapText="1" indent="1"/>
      <protection/>
    </xf>
    <xf numFmtId="49" fontId="29" fillId="0" borderId="31" xfId="0" applyNumberFormat="1" applyFont="1" applyBorder="1" applyAlignment="1" applyProtection="1">
      <alignment horizontal="left" vertical="center" wrapText="1" indent="1"/>
      <protection/>
    </xf>
    <xf numFmtId="164" fontId="32" fillId="0" borderId="32" xfId="56" applyNumberFormat="1" applyFont="1" applyFill="1" applyBorder="1" applyAlignment="1" applyProtection="1">
      <alignment horizontal="right" vertical="center" wrapText="1" indent="1"/>
      <protection/>
    </xf>
    <xf numFmtId="49" fontId="30" fillId="0" borderId="17" xfId="0" applyNumberFormat="1" applyFont="1" applyBorder="1" applyAlignment="1" applyProtection="1">
      <alignment horizontal="left" vertical="center" wrapText="1" indent="2"/>
      <protection/>
    </xf>
    <xf numFmtId="49" fontId="29" fillId="0" borderId="17" xfId="0" applyNumberFormat="1" applyFont="1" applyBorder="1" applyAlignment="1" applyProtection="1">
      <alignment horizontal="left" vertical="center" wrapText="1" indent="1"/>
      <protection/>
    </xf>
    <xf numFmtId="164" fontId="32" fillId="0" borderId="25" xfId="56" applyNumberFormat="1" applyFont="1" applyFill="1" applyBorder="1" applyAlignment="1" applyProtection="1">
      <alignment horizontal="right" vertical="center" wrapText="1" indent="1"/>
      <protection/>
    </xf>
    <xf numFmtId="49" fontId="30" fillId="0" borderId="45" xfId="0" applyNumberFormat="1" applyFont="1" applyBorder="1" applyAlignment="1" applyProtection="1">
      <alignment horizontal="left" vertical="center" wrapText="1" indent="2"/>
      <protection/>
    </xf>
    <xf numFmtId="0" fontId="30" fillId="0" borderId="29" xfId="0" applyFont="1" applyBorder="1" applyAlignment="1" applyProtection="1">
      <alignment horizontal="left" vertical="center" wrapText="1" inden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vertical="center" wrapText="1"/>
      <protection/>
    </xf>
    <xf numFmtId="164" fontId="22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33" fillId="0" borderId="10" xfId="0" applyFont="1" applyFill="1" applyBorder="1" applyAlignment="1" applyProtection="1">
      <alignment horizontal="right"/>
      <protection/>
    </xf>
    <xf numFmtId="0" fontId="17" fillId="0" borderId="0" xfId="56" applyFill="1" applyAlignment="1">
      <alignment/>
      <protection/>
    </xf>
    <xf numFmtId="0" fontId="28" fillId="0" borderId="11" xfId="56" applyFont="1" applyFill="1" applyBorder="1" applyAlignment="1" applyProtection="1">
      <alignment horizontal="center" vertical="center" wrapText="1"/>
      <protection/>
    </xf>
    <xf numFmtId="0" fontId="28" fillId="0" borderId="12" xfId="56" applyFont="1" applyFill="1" applyBorder="1" applyAlignment="1" applyProtection="1">
      <alignment horizontal="center" vertical="center" wrapText="1"/>
      <protection/>
    </xf>
    <xf numFmtId="0" fontId="28" fillId="0" borderId="13" xfId="56" applyFont="1" applyFill="1" applyBorder="1" applyAlignment="1" applyProtection="1">
      <alignment horizontal="center" vertical="center" wrapText="1"/>
      <protection/>
    </xf>
    <xf numFmtId="0" fontId="22" fillId="0" borderId="13" xfId="56" applyFont="1" applyFill="1" applyBorder="1" applyAlignment="1" applyProtection="1">
      <alignment horizontal="center" vertical="center" wrapText="1"/>
      <protection/>
    </xf>
    <xf numFmtId="0" fontId="22" fillId="0" borderId="11" xfId="56" applyFont="1" applyFill="1" applyBorder="1" applyAlignment="1" applyProtection="1">
      <alignment horizontal="center" vertical="center" wrapText="1"/>
      <protection/>
    </xf>
    <xf numFmtId="0" fontId="22" fillId="0" borderId="12" xfId="56" applyFont="1" applyFill="1" applyBorder="1" applyAlignment="1" applyProtection="1">
      <alignment horizontal="center" vertical="center" wrapTex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49" fontId="0" fillId="0" borderId="46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47" xfId="56" applyFont="1" applyFill="1" applyBorder="1" applyAlignment="1" applyProtection="1">
      <alignment horizontal="left" vertical="center" wrapText="1" indent="1"/>
      <protection/>
    </xf>
    <xf numFmtId="164" fontId="17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6" applyNumberFormat="1" applyFont="1" applyFill="1" applyBorder="1" applyAlignment="1" applyProtection="1">
      <alignment horizontal="left" vertical="center" wrapText="1"/>
      <protection locked="0"/>
    </xf>
    <xf numFmtId="0" fontId="0" fillId="0" borderId="50" xfId="56" applyFont="1" applyFill="1" applyBorder="1" applyAlignment="1" applyProtection="1">
      <alignment horizontal="left" vertical="center" wrapText="1" indent="1"/>
      <protection/>
    </xf>
    <xf numFmtId="0" fontId="0" fillId="0" borderId="0" xfId="56" applyFont="1" applyFill="1" applyBorder="1" applyAlignment="1" applyProtection="1">
      <alignment horizontal="left" vertical="center" wrapText="1" indent="1"/>
      <protection/>
    </xf>
    <xf numFmtId="0" fontId="0" fillId="0" borderId="24" xfId="56" applyFont="1" applyFill="1" applyBorder="1" applyAlignment="1" applyProtection="1">
      <alignment horizontal="left" indent="6"/>
      <protection/>
    </xf>
    <xf numFmtId="0" fontId="0" fillId="0" borderId="24" xfId="56" applyFont="1" applyFill="1" applyBorder="1" applyAlignment="1" applyProtection="1">
      <alignment horizontal="left" vertical="center" wrapText="1" indent="6"/>
      <protection/>
    </xf>
    <xf numFmtId="0" fontId="0" fillId="0" borderId="36" xfId="56" applyFont="1" applyFill="1" applyBorder="1" applyAlignment="1" applyProtection="1">
      <alignment horizontal="left" vertical="center" wrapText="1" indent="6"/>
      <protection/>
    </xf>
    <xf numFmtId="49" fontId="0" fillId="0" borderId="45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42" xfId="56" applyFont="1" applyFill="1" applyBorder="1" applyAlignment="1" applyProtection="1">
      <alignment horizontal="left" vertical="center" wrapText="1" indent="6"/>
      <protection/>
    </xf>
    <xf numFmtId="0" fontId="27" fillId="0" borderId="24" xfId="56" applyFont="1" applyFill="1" applyBorder="1" applyAlignment="1" applyProtection="1">
      <alignment horizontal="left" vertical="center" wrapText="1" indent="1"/>
      <protection/>
    </xf>
    <xf numFmtId="164" fontId="17" fillId="0" borderId="32" xfId="56" applyNumberFormat="1" applyFont="1" applyFill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left" vertical="center" wrapText="1" indent="1"/>
      <protection/>
    </xf>
    <xf numFmtId="0" fontId="30" fillId="0" borderId="24" xfId="0" applyFont="1" applyBorder="1" applyAlignment="1" applyProtection="1">
      <alignment horizontal="left" vertical="center" wrapText="1" indent="6"/>
      <protection/>
    </xf>
    <xf numFmtId="0" fontId="34" fillId="0" borderId="24" xfId="0" applyFont="1" applyBorder="1" applyAlignment="1" applyProtection="1">
      <alignment horizontal="left" vertical="center" wrapText="1" indent="6"/>
      <protection/>
    </xf>
    <xf numFmtId="0" fontId="34" fillId="0" borderId="42" xfId="0" applyFont="1" applyBorder="1" applyAlignment="1" applyProtection="1">
      <alignment horizontal="left" vertical="center" wrapText="1" indent="6"/>
      <protection/>
    </xf>
    <xf numFmtId="164" fontId="22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56" applyFill="1" applyAlignment="1">
      <alignment horizontal="left" vertical="center" indent="1"/>
      <protection/>
    </xf>
    <xf numFmtId="0" fontId="28" fillId="0" borderId="26" xfId="56" applyFont="1" applyFill="1" applyBorder="1" applyAlignment="1" applyProtection="1">
      <alignment horizontal="left" vertical="center" wrapText="1" indent="1"/>
      <protection/>
    </xf>
    <xf numFmtId="0" fontId="24" fillId="0" borderId="27" xfId="56" applyFont="1" applyFill="1" applyBorder="1" applyAlignment="1" applyProtection="1">
      <alignment horizontal="left" vertical="center" wrapText="1" indent="1"/>
      <protection/>
    </xf>
    <xf numFmtId="49" fontId="31" fillId="0" borderId="11" xfId="0" applyNumberFormat="1" applyFont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vertical="center" wrapText="1" indent="1"/>
      <protection/>
    </xf>
    <xf numFmtId="164" fontId="32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30" fillId="0" borderId="31" xfId="0" applyNumberFormat="1" applyFont="1" applyBorder="1" applyAlignment="1" applyProtection="1">
      <alignment horizontal="left" vertical="center" wrapText="1" indent="2"/>
      <protection/>
    </xf>
    <xf numFmtId="0" fontId="35" fillId="0" borderId="32" xfId="0" applyFont="1" applyBorder="1" applyAlignment="1" applyProtection="1">
      <alignment horizontal="right" vertical="center" wrapText="1" indent="1"/>
      <protection locked="0"/>
    </xf>
    <xf numFmtId="0" fontId="35" fillId="0" borderId="25" xfId="0" applyFont="1" applyBorder="1" applyAlignment="1" applyProtection="1">
      <alignment horizontal="right" vertical="center" wrapText="1" indent="1"/>
      <protection locked="0"/>
    </xf>
    <xf numFmtId="49" fontId="30" fillId="0" borderId="34" xfId="0" applyNumberFormat="1" applyFont="1" applyBorder="1" applyAlignment="1" applyProtection="1">
      <alignment horizontal="left" vertical="center" wrapText="1" indent="2"/>
      <protection/>
    </xf>
    <xf numFmtId="0" fontId="30" fillId="0" borderId="36" xfId="0" applyFont="1" applyBorder="1" applyAlignment="1" applyProtection="1">
      <alignment horizontal="left" vertical="center" wrapText="1" indent="1"/>
      <protection/>
    </xf>
    <xf numFmtId="0" fontId="35" fillId="0" borderId="35" xfId="0" applyFont="1" applyBorder="1" applyAlignment="1" applyProtection="1">
      <alignment horizontal="right" vertical="center" wrapText="1" indent="1"/>
      <protection locked="0"/>
    </xf>
    <xf numFmtId="0" fontId="36" fillId="0" borderId="12" xfId="0" applyFont="1" applyBorder="1" applyAlignment="1" applyProtection="1">
      <alignment horizontal="left" vertical="center" wrapText="1" indent="1"/>
      <protection/>
    </xf>
    <xf numFmtId="164" fontId="38" fillId="0" borderId="13" xfId="0" applyNumberFormat="1" applyFont="1" applyBorder="1" applyAlignment="1" applyProtection="1">
      <alignment horizontal="right" vertical="center" wrapText="1" indent="1"/>
      <protection/>
    </xf>
    <xf numFmtId="0" fontId="38" fillId="0" borderId="13" xfId="0" applyFont="1" applyBorder="1" applyAlignment="1" applyProtection="1">
      <alignment horizontal="right" vertical="center" wrapText="1" indent="1"/>
      <protection locked="0"/>
    </xf>
    <xf numFmtId="0" fontId="22" fillId="0" borderId="0" xfId="56" applyFont="1" applyFill="1">
      <alignment/>
      <protection/>
    </xf>
    <xf numFmtId="0" fontId="29" fillId="0" borderId="29" xfId="0" applyFont="1" applyBorder="1" applyAlignment="1" applyProtection="1">
      <alignment horizontal="left" vertical="center" wrapText="1" indent="1"/>
      <protection/>
    </xf>
    <xf numFmtId="0" fontId="0" fillId="0" borderId="0" xfId="56" applyFont="1" applyFill="1" applyProtection="1">
      <alignment/>
      <protection/>
    </xf>
    <xf numFmtId="0" fontId="0" fillId="0" borderId="0" xfId="56" applyFont="1" applyFill="1" applyAlignment="1" applyProtection="1">
      <alignment horizontal="right" vertical="center" indent="1"/>
      <protection/>
    </xf>
    <xf numFmtId="0" fontId="28" fillId="0" borderId="0" xfId="56" applyFont="1" applyFill="1" applyAlignment="1" applyProtection="1">
      <alignment horizontal="center"/>
      <protection/>
    </xf>
    <xf numFmtId="164" fontId="28" fillId="0" borderId="51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Alignment="1" applyProtection="1">
      <alignment horizontal="left" vertical="center" indent="1"/>
      <protection/>
    </xf>
    <xf numFmtId="0" fontId="24" fillId="0" borderId="0" xfId="0" applyFont="1" applyFill="1" applyBorder="1" applyAlignment="1" applyProtection="1">
      <alignment horizontal="right" vertical="center"/>
      <protection/>
    </xf>
    <xf numFmtId="164" fontId="29" fillId="0" borderId="13" xfId="0" applyNumberFormat="1" applyFont="1" applyBorder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29" fillId="0" borderId="0" xfId="0" applyFont="1" applyAlignment="1" applyProtection="1">
      <alignment horizontal="center" vertical="center"/>
      <protection/>
    </xf>
    <xf numFmtId="49" fontId="30" fillId="0" borderId="11" xfId="0" applyNumberFormat="1" applyFont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30" fillId="0" borderId="13" xfId="0" applyNumberFormat="1" applyFont="1" applyBorder="1" applyAlignment="1" applyProtection="1">
      <alignment horizontal="right" vertical="center" wrapText="1" indent="1"/>
      <protection/>
    </xf>
    <xf numFmtId="0" fontId="30" fillId="0" borderId="13" xfId="0" applyFont="1" applyBorder="1" applyAlignment="1" applyProtection="1">
      <alignment horizontal="right" vertical="center" wrapText="1" indent="1"/>
      <protection/>
    </xf>
    <xf numFmtId="49" fontId="40" fillId="0" borderId="11" xfId="0" applyNumberFormat="1" applyFont="1" applyBorder="1" applyAlignment="1" applyProtection="1">
      <alignment horizontal="left" vertical="center" wrapText="1" indent="1"/>
      <protection/>
    </xf>
    <xf numFmtId="0" fontId="41" fillId="0" borderId="12" xfId="0" applyFont="1" applyBorder="1" applyAlignment="1" applyProtection="1">
      <alignment horizontal="left" vertical="center" wrapText="1" indent="1"/>
      <protection/>
    </xf>
    <xf numFmtId="0" fontId="34" fillId="0" borderId="13" xfId="0" applyFont="1" applyBorder="1" applyAlignment="1" applyProtection="1">
      <alignment horizontal="right" vertical="center" wrapText="1" indent="1"/>
      <protection/>
    </xf>
    <xf numFmtId="0" fontId="26" fillId="0" borderId="14" xfId="56" applyFont="1" applyFill="1" applyBorder="1" applyAlignment="1" applyProtection="1">
      <alignment horizontal="left" vertical="center" wrapText="1" indent="1"/>
      <protection/>
    </xf>
    <xf numFmtId="0" fontId="26" fillId="0" borderId="12" xfId="56" applyFont="1" applyFill="1" applyBorder="1" applyAlignment="1" applyProtection="1">
      <alignment horizontal="left" vertical="center" wrapText="1" indent="1"/>
      <protection/>
    </xf>
    <xf numFmtId="0" fontId="26" fillId="0" borderId="11" xfId="56" applyFont="1" applyFill="1" applyBorder="1" applyAlignment="1" applyProtection="1">
      <alignment horizontal="left" vertical="center" wrapText="1" indent="1"/>
      <protection/>
    </xf>
    <xf numFmtId="0" fontId="42" fillId="0" borderId="12" xfId="0" applyFont="1" applyBorder="1" applyAlignment="1" applyProtection="1">
      <alignment horizontal="left" vertical="center" wrapText="1" indent="1"/>
      <protection/>
    </xf>
    <xf numFmtId="49" fontId="27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34" fillId="0" borderId="18" xfId="0" applyFont="1" applyBorder="1" applyAlignment="1" applyProtection="1">
      <alignment horizontal="left" vertical="center" wrapText="1" indent="1"/>
      <protection/>
    </xf>
    <xf numFmtId="0" fontId="34" fillId="0" borderId="20" xfId="0" applyFont="1" applyBorder="1" applyAlignment="1" applyProtection="1">
      <alignment horizontal="left" vertical="center" wrapText="1" indent="1"/>
      <protection/>
    </xf>
    <xf numFmtId="0" fontId="34" fillId="0" borderId="21" xfId="0" applyFont="1" applyBorder="1" applyAlignment="1" applyProtection="1">
      <alignment horizontal="left" vertical="center" wrapText="1" indent="1"/>
      <protection/>
    </xf>
    <xf numFmtId="49" fontId="27" fillId="0" borderId="22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8" xfId="56" applyFont="1" applyFill="1" applyBorder="1" applyAlignment="1" applyProtection="1">
      <alignment horizontal="left" vertical="center" wrapText="1" indent="1"/>
      <protection/>
    </xf>
    <xf numFmtId="49" fontId="27" fillId="0" borderId="26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27" xfId="56" applyFont="1" applyFill="1" applyBorder="1" applyAlignment="1" applyProtection="1">
      <alignment horizontal="left" vertical="center" wrapText="1" indent="1"/>
      <protection/>
    </xf>
    <xf numFmtId="49" fontId="27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21" xfId="56" applyFont="1" applyFill="1" applyBorder="1" applyAlignment="1" applyProtection="1">
      <alignment horizontal="left" vertical="center" wrapText="1" indent="1"/>
      <protection/>
    </xf>
    <xf numFmtId="49" fontId="27" fillId="0" borderId="31" xfId="56" applyNumberFormat="1" applyFont="1" applyFill="1" applyBorder="1" applyAlignment="1" applyProtection="1">
      <alignment horizontal="left" vertical="center" wrapText="1" indent="1"/>
      <protection/>
    </xf>
    <xf numFmtId="49" fontId="27" fillId="0" borderId="34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36" xfId="56" applyFont="1" applyFill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left" vertical="center" wrapText="1" indent="1"/>
      <protection/>
    </xf>
    <xf numFmtId="49" fontId="27" fillId="0" borderId="38" xfId="56" applyNumberFormat="1" applyFont="1" applyFill="1" applyBorder="1" applyAlignment="1" applyProtection="1">
      <alignment horizontal="left" vertical="center" wrapText="1" indent="1"/>
      <protection/>
    </xf>
    <xf numFmtId="0" fontId="40" fillId="0" borderId="20" xfId="0" applyFont="1" applyBorder="1" applyAlignment="1" applyProtection="1">
      <alignment horizontal="lef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left" vertical="center" wrapText="1" indent="1"/>
      <protection/>
    </xf>
    <xf numFmtId="0" fontId="40" fillId="0" borderId="24" xfId="0" applyFont="1" applyBorder="1" applyAlignment="1" applyProtection="1">
      <alignment horizontal="left" vertical="center" wrapText="1" indent="1"/>
      <protection/>
    </xf>
    <xf numFmtId="0" fontId="34" fillId="0" borderId="24" xfId="0" applyFont="1" applyBorder="1" applyAlignment="1" applyProtection="1">
      <alignment horizontal="left" vertical="center" indent="1"/>
      <protection/>
    </xf>
    <xf numFmtId="49" fontId="27" fillId="0" borderId="41" xfId="56" applyNumberFormat="1" applyFont="1" applyFill="1" applyBorder="1" applyAlignment="1" applyProtection="1">
      <alignment horizontal="left" vertical="center" wrapText="1" indent="1"/>
      <protection/>
    </xf>
    <xf numFmtId="0" fontId="34" fillId="0" borderId="42" xfId="0" applyFont="1" applyBorder="1" applyAlignment="1" applyProtection="1">
      <alignment horizontal="left" vertical="center" indent="1"/>
      <protection/>
    </xf>
    <xf numFmtId="0" fontId="42" fillId="0" borderId="42" xfId="0" applyFont="1" applyBorder="1" applyAlignment="1" applyProtection="1">
      <alignment horizontal="left" vertical="center" wrapText="1" indent="1"/>
      <protection/>
    </xf>
    <xf numFmtId="0" fontId="34" fillId="0" borderId="42" xfId="0" applyFont="1" applyBorder="1" applyAlignment="1" applyProtection="1">
      <alignment horizontal="left" vertical="center" wrapText="1" indent="1"/>
      <protection/>
    </xf>
    <xf numFmtId="0" fontId="42" fillId="0" borderId="21" xfId="0" applyFont="1" applyBorder="1" applyAlignment="1" applyProtection="1">
      <alignment horizontal="left" vertical="center" wrapText="1" indent="1"/>
      <protection/>
    </xf>
    <xf numFmtId="0" fontId="43" fillId="0" borderId="12" xfId="56" applyFont="1" applyFill="1" applyBorder="1" applyAlignment="1" applyProtection="1">
      <alignment horizontal="left" vertical="center" wrapText="1" indent="1"/>
      <protection/>
    </xf>
    <xf numFmtId="0" fontId="42" fillId="0" borderId="11" xfId="0" applyFont="1" applyBorder="1" applyAlignment="1" applyProtection="1">
      <alignment horizontal="left" vertical="center" wrapText="1" indent="1"/>
      <protection/>
    </xf>
    <xf numFmtId="49" fontId="42" fillId="0" borderId="31" xfId="0" applyNumberFormat="1" applyFont="1" applyBorder="1" applyAlignment="1" applyProtection="1">
      <alignment horizontal="left" vertical="center" wrapText="1" indent="1"/>
      <protection/>
    </xf>
    <xf numFmtId="49" fontId="34" fillId="0" borderId="17" xfId="0" applyNumberFormat="1" applyFont="1" applyBorder="1" applyAlignment="1" applyProtection="1">
      <alignment horizontal="center" vertical="center" wrapText="1"/>
      <protection/>
    </xf>
    <xf numFmtId="49" fontId="42" fillId="0" borderId="17" xfId="0" applyNumberFormat="1" applyFont="1" applyBorder="1" applyAlignment="1" applyProtection="1">
      <alignment horizontal="left" vertical="center" wrapText="1" indent="1"/>
      <protection/>
    </xf>
    <xf numFmtId="49" fontId="34" fillId="0" borderId="45" xfId="0" applyNumberFormat="1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left" vertical="center" wrapText="1" indent="1"/>
      <protection/>
    </xf>
    <xf numFmtId="0" fontId="45" fillId="0" borderId="12" xfId="0" applyFont="1" applyBorder="1" applyAlignment="1" applyProtection="1">
      <alignment horizontal="left" vertical="center" wrapText="1" indent="1"/>
      <protection/>
    </xf>
    <xf numFmtId="0" fontId="46" fillId="0" borderId="29" xfId="0" applyFont="1" applyBorder="1" applyAlignment="1" applyProtection="1">
      <alignment horizontal="left" vertical="center" wrapText="1" indent="1"/>
      <protection/>
    </xf>
    <xf numFmtId="0" fontId="44" fillId="0" borderId="21" xfId="0" applyFont="1" applyBorder="1" applyAlignment="1" applyProtection="1">
      <alignment horizontal="left" vertical="center" wrapText="1" indent="1"/>
      <protection/>
    </xf>
    <xf numFmtId="0" fontId="44" fillId="0" borderId="12" xfId="0" applyFont="1" applyBorder="1" applyAlignment="1" applyProtection="1">
      <alignment horizontal="left" vertical="center" wrapText="1" indent="1"/>
      <protection/>
    </xf>
    <xf numFmtId="0" fontId="22" fillId="0" borderId="0" xfId="56" applyFont="1" applyFill="1" applyBorder="1" applyAlignment="1" applyProtection="1">
      <alignment horizontal="center" vertical="center" wrapText="1"/>
      <protection/>
    </xf>
    <xf numFmtId="0" fontId="22" fillId="0" borderId="0" xfId="56" applyFont="1" applyFill="1" applyBorder="1" applyAlignment="1" applyProtection="1">
      <alignment vertical="center" wrapText="1"/>
      <protection/>
    </xf>
    <xf numFmtId="0" fontId="24" fillId="0" borderId="10" xfId="0" applyFont="1" applyFill="1" applyBorder="1" applyAlignment="1" applyProtection="1">
      <alignment horizontal="right"/>
      <protection/>
    </xf>
    <xf numFmtId="0" fontId="26" fillId="0" borderId="52" xfId="56" applyFont="1" applyFill="1" applyBorder="1" applyAlignment="1" applyProtection="1">
      <alignment vertical="center" wrapText="1"/>
      <protection/>
    </xf>
    <xf numFmtId="0" fontId="27" fillId="0" borderId="50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24" xfId="56" applyFont="1" applyFill="1" applyBorder="1" applyAlignment="1" applyProtection="1">
      <alignment horizontal="left" indent="6"/>
      <protection/>
    </xf>
    <xf numFmtId="0" fontId="27" fillId="0" borderId="24" xfId="56" applyFont="1" applyFill="1" applyBorder="1" applyAlignment="1" applyProtection="1">
      <alignment horizontal="left" vertical="center" wrapText="1" indent="6"/>
      <protection/>
    </xf>
    <xf numFmtId="0" fontId="27" fillId="0" borderId="36" xfId="56" applyFont="1" applyFill="1" applyBorder="1" applyAlignment="1" applyProtection="1">
      <alignment horizontal="left" vertical="center" wrapText="1" indent="6"/>
      <protection/>
    </xf>
    <xf numFmtId="49" fontId="27" fillId="0" borderId="45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42" xfId="56" applyFont="1" applyFill="1" applyBorder="1" applyAlignment="1" applyProtection="1">
      <alignment horizontal="left" vertical="center" wrapText="1" indent="6"/>
      <protection/>
    </xf>
    <xf numFmtId="0" fontId="26" fillId="0" borderId="12" xfId="56" applyFont="1" applyFill="1" applyBorder="1" applyAlignment="1" applyProtection="1">
      <alignment vertical="center" wrapText="1"/>
      <protection/>
    </xf>
    <xf numFmtId="0" fontId="47" fillId="0" borderId="24" xfId="0" applyFont="1" applyBorder="1" applyAlignment="1" applyProtection="1">
      <alignment horizontal="left" vertical="center" wrapText="1" indent="1"/>
      <protection/>
    </xf>
    <xf numFmtId="0" fontId="47" fillId="0" borderId="24" xfId="0" applyFont="1" applyBorder="1" applyAlignment="1" applyProtection="1">
      <alignment horizontal="left" vertical="center" wrapText="1" indent="6"/>
      <protection/>
    </xf>
    <xf numFmtId="0" fontId="47" fillId="0" borderId="42" xfId="0" applyFont="1" applyBorder="1" applyAlignment="1" applyProtection="1">
      <alignment horizontal="left" vertical="center" wrapText="1" indent="6"/>
      <protection/>
    </xf>
    <xf numFmtId="0" fontId="27" fillId="0" borderId="20" xfId="56" applyFont="1" applyFill="1" applyBorder="1" applyAlignment="1" applyProtection="1">
      <alignment horizontal="left" vertical="center" wrapText="1" indent="1"/>
      <protection/>
    </xf>
    <xf numFmtId="0" fontId="42" fillId="0" borderId="12" xfId="0" applyFont="1" applyFill="1" applyBorder="1" applyAlignment="1" applyProtection="1">
      <alignment horizontal="left" vertical="center" wrapText="1" indent="1"/>
      <protection/>
    </xf>
    <xf numFmtId="0" fontId="26" fillId="0" borderId="26" xfId="56" applyFont="1" applyFill="1" applyBorder="1" applyAlignment="1" applyProtection="1">
      <alignment horizontal="left" vertical="center" wrapText="1" indent="1"/>
      <protection/>
    </xf>
    <xf numFmtId="0" fontId="43" fillId="0" borderId="27" xfId="56" applyFont="1" applyFill="1" applyBorder="1" applyAlignment="1" applyProtection="1">
      <alignment horizontal="left" vertical="center" wrapText="1" indent="1"/>
      <protection/>
    </xf>
    <xf numFmtId="0" fontId="40" fillId="0" borderId="12" xfId="0" applyFont="1" applyBorder="1" applyAlignment="1" applyProtection="1">
      <alignment horizontal="left" vertical="center" wrapText="1" indent="1"/>
      <protection/>
    </xf>
    <xf numFmtId="49" fontId="34" fillId="0" borderId="31" xfId="0" applyNumberFormat="1" applyFont="1" applyBorder="1" applyAlignment="1" applyProtection="1">
      <alignment horizontal="left" vertical="center" wrapText="1" indent="2"/>
      <protection/>
    </xf>
    <xf numFmtId="49" fontId="34" fillId="0" borderId="17" xfId="0" applyNumberFormat="1" applyFont="1" applyBorder="1" applyAlignment="1" applyProtection="1">
      <alignment horizontal="left" vertical="center" wrapText="1" indent="2"/>
      <protection/>
    </xf>
    <xf numFmtId="49" fontId="34" fillId="0" borderId="34" xfId="0" applyNumberFormat="1" applyFont="1" applyBorder="1" applyAlignment="1" applyProtection="1">
      <alignment horizontal="left" vertical="center" wrapText="1" indent="2"/>
      <protection/>
    </xf>
    <xf numFmtId="0" fontId="34" fillId="0" borderId="36" xfId="0" applyFont="1" applyBorder="1" applyAlignment="1" applyProtection="1">
      <alignment horizontal="left" vertical="center" wrapText="1" indent="1"/>
      <protection/>
    </xf>
    <xf numFmtId="0" fontId="42" fillId="0" borderId="29" xfId="0" applyFont="1" applyBorder="1" applyAlignment="1" applyProtection="1">
      <alignment horizontal="left" vertical="center" wrapText="1" indent="1"/>
      <protection/>
    </xf>
    <xf numFmtId="0" fontId="17" fillId="0" borderId="0" xfId="56" applyFont="1" applyFill="1" applyProtection="1">
      <alignment/>
      <protection/>
    </xf>
    <xf numFmtId="0" fontId="17" fillId="0" borderId="0" xfId="56" applyFont="1" applyFill="1" applyAlignment="1" applyProtection="1">
      <alignment horizontal="right" vertical="center" indent="1"/>
      <protection/>
    </xf>
    <xf numFmtId="0" fontId="22" fillId="0" borderId="0" xfId="56" applyFont="1" applyFill="1" applyAlignment="1" applyProtection="1">
      <alignment horizontal="center"/>
      <protection/>
    </xf>
    <xf numFmtId="0" fontId="33" fillId="0" borderId="10" xfId="0" applyFont="1" applyFill="1" applyBorder="1" applyAlignment="1" applyProtection="1">
      <alignment horizontal="right" vertical="center"/>
      <protection/>
    </xf>
    <xf numFmtId="0" fontId="48" fillId="0" borderId="12" xfId="56" applyFont="1" applyFill="1" applyBorder="1" applyAlignment="1" applyProtection="1">
      <alignment vertical="center" wrapText="1"/>
      <protection/>
    </xf>
    <xf numFmtId="164" fontId="22" fillId="0" borderId="51" xfId="56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24" fillId="0" borderId="0" xfId="0" applyNumberFormat="1" applyFont="1" applyFill="1" applyAlignment="1" applyProtection="1">
      <alignment horizontal="right" vertical="center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28" fillId="0" borderId="0" xfId="0" applyNumberFormat="1" applyFont="1" applyFill="1" applyAlignment="1" applyProtection="1">
      <alignment horizontal="center" vertical="center" wrapText="1"/>
      <protection/>
    </xf>
    <xf numFmtId="164" fontId="26" fillId="0" borderId="53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49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49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17" fillId="0" borderId="0" xfId="0" applyNumberFormat="1" applyFont="1" applyFill="1" applyAlignment="1" applyProtection="1">
      <alignment horizontal="left" vertical="center" wrapText="1"/>
      <protection/>
    </xf>
    <xf numFmtId="164" fontId="17" fillId="0" borderId="0" xfId="0" applyNumberFormat="1" applyFont="1" applyFill="1" applyAlignment="1" applyProtection="1">
      <alignment vertical="center" wrapText="1"/>
      <protection/>
    </xf>
    <xf numFmtId="164" fontId="50" fillId="0" borderId="0" xfId="0" applyNumberFormat="1" applyFont="1" applyFill="1" applyAlignment="1" applyProtection="1">
      <alignment vertical="center" wrapText="1"/>
      <protection/>
    </xf>
    <xf numFmtId="0" fontId="46" fillId="0" borderId="0" xfId="0" applyFont="1" applyFill="1" applyAlignment="1" applyProtection="1">
      <alignment horizontal="right" vertical="top"/>
      <protection locked="0"/>
    </xf>
    <xf numFmtId="164" fontId="17" fillId="0" borderId="0" xfId="0" applyNumberFormat="1" applyFont="1" applyFill="1" applyAlignment="1">
      <alignment vertical="center" wrapText="1"/>
    </xf>
    <xf numFmtId="0" fontId="51" fillId="0" borderId="18" xfId="0" applyFont="1" applyFill="1" applyBorder="1" applyAlignment="1" applyProtection="1">
      <alignment horizontal="center" vertical="center"/>
      <protection/>
    </xf>
    <xf numFmtId="0" fontId="25" fillId="0" borderId="23" xfId="0" applyFont="1" applyFill="1" applyBorder="1" applyAlignment="1" applyProtection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5" fillId="0" borderId="59" xfId="0" applyFont="1" applyFill="1" applyBorder="1" applyAlignment="1" applyProtection="1">
      <alignment vertical="center"/>
      <protection/>
    </xf>
    <xf numFmtId="0" fontId="25" fillId="0" borderId="60" xfId="0" applyFont="1" applyFill="1" applyBorder="1" applyAlignment="1" applyProtection="1">
      <alignment vertical="center"/>
      <protection/>
    </xf>
    <xf numFmtId="0" fontId="51" fillId="0" borderId="42" xfId="0" applyFont="1" applyFill="1" applyBorder="1" applyAlignment="1" applyProtection="1">
      <alignment horizontal="center" vertical="center"/>
      <protection/>
    </xf>
    <xf numFmtId="0" fontId="25" fillId="0" borderId="61" xfId="0" applyFont="1" applyFill="1" applyBorder="1" applyAlignment="1" applyProtection="1">
      <alignment horizontal="right" vertical="center" indent="1"/>
      <protection/>
    </xf>
    <xf numFmtId="0" fontId="25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8" fillId="0" borderId="0" xfId="0" applyFont="1" applyFill="1" applyAlignment="1">
      <alignment vertical="center"/>
    </xf>
    <xf numFmtId="0" fontId="25" fillId="0" borderId="52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5" fillId="0" borderId="41" xfId="0" applyFont="1" applyFill="1" applyBorder="1" applyAlignment="1" applyProtection="1">
      <alignment horizontal="center" vertical="center" wrapText="1"/>
      <protection/>
    </xf>
    <xf numFmtId="0" fontId="25" fillId="0" borderId="62" xfId="0" applyFont="1" applyFill="1" applyBorder="1" applyAlignment="1" applyProtection="1">
      <alignment horizontal="center" vertical="center" wrapText="1"/>
      <protection/>
    </xf>
    <xf numFmtId="164" fontId="25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42" fillId="0" borderId="13" xfId="0" applyFont="1" applyBorder="1" applyAlignment="1" applyProtection="1">
      <alignment horizontal="left" vertical="center" wrapText="1" indent="1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42" fillId="0" borderId="30" xfId="0" applyFont="1" applyBorder="1" applyAlignment="1" applyProtection="1">
      <alignment horizontal="left" vertical="center" wrapText="1" indent="1"/>
      <protection/>
    </xf>
    <xf numFmtId="0" fontId="52" fillId="0" borderId="0" xfId="0" applyFont="1" applyFill="1" applyAlignment="1">
      <alignment vertical="center" wrapText="1"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49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34" fillId="0" borderId="32" xfId="0" applyFont="1" applyBorder="1" applyAlignment="1" applyProtection="1">
      <alignment horizontal="left" vertical="center" wrapText="1" indent="1"/>
      <protection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0" xfId="0" applyFont="1" applyFill="1" applyAlignment="1">
      <alignment vertical="center" wrapText="1"/>
    </xf>
    <xf numFmtId="0" fontId="34" fillId="0" borderId="25" xfId="0" applyFont="1" applyBorder="1" applyAlignment="1" applyProtection="1">
      <alignment horizontal="left" vertical="center" wrapText="1" indent="1"/>
      <protection/>
    </xf>
    <xf numFmtId="0" fontId="34" fillId="0" borderId="33" xfId="0" applyFont="1" applyBorder="1" applyAlignment="1" applyProtection="1">
      <alignment horizontal="left" vertical="center" wrapText="1" inden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164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0" applyFont="1" applyFill="1" applyBorder="1" applyAlignment="1" applyProtection="1">
      <alignment horizontal="center" vertical="center" wrapTex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4" xfId="0" applyFont="1" applyFill="1" applyBorder="1" applyAlignment="1" applyProtection="1">
      <alignment horizontal="center" vertical="center" wrapText="1"/>
      <protection/>
    </xf>
    <xf numFmtId="49" fontId="27" fillId="0" borderId="36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35" xfId="0" applyFont="1" applyBorder="1" applyAlignment="1" applyProtection="1">
      <alignment horizontal="left" vertical="center" wrapText="1" indent="1"/>
      <protection/>
    </xf>
    <xf numFmtId="49" fontId="27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40" fillId="0" borderId="32" xfId="0" applyFont="1" applyBorder="1" applyAlignment="1" applyProtection="1">
      <alignment horizontal="left" vertical="center" wrapText="1" indent="1"/>
      <protection/>
    </xf>
    <xf numFmtId="164" fontId="32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27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40" fillId="0" borderId="25" xfId="0" applyFont="1" applyBorder="1" applyAlignment="1" applyProtection="1">
      <alignment horizontal="left" vertical="center" wrapText="1" indent="1"/>
      <protection/>
    </xf>
    <xf numFmtId="164" fontId="32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45" xfId="0" applyFont="1" applyFill="1" applyBorder="1" applyAlignment="1" applyProtection="1">
      <alignment horizontal="center" vertical="center" wrapText="1"/>
      <protection/>
    </xf>
    <xf numFmtId="49" fontId="27" fillId="0" borderId="42" xfId="56" applyNumberFormat="1" applyFont="1" applyFill="1" applyBorder="1" applyAlignment="1" applyProtection="1">
      <alignment horizontal="left" vertical="center" wrapText="1" indent="1"/>
      <protection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1" xfId="0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43" fillId="0" borderId="52" xfId="0" applyFont="1" applyFill="1" applyBorder="1" applyAlignment="1" applyProtection="1">
      <alignment horizontal="center" vertical="center" wrapText="1"/>
      <protection/>
    </xf>
    <xf numFmtId="164" fontId="33" fillId="0" borderId="63" xfId="0" applyNumberFormat="1" applyFont="1" applyFill="1" applyBorder="1" applyAlignment="1" applyProtection="1">
      <alignment horizontal="right" vertical="center" wrapText="1" indent="1"/>
      <protection/>
    </xf>
    <xf numFmtId="49" fontId="26" fillId="0" borderId="12" xfId="56" applyNumberFormat="1" applyFont="1" applyFill="1" applyBorder="1" applyAlignment="1" applyProtection="1">
      <alignment horizontal="left" vertical="center" wrapText="1" indent="1"/>
      <protection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23" xfId="0" applyFont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30" xfId="0" applyFont="1" applyBorder="1" applyAlignment="1" applyProtection="1">
      <alignment horizontal="left" vertical="center" wrapText="1" indent="1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horizontal="center" wrapText="1"/>
      <protection/>
    </xf>
    <xf numFmtId="0" fontId="44" fillId="0" borderId="13" xfId="0" applyFont="1" applyBorder="1" applyAlignment="1" applyProtection="1">
      <alignment horizontal="lef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 indent="1"/>
      <protection/>
    </xf>
    <xf numFmtId="164" fontId="2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0" fontId="26" fillId="0" borderId="37" xfId="0" applyFont="1" applyFill="1" applyBorder="1" applyAlignment="1" applyProtection="1">
      <alignment horizontal="center" vertical="center" wrapText="1"/>
      <protection/>
    </xf>
    <xf numFmtId="0" fontId="26" fillId="0" borderId="64" xfId="0" applyFont="1" applyFill="1" applyBorder="1" applyAlignment="1" applyProtection="1">
      <alignment horizontal="center" vertical="center" wrapText="1"/>
      <protection/>
    </xf>
    <xf numFmtId="0" fontId="25" fillId="0" borderId="64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vertical="center" wrapText="1"/>
    </xf>
    <xf numFmtId="49" fontId="27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23" xfId="56" applyFont="1" applyFill="1" applyBorder="1" applyAlignment="1" applyProtection="1">
      <alignment horizontal="lef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5" xfId="56" applyFon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5" xfId="56" applyFont="1" applyFill="1" applyBorder="1" applyAlignment="1" applyProtection="1">
      <alignment horizontal="left" indent="7"/>
      <protection/>
    </xf>
    <xf numFmtId="0" fontId="34" fillId="0" borderId="25" xfId="0" applyFont="1" applyBorder="1" applyAlignment="1" applyProtection="1">
      <alignment horizontal="left" vertical="center" wrapText="1" indent="6"/>
      <protection/>
    </xf>
    <xf numFmtId="0" fontId="27" fillId="0" borderId="32" xfId="56" applyFont="1" applyFill="1" applyBorder="1" applyAlignment="1" applyProtection="1">
      <alignment horizontal="left" vertical="center" wrapText="1" indent="6"/>
      <protection/>
    </xf>
    <xf numFmtId="0" fontId="27" fillId="0" borderId="25" xfId="56" applyFont="1" applyFill="1" applyBorder="1" applyAlignment="1" applyProtection="1">
      <alignment horizontal="left" vertical="center" wrapText="1" indent="6"/>
      <protection/>
    </xf>
    <xf numFmtId="49" fontId="27" fillId="0" borderId="36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33" xfId="56" applyFont="1" applyFill="1" applyBorder="1" applyAlignment="1" applyProtection="1">
      <alignment horizontal="left" vertical="center" wrapText="1" indent="6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3" xfId="56" applyFont="1" applyFill="1" applyBorder="1" applyAlignment="1" applyProtection="1">
      <alignment horizontal="left" vertical="center" wrapText="1" indent="1"/>
      <protection/>
    </xf>
    <xf numFmtId="165" fontId="0" fillId="0" borderId="0" xfId="0" applyNumberFormat="1" applyFill="1" applyAlignment="1">
      <alignment vertical="center" wrapText="1"/>
    </xf>
    <xf numFmtId="0" fontId="34" fillId="0" borderId="33" xfId="0" applyFont="1" applyBorder="1" applyAlignment="1" applyProtection="1">
      <alignment horizontal="left" vertical="center" wrapText="1" indent="6"/>
      <protection/>
    </xf>
    <xf numFmtId="0" fontId="26" fillId="0" borderId="52" xfId="56" applyFont="1" applyFill="1" applyBorder="1" applyAlignment="1" applyProtection="1">
      <alignment horizontal="left" vertical="center" wrapText="1" indent="1"/>
      <protection/>
    </xf>
    <xf numFmtId="0" fontId="42" fillId="0" borderId="44" xfId="0" applyFont="1" applyBorder="1" applyAlignment="1" applyProtection="1">
      <alignment horizontal="left" vertical="center" wrapText="1" indent="1"/>
      <protection/>
    </xf>
    <xf numFmtId="164" fontId="2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65" xfId="0" applyFont="1" applyBorder="1" applyAlignment="1" applyProtection="1">
      <alignment horizontal="left" vertical="center" wrapText="1" indent="1"/>
      <protection/>
    </xf>
    <xf numFmtId="0" fontId="34" fillId="0" borderId="66" xfId="0" applyFont="1" applyBorder="1" applyAlignment="1" applyProtection="1">
      <alignment horizontal="lef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vertical="center" wrapText="1"/>
      <protection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12" xfId="56" applyNumberFormat="1" applyFont="1" applyFill="1" applyBorder="1" applyAlignment="1" applyProtection="1">
      <alignment horizontal="left" vertical="center" wrapText="1" indent="1"/>
      <protection/>
    </xf>
    <xf numFmtId="0" fontId="42" fillId="0" borderId="28" xfId="0" applyFont="1" applyBorder="1" applyAlignment="1" applyProtection="1">
      <alignment horizontal="left" vertical="center" wrapText="1" indent="1"/>
      <protection/>
    </xf>
    <xf numFmtId="164" fontId="33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11" xfId="0" applyFont="1" applyFill="1" applyBorder="1" applyAlignment="1" applyProtection="1">
      <alignment horizontal="left" vertical="center"/>
      <protection/>
    </xf>
    <xf numFmtId="0" fontId="0" fillId="0" borderId="64" xfId="0" applyFont="1" applyFill="1" applyBorder="1" applyAlignment="1" applyProtection="1">
      <alignment vertical="center" wrapText="1"/>
      <protection/>
    </xf>
    <xf numFmtId="0" fontId="28" fillId="0" borderId="67" xfId="0" applyFont="1" applyFill="1" applyBorder="1" applyAlignment="1" applyProtection="1">
      <alignment vertical="center" wrapText="1"/>
      <protection/>
    </xf>
    <xf numFmtId="3" fontId="2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left" vertical="center" wrapText="1"/>
    </xf>
    <xf numFmtId="164" fontId="50" fillId="0" borderId="0" xfId="0" applyNumberFormat="1" applyFont="1" applyFill="1" applyAlignment="1" applyProtection="1">
      <alignment vertical="center" wrapText="1"/>
      <protection locked="0"/>
    </xf>
    <xf numFmtId="0" fontId="46" fillId="0" borderId="0" xfId="0" applyFont="1" applyAlignment="1" applyProtection="1">
      <alignment horizontal="right" vertical="top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49" fontId="25" fillId="0" borderId="23" xfId="0" applyNumberFormat="1" applyFont="1" applyFill="1" applyBorder="1" applyAlignment="1" applyProtection="1">
      <alignment horizontal="right" vertical="center"/>
      <protection locked="0"/>
    </xf>
    <xf numFmtId="0" fontId="25" fillId="0" borderId="42" xfId="0" applyFont="1" applyFill="1" applyBorder="1" applyAlignment="1" applyProtection="1">
      <alignment horizontal="center" vertical="center"/>
      <protection locked="0"/>
    </xf>
    <xf numFmtId="49" fontId="25" fillId="0" borderId="61" xfId="0" applyNumberFormat="1" applyFont="1" applyFill="1" applyBorder="1" applyAlignment="1" applyProtection="1">
      <alignment horizontal="right" vertical="center"/>
      <protection locked="0"/>
    </xf>
    <xf numFmtId="164" fontId="25" fillId="0" borderId="43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Fill="1" applyBorder="1" applyAlignment="1" applyProtection="1">
      <alignment horizontal="right" vertical="center" wrapText="1" indent="1"/>
      <protection/>
    </xf>
    <xf numFmtId="49" fontId="55" fillId="0" borderId="24" xfId="0" applyNumberFormat="1" applyFont="1" applyFill="1" applyBorder="1" applyAlignment="1" applyProtection="1">
      <alignment horizontal="center" vertical="center" wrapText="1"/>
      <protection/>
    </xf>
    <xf numFmtId="0" fontId="55" fillId="0" borderId="18" xfId="56" applyFont="1" applyFill="1" applyBorder="1" applyAlignment="1" applyProtection="1">
      <alignment horizontal="left" vertical="center" wrapText="1" indent="1"/>
      <protection/>
    </xf>
    <xf numFmtId="0" fontId="55" fillId="0" borderId="24" xfId="56" applyFont="1" applyFill="1" applyBorder="1" applyAlignment="1" applyProtection="1">
      <alignment horizontal="left" vertical="center" wrapText="1" indent="1"/>
      <protection/>
    </xf>
    <xf numFmtId="0" fontId="55" fillId="0" borderId="27" xfId="56" applyFont="1" applyFill="1" applyBorder="1" applyAlignment="1" applyProtection="1">
      <alignment horizontal="left" vertical="center" wrapText="1" indent="1"/>
      <protection/>
    </xf>
    <xf numFmtId="49" fontId="55" fillId="0" borderId="36" xfId="0" applyNumberFormat="1" applyFont="1" applyFill="1" applyBorder="1" applyAlignment="1" applyProtection="1">
      <alignment horizontal="center" vertical="center" wrapText="1"/>
      <protection/>
    </xf>
    <xf numFmtId="0" fontId="56" fillId="0" borderId="12" xfId="0" applyFont="1" applyFill="1" applyBorder="1" applyAlignment="1" applyProtection="1">
      <alignment horizontal="center" vertical="center" wrapText="1"/>
      <protection/>
    </xf>
    <xf numFmtId="0" fontId="57" fillId="0" borderId="12" xfId="0" applyFont="1" applyFill="1" applyBorder="1" applyAlignment="1" applyProtection="1">
      <alignment horizontal="left" vertical="center" wrapText="1" indent="1"/>
      <protection/>
    </xf>
    <xf numFmtId="0" fontId="55" fillId="0" borderId="20" xfId="56" applyFont="1" applyFill="1" applyBorder="1" applyAlignment="1" applyProtection="1">
      <alignment horizontal="left" vertical="center" wrapText="1" indent="1"/>
      <protection/>
    </xf>
    <xf numFmtId="0" fontId="57" fillId="0" borderId="12" xfId="56" applyFont="1" applyFill="1" applyBorder="1" applyAlignment="1" applyProtection="1">
      <alignment horizontal="left" vertical="center" wrapText="1" indent="1"/>
      <protection/>
    </xf>
    <xf numFmtId="49" fontId="55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29" xfId="0" applyFont="1" applyFill="1" applyBorder="1" applyAlignment="1" applyProtection="1">
      <alignment horizontal="center" vertical="center" wrapText="1"/>
      <protection/>
    </xf>
    <xf numFmtId="49" fontId="55" fillId="0" borderId="20" xfId="0" applyNumberFormat="1" applyFont="1" applyFill="1" applyBorder="1" applyAlignment="1" applyProtection="1">
      <alignment horizontal="center" vertical="center" wrapText="1"/>
      <protection/>
    </xf>
    <xf numFmtId="0" fontId="55" fillId="0" borderId="21" xfId="56" applyFont="1" applyFill="1" applyBorder="1" applyAlignment="1" applyProtection="1">
      <alignment horizontal="left" vertical="center" wrapText="1" indent="1"/>
      <protection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57" fillId="0" borderId="12" xfId="56" applyNumberFormat="1" applyFont="1" applyFill="1" applyBorder="1" applyAlignment="1" applyProtection="1">
      <alignment horizontal="left" vertical="center" wrapText="1" indent="1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7" fillId="0" borderId="52" xfId="56" applyFont="1" applyFill="1" applyBorder="1" applyAlignment="1" applyProtection="1">
      <alignment horizontal="left" vertical="center" wrapText="1" indent="1"/>
      <protection/>
    </xf>
    <xf numFmtId="164" fontId="22" fillId="0" borderId="63" xfId="0" applyNumberFormat="1" applyFont="1" applyFill="1" applyBorder="1" applyAlignment="1" applyProtection="1">
      <alignment horizontal="right" vertical="center" wrapText="1" indent="1"/>
      <protection/>
    </xf>
    <xf numFmtId="49" fontId="55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53" fillId="0" borderId="45" xfId="0" applyFont="1" applyFill="1" applyBorder="1" applyAlignment="1" applyProtection="1">
      <alignment vertical="center" wrapText="1"/>
      <protection/>
    </xf>
    <xf numFmtId="49" fontId="55" fillId="0" borderId="42" xfId="56" applyNumberFormat="1" applyFont="1" applyFill="1" applyBorder="1" applyAlignment="1" applyProtection="1">
      <alignment horizontal="left" vertical="center" wrapText="1" indent="1"/>
      <protection/>
    </xf>
    <xf numFmtId="0" fontId="55" fillId="0" borderId="42" xfId="56" applyFont="1" applyFill="1" applyBorder="1" applyAlignment="1" applyProtection="1">
      <alignment horizontal="left" vertical="center" wrapText="1" indent="1"/>
      <protection/>
    </xf>
    <xf numFmtId="0" fontId="59" fillId="0" borderId="67" xfId="0" applyFont="1" applyBorder="1" applyAlignment="1" applyProtection="1">
      <alignment horizontal="center" wrapText="1"/>
      <protection/>
    </xf>
    <xf numFmtId="0" fontId="57" fillId="0" borderId="67" xfId="56" applyFont="1" applyFill="1" applyBorder="1" applyAlignment="1" applyProtection="1">
      <alignment horizontal="left" vertical="center" wrapText="1" indent="1"/>
      <protection/>
    </xf>
    <xf numFmtId="0" fontId="60" fillId="0" borderId="67" xfId="0" applyFont="1" applyBorder="1" applyAlignment="1" applyProtection="1">
      <alignment horizontal="center" wrapText="1"/>
      <protection/>
    </xf>
    <xf numFmtId="0" fontId="61" fillId="0" borderId="67" xfId="0" applyFont="1" applyBorder="1" applyAlignment="1" applyProtection="1">
      <alignment horizontal="left" wrapText="1" indent="1"/>
      <protection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left" vertical="center" wrapText="1" indent="1"/>
      <protection/>
    </xf>
    <xf numFmtId="0" fontId="55" fillId="0" borderId="0" xfId="0" applyFont="1" applyFill="1" applyAlignment="1" applyProtection="1">
      <alignment vertical="center" wrapText="1"/>
      <protection/>
    </xf>
    <xf numFmtId="0" fontId="57" fillId="0" borderId="64" xfId="0" applyFont="1" applyFill="1" applyBorder="1" applyAlignment="1" applyProtection="1">
      <alignment horizontal="center" vertical="center" wrapText="1"/>
      <protection/>
    </xf>
    <xf numFmtId="49" fontId="55" fillId="0" borderId="20" xfId="56" applyNumberFormat="1" applyFont="1" applyFill="1" applyBorder="1" applyAlignment="1" applyProtection="1">
      <alignment horizontal="left" vertical="center" wrapText="1" indent="1"/>
      <protection/>
    </xf>
    <xf numFmtId="49" fontId="55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55" fillId="0" borderId="64" xfId="0" applyFont="1" applyFill="1" applyBorder="1" applyAlignment="1" applyProtection="1">
      <alignment vertical="center" wrapText="1"/>
      <protection/>
    </xf>
    <xf numFmtId="0" fontId="57" fillId="0" borderId="67" xfId="0" applyFont="1" applyFill="1" applyBorder="1" applyAlignment="1" applyProtection="1">
      <alignment vertical="center" wrapText="1"/>
      <protection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42" xfId="0" applyFont="1" applyFill="1" applyBorder="1" applyAlignment="1" applyProtection="1">
      <alignment horizontal="center" vertical="center"/>
      <protection locked="0"/>
    </xf>
    <xf numFmtId="164" fontId="22" fillId="0" borderId="43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 applyProtection="1">
      <alignment horizontal="center" vertical="center" wrapText="1"/>
      <protection/>
    </xf>
    <xf numFmtId="49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 applyProtection="1">
      <alignment vertical="center" wrapText="1"/>
      <protection/>
    </xf>
    <xf numFmtId="0" fontId="27" fillId="0" borderId="42" xfId="56" applyFont="1" applyFill="1" applyBorder="1" applyAlignment="1" applyProtection="1">
      <alignment horizontal="left" vertical="center" wrapText="1" indent="1"/>
      <protection/>
    </xf>
    <xf numFmtId="0" fontId="62" fillId="0" borderId="67" xfId="0" applyFont="1" applyBorder="1" applyAlignment="1" applyProtection="1">
      <alignment horizontal="center" wrapText="1"/>
      <protection/>
    </xf>
    <xf numFmtId="0" fontId="26" fillId="0" borderId="67" xfId="56" applyFont="1" applyFill="1" applyBorder="1" applyAlignment="1" applyProtection="1">
      <alignment horizontal="left" vertical="center" wrapText="1" indent="1"/>
      <protection/>
    </xf>
    <xf numFmtId="0" fontId="63" fillId="0" borderId="67" xfId="0" applyFont="1" applyBorder="1" applyAlignment="1" applyProtection="1">
      <alignment horizontal="center" wrapText="1"/>
      <protection/>
    </xf>
    <xf numFmtId="0" fontId="64" fillId="0" borderId="67" xfId="0" applyFont="1" applyBorder="1" applyAlignment="1" applyProtection="1">
      <alignment horizontal="left" wrapText="1" indent="1"/>
      <protection/>
    </xf>
    <xf numFmtId="0" fontId="25" fillId="0" borderId="1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53" xfId="56" applyFont="1" applyFill="1" applyBorder="1" applyAlignment="1" applyProtection="1">
      <alignment horizontal="center" vertical="center" wrapText="1"/>
      <protection/>
    </xf>
    <xf numFmtId="0" fontId="25" fillId="0" borderId="0" xfId="56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left" wrapText="1" indent="1"/>
      <protection/>
    </xf>
    <xf numFmtId="0" fontId="28" fillId="0" borderId="0" xfId="56" applyFont="1" applyFill="1" applyBorder="1" applyAlignment="1" applyProtection="1">
      <alignment horizontal="center"/>
      <protection/>
    </xf>
    <xf numFmtId="164" fontId="24" fillId="0" borderId="10" xfId="56" applyNumberFormat="1" applyFont="1" applyFill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 indent="1"/>
      <protection/>
    </xf>
    <xf numFmtId="164" fontId="22" fillId="0" borderId="0" xfId="56" applyNumberFormat="1" applyFont="1" applyFill="1" applyBorder="1" applyAlignment="1" applyProtection="1">
      <alignment horizontal="center" vertical="center"/>
      <protection/>
    </xf>
    <xf numFmtId="164" fontId="23" fillId="0" borderId="10" xfId="56" applyNumberFormat="1" applyFont="1" applyFill="1" applyBorder="1" applyAlignment="1" applyProtection="1">
      <alignment horizontal="left" vertical="center"/>
      <protection/>
    </xf>
    <xf numFmtId="164" fontId="28" fillId="0" borderId="0" xfId="56" applyNumberFormat="1" applyFont="1" applyFill="1" applyBorder="1" applyAlignment="1" applyProtection="1">
      <alignment horizontal="center" vertical="center"/>
      <protection/>
    </xf>
    <xf numFmtId="164" fontId="24" fillId="0" borderId="10" xfId="56" applyNumberFormat="1" applyFont="1" applyFill="1" applyBorder="1" applyAlignment="1" applyProtection="1">
      <alignment horizontal="left"/>
      <protection/>
    </xf>
    <xf numFmtId="0" fontId="22" fillId="0" borderId="0" xfId="56" applyFont="1" applyFill="1" applyBorder="1" applyAlignment="1" applyProtection="1">
      <alignment horizontal="center"/>
      <protection/>
    </xf>
    <xf numFmtId="164" fontId="23" fillId="0" borderId="10" xfId="56" applyNumberFormat="1" applyFont="1" applyFill="1" applyBorder="1" applyAlignment="1" applyProtection="1">
      <alignment horizontal="left"/>
      <protection/>
    </xf>
    <xf numFmtId="164" fontId="22" fillId="0" borderId="0" xfId="0" applyNumberFormat="1" applyFont="1" applyFill="1" applyBorder="1" applyAlignment="1" applyProtection="1">
      <alignment horizontal="center" vertical="center" wrapText="1"/>
      <protection/>
    </xf>
    <xf numFmtId="164" fontId="49" fillId="0" borderId="0" xfId="0" applyNumberFormat="1" applyFont="1" applyFill="1" applyBorder="1" applyAlignment="1" applyProtection="1">
      <alignment horizontal="center" textRotation="180" wrapText="1"/>
      <protection/>
    </xf>
    <xf numFmtId="164" fontId="25" fillId="0" borderId="53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164" fontId="26" fillId="0" borderId="15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16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3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0" xfId="0" applyFont="1" applyBorder="1" applyAlignment="1">
      <alignment horizontal="left" vertical="center" wrapText="1" indent="1"/>
    </xf>
    <xf numFmtId="164" fontId="27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39" xfId="56" applyNumberFormat="1" applyFont="1" applyFill="1" applyBorder="1" applyAlignment="1" applyProtection="1">
      <alignment horizontal="right" vertical="center" wrapText="1" indent="1"/>
      <protection/>
    </xf>
    <xf numFmtId="164" fontId="65" fillId="0" borderId="19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13" xfId="56" applyNumberFormat="1" applyFont="1" applyFill="1" applyBorder="1" applyAlignment="1" applyProtection="1">
      <alignment horizontal="right" vertical="center" wrapText="1" indent="1"/>
      <protection/>
    </xf>
    <xf numFmtId="164" fontId="65" fillId="0" borderId="32" xfId="56" applyNumberFormat="1" applyFont="1" applyFill="1" applyBorder="1" applyAlignment="1" applyProtection="1">
      <alignment horizontal="right" vertical="center" wrapText="1" indent="1"/>
      <protection/>
    </xf>
    <xf numFmtId="164" fontId="65" fillId="0" borderId="25" xfId="56" applyNumberFormat="1" applyFont="1" applyFill="1" applyBorder="1" applyAlignment="1" applyProtection="1">
      <alignment horizontal="right" vertical="center" wrapText="1" indent="1"/>
      <protection/>
    </xf>
    <xf numFmtId="49" fontId="34" fillId="0" borderId="45" xfId="0" applyNumberFormat="1" applyFont="1" applyBorder="1" applyAlignment="1" applyProtection="1">
      <alignment horizontal="left" vertical="center" wrapText="1" indent="2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6" fillId="0" borderId="13" xfId="56" applyFont="1" applyFill="1" applyBorder="1" applyAlignment="1" applyProtection="1">
      <alignment horizontal="right" vertical="center" wrapText="1" indent="1"/>
      <protection/>
    </xf>
    <xf numFmtId="164" fontId="26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49" fontId="42" fillId="0" borderId="11" xfId="0" applyNumberFormat="1" applyFont="1" applyBorder="1" applyAlignment="1" applyProtection="1">
      <alignment horizontal="left" vertical="center" wrapText="1" indent="1"/>
      <protection/>
    </xf>
    <xf numFmtId="0" fontId="34" fillId="0" borderId="32" xfId="0" applyFont="1" applyBorder="1" applyAlignment="1" applyProtection="1">
      <alignment horizontal="right" vertical="center" wrapText="1" indent="1"/>
      <protection locked="0"/>
    </xf>
    <xf numFmtId="0" fontId="34" fillId="0" borderId="25" xfId="0" applyFont="1" applyBorder="1" applyAlignment="1" applyProtection="1">
      <alignment horizontal="right" vertical="center" wrapText="1" indent="1"/>
      <protection locked="0"/>
    </xf>
    <xf numFmtId="0" fontId="34" fillId="0" borderId="35" xfId="0" applyFont="1" applyBorder="1" applyAlignment="1" applyProtection="1">
      <alignment horizontal="right" vertical="center" wrapText="1" indent="1"/>
      <protection locked="0"/>
    </xf>
    <xf numFmtId="164" fontId="42" fillId="0" borderId="13" xfId="0" applyNumberFormat="1" applyFont="1" applyBorder="1" applyAlignment="1" applyProtection="1">
      <alignment horizontal="right" vertical="center" wrapText="1" indent="1"/>
      <protection/>
    </xf>
    <xf numFmtId="0" fontId="44" fillId="0" borderId="13" xfId="0" applyFont="1" applyBorder="1" applyAlignment="1" applyProtection="1">
      <alignment horizontal="right" vertical="center" wrapText="1" indent="1"/>
      <protection locked="0"/>
    </xf>
    <xf numFmtId="164" fontId="26" fillId="0" borderId="51" xfId="56" applyNumberFormat="1" applyFont="1" applyFill="1" applyBorder="1" applyAlignment="1" applyProtection="1">
      <alignment horizontal="righ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6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3"/>
      <protection/>
    </xf>
    <xf numFmtId="164" fontId="0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49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49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49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2"/>
      <protection/>
    </xf>
    <xf numFmtId="164" fontId="66" fillId="0" borderId="0" xfId="56" applyNumberFormat="1" applyFont="1" applyFill="1" applyBorder="1" applyAlignment="1" applyProtection="1">
      <alignment horizontal="center" vertical="center" wrapText="1"/>
      <protection/>
    </xf>
    <xf numFmtId="164" fontId="66" fillId="0" borderId="0" xfId="56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right"/>
      <protection/>
    </xf>
    <xf numFmtId="0" fontId="26" fillId="0" borderId="22" xfId="56" applyFont="1" applyFill="1" applyBorder="1" applyAlignment="1" applyProtection="1">
      <alignment horizontal="center" vertical="center" wrapText="1"/>
      <protection/>
    </xf>
    <xf numFmtId="0" fontId="26" fillId="0" borderId="18" xfId="56" applyFont="1" applyFill="1" applyBorder="1" applyAlignment="1" applyProtection="1">
      <alignment horizontal="center" vertical="center" wrapText="1"/>
      <protection/>
    </xf>
    <xf numFmtId="0" fontId="26" fillId="0" borderId="23" xfId="56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center" vertical="center"/>
      <protection/>
    </xf>
    <xf numFmtId="0" fontId="27" fillId="0" borderId="12" xfId="56" applyFont="1" applyFill="1" applyBorder="1" applyAlignment="1" applyProtection="1">
      <alignment horizontal="center" vertical="center"/>
      <protection/>
    </xf>
    <xf numFmtId="0" fontId="27" fillId="0" borderId="13" xfId="56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center" vertical="center"/>
      <protection/>
    </xf>
    <xf numFmtId="0" fontId="27" fillId="0" borderId="20" xfId="56" applyFont="1" applyFill="1" applyBorder="1" applyProtection="1">
      <alignment/>
      <protection/>
    </xf>
    <xf numFmtId="166" fontId="27" fillId="0" borderId="65" xfId="40" applyNumberFormat="1" applyFont="1" applyFill="1" applyBorder="1" applyAlignment="1" applyProtection="1">
      <alignment/>
      <protection locked="0"/>
    </xf>
    <xf numFmtId="0" fontId="27" fillId="0" borderId="17" xfId="56" applyFont="1" applyFill="1" applyBorder="1" applyAlignment="1" applyProtection="1">
      <alignment horizontal="center" vertical="center"/>
      <protection/>
    </xf>
    <xf numFmtId="0" fontId="46" fillId="0" borderId="24" xfId="0" applyFont="1" applyBorder="1" applyAlignment="1">
      <alignment horizontal="justify" wrapText="1"/>
    </xf>
    <xf numFmtId="166" fontId="27" fillId="0" borderId="19" xfId="40" applyNumberFormat="1" applyFont="1" applyFill="1" applyBorder="1" applyAlignment="1" applyProtection="1">
      <alignment/>
      <protection locked="0"/>
    </xf>
    <xf numFmtId="0" fontId="46" fillId="0" borderId="24" xfId="0" applyFont="1" applyBorder="1" applyAlignment="1">
      <alignment wrapText="1"/>
    </xf>
    <xf numFmtId="0" fontId="27" fillId="0" borderId="34" xfId="56" applyFont="1" applyFill="1" applyBorder="1" applyAlignment="1" applyProtection="1">
      <alignment horizontal="center" vertical="center"/>
      <protection/>
    </xf>
    <xf numFmtId="166" fontId="27" fillId="0" borderId="43" xfId="40" applyNumberFormat="1" applyFont="1" applyFill="1" applyBorder="1" applyAlignment="1" applyProtection="1">
      <alignment/>
      <protection locked="0"/>
    </xf>
    <xf numFmtId="0" fontId="46" fillId="0" borderId="42" xfId="0" applyFont="1" applyBorder="1" applyAlignment="1">
      <alignment wrapText="1"/>
    </xf>
    <xf numFmtId="0" fontId="25" fillId="0" borderId="11" xfId="56" applyFont="1" applyFill="1" applyBorder="1" applyAlignment="1" applyProtection="1">
      <alignment horizontal="left"/>
      <protection/>
    </xf>
    <xf numFmtId="166" fontId="26" fillId="0" borderId="13" xfId="40" applyNumberFormat="1" applyFont="1" applyFill="1" applyBorder="1" applyAlignment="1" applyProtection="1">
      <alignment/>
      <protection/>
    </xf>
    <xf numFmtId="0" fontId="27" fillId="0" borderId="69" xfId="56" applyFont="1" applyFill="1" applyBorder="1" applyAlignment="1">
      <alignment horizontal="justify" vertical="center" wrapText="1"/>
      <protection/>
    </xf>
    <xf numFmtId="164" fontId="22" fillId="0" borderId="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 applyProtection="1">
      <alignment horizontal="right" wrapText="1"/>
      <protection/>
    </xf>
    <xf numFmtId="164" fontId="26" fillId="0" borderId="29" xfId="0" applyNumberFormat="1" applyFont="1" applyFill="1" applyBorder="1" applyAlignment="1" applyProtection="1">
      <alignment horizontal="center" vertical="center" wrapText="1"/>
      <protection/>
    </xf>
    <xf numFmtId="164" fontId="26" fillId="0" borderId="21" xfId="0" applyNumberFormat="1" applyFont="1" applyFill="1" applyBorder="1" applyAlignment="1" applyProtection="1">
      <alignment horizontal="center" vertical="center" wrapText="1"/>
      <protection/>
    </xf>
    <xf numFmtId="164" fontId="26" fillId="0" borderId="30" xfId="0" applyNumberFormat="1" applyFont="1" applyFill="1" applyBorder="1" applyAlignment="1" applyProtection="1">
      <alignment horizontal="center" vertical="center" wrapText="1"/>
      <protection/>
    </xf>
    <xf numFmtId="164" fontId="2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4" xfId="0" applyNumberFormat="1" applyFont="1" applyFill="1" applyBorder="1" applyAlignment="1" applyProtection="1">
      <alignment vertical="center" wrapText="1"/>
      <protection locked="0"/>
    </xf>
    <xf numFmtId="1" fontId="27" fillId="0" borderId="24" xfId="0" applyNumberFormat="1" applyFont="1" applyFill="1" applyBorder="1" applyAlignment="1" applyProtection="1">
      <alignment vertical="center" wrapText="1"/>
      <protection locked="0"/>
    </xf>
    <xf numFmtId="164" fontId="27" fillId="0" borderId="25" xfId="0" applyNumberFormat="1" applyFont="1" applyFill="1" applyBorder="1" applyAlignment="1" applyProtection="1">
      <alignment vertical="center" wrapText="1"/>
      <protection/>
    </xf>
    <xf numFmtId="164" fontId="0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36" xfId="0" applyNumberFormat="1" applyFont="1" applyFill="1" applyBorder="1" applyAlignment="1" applyProtection="1">
      <alignment vertical="center" wrapText="1"/>
      <protection locked="0"/>
    </xf>
    <xf numFmtId="1" fontId="27" fillId="0" borderId="36" xfId="0" applyNumberFormat="1" applyFont="1" applyFill="1" applyBorder="1" applyAlignment="1" applyProtection="1">
      <alignment vertical="center" wrapText="1"/>
      <protection locked="0"/>
    </xf>
    <xf numFmtId="164" fontId="27" fillId="0" borderId="35" xfId="0" applyNumberFormat="1" applyFont="1" applyFill="1" applyBorder="1" applyAlignment="1" applyProtection="1">
      <alignment vertical="center" wrapText="1"/>
      <protection/>
    </xf>
    <xf numFmtId="164" fontId="25" fillId="0" borderId="11" xfId="0" applyNumberFormat="1" applyFont="1" applyFill="1" applyBorder="1" applyAlignment="1" applyProtection="1">
      <alignment horizontal="left" vertical="center" wrapText="1"/>
      <protection/>
    </xf>
    <xf numFmtId="164" fontId="26" fillId="0" borderId="12" xfId="0" applyNumberFormat="1" applyFont="1" applyFill="1" applyBorder="1" applyAlignment="1" applyProtection="1">
      <alignment vertical="center" wrapText="1"/>
      <protection/>
    </xf>
    <xf numFmtId="164" fontId="26" fillId="18" borderId="12" xfId="0" applyNumberFormat="1" applyFont="1" applyFill="1" applyBorder="1" applyAlignment="1" applyProtection="1">
      <alignment vertical="center" wrapText="1"/>
      <protection/>
    </xf>
    <xf numFmtId="164" fontId="26" fillId="0" borderId="13" xfId="0" applyNumberFormat="1" applyFont="1" applyFill="1" applyBorder="1" applyAlignment="1" applyProtection="1">
      <alignment vertical="center" wrapText="1"/>
      <protection/>
    </xf>
    <xf numFmtId="164" fontId="5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50" fillId="0" borderId="24" xfId="0" applyNumberFormat="1" applyFont="1" applyFill="1" applyBorder="1" applyAlignment="1" applyProtection="1">
      <alignment vertical="center" wrapText="1"/>
      <protection locked="0"/>
    </xf>
    <xf numFmtId="1" fontId="50" fillId="0" borderId="24" xfId="0" applyNumberFormat="1" applyFont="1" applyFill="1" applyBorder="1" applyAlignment="1" applyProtection="1">
      <alignment vertical="center" wrapText="1"/>
      <protection locked="0"/>
    </xf>
    <xf numFmtId="164" fontId="50" fillId="0" borderId="25" xfId="0" applyNumberFormat="1" applyFont="1" applyFill="1" applyBorder="1" applyAlignment="1" applyProtection="1">
      <alignment vertical="center" wrapText="1"/>
      <protection/>
    </xf>
    <xf numFmtId="164" fontId="5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50" fillId="0" borderId="36" xfId="0" applyNumberFormat="1" applyFont="1" applyFill="1" applyBorder="1" applyAlignment="1" applyProtection="1">
      <alignment vertical="center" wrapText="1"/>
      <protection locked="0"/>
    </xf>
    <xf numFmtId="164" fontId="50" fillId="0" borderId="35" xfId="0" applyNumberFormat="1" applyFont="1" applyFill="1" applyBorder="1" applyAlignment="1" applyProtection="1">
      <alignment vertical="center" wrapText="1"/>
      <protection/>
    </xf>
    <xf numFmtId="164" fontId="25" fillId="0" borderId="12" xfId="0" applyNumberFormat="1" applyFont="1" applyFill="1" applyBorder="1" applyAlignment="1" applyProtection="1">
      <alignment vertical="center" wrapText="1"/>
      <protection/>
    </xf>
    <xf numFmtId="164" fontId="25" fillId="18" borderId="12" xfId="0" applyNumberFormat="1" applyFont="1" applyFill="1" applyBorder="1" applyAlignment="1" applyProtection="1">
      <alignment vertical="center" wrapText="1"/>
      <protection/>
    </xf>
    <xf numFmtId="164" fontId="25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25" fillId="0" borderId="52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49" fontId="27" fillId="0" borderId="22" xfId="0" applyNumberFormat="1" applyFont="1" applyFill="1" applyBorder="1" applyAlignment="1" applyProtection="1">
      <alignment vertical="center"/>
      <protection/>
    </xf>
    <xf numFmtId="3" fontId="27" fillId="0" borderId="18" xfId="0" applyNumberFormat="1" applyFont="1" applyFill="1" applyBorder="1" applyAlignment="1" applyProtection="1">
      <alignment vertical="center"/>
      <protection locked="0"/>
    </xf>
    <xf numFmtId="3" fontId="27" fillId="0" borderId="23" xfId="0" applyNumberFormat="1" applyFont="1" applyFill="1" applyBorder="1" applyAlignment="1" applyProtection="1">
      <alignment vertical="center"/>
      <protection/>
    </xf>
    <xf numFmtId="49" fontId="65" fillId="0" borderId="17" xfId="0" applyNumberFormat="1" applyFont="1" applyFill="1" applyBorder="1" applyAlignment="1" applyProtection="1">
      <alignment horizontal="left" vertical="center" indent="1"/>
      <protection/>
    </xf>
    <xf numFmtId="3" fontId="65" fillId="0" borderId="24" xfId="0" applyNumberFormat="1" applyFont="1" applyFill="1" applyBorder="1" applyAlignment="1" applyProtection="1">
      <alignment vertical="center"/>
      <protection locked="0"/>
    </xf>
    <xf numFmtId="3" fontId="65" fillId="0" borderId="25" xfId="0" applyNumberFormat="1" applyFont="1" applyFill="1" applyBorder="1" applyAlignment="1" applyProtection="1">
      <alignment vertical="center"/>
      <protection/>
    </xf>
    <xf numFmtId="49" fontId="27" fillId="0" borderId="17" xfId="0" applyNumberFormat="1" applyFont="1" applyFill="1" applyBorder="1" applyAlignment="1" applyProtection="1">
      <alignment vertical="center"/>
      <protection/>
    </xf>
    <xf numFmtId="3" fontId="27" fillId="0" borderId="24" xfId="0" applyNumberFormat="1" applyFont="1" applyFill="1" applyBorder="1" applyAlignment="1" applyProtection="1">
      <alignment vertical="center"/>
      <protection locked="0"/>
    </xf>
    <xf numFmtId="3" fontId="27" fillId="0" borderId="25" xfId="0" applyNumberFormat="1" applyFont="1" applyFill="1" applyBorder="1" applyAlignment="1" applyProtection="1">
      <alignment vertical="center"/>
      <protection/>
    </xf>
    <xf numFmtId="49" fontId="27" fillId="0" borderId="34" xfId="0" applyNumberFormat="1" applyFont="1" applyFill="1" applyBorder="1" applyAlignment="1" applyProtection="1">
      <alignment vertical="center"/>
      <protection locked="0"/>
    </xf>
    <xf numFmtId="3" fontId="27" fillId="0" borderId="36" xfId="0" applyNumberFormat="1" applyFont="1" applyFill="1" applyBorder="1" applyAlignment="1" applyProtection="1">
      <alignment vertical="center"/>
      <protection locked="0"/>
    </xf>
    <xf numFmtId="49" fontId="25" fillId="0" borderId="11" xfId="0" applyNumberFormat="1" applyFont="1" applyFill="1" applyBorder="1" applyAlignment="1" applyProtection="1">
      <alignment vertical="center"/>
      <protection/>
    </xf>
    <xf numFmtId="3" fontId="27" fillId="0" borderId="12" xfId="0" applyNumberFormat="1" applyFont="1" applyFill="1" applyBorder="1" applyAlignment="1" applyProtection="1">
      <alignment vertical="center"/>
      <protection/>
    </xf>
    <xf numFmtId="3" fontId="27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7" fillId="0" borderId="17" xfId="0" applyNumberFormat="1" applyFont="1" applyFill="1" applyBorder="1" applyAlignment="1" applyProtection="1">
      <alignment horizontal="left" vertical="center"/>
      <protection/>
    </xf>
    <xf numFmtId="49" fontId="27" fillId="0" borderId="17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14" xfId="0" applyFont="1" applyFill="1" applyBorder="1" applyAlignment="1" applyProtection="1">
      <alignment horizontal="center"/>
      <protection/>
    </xf>
    <xf numFmtId="0" fontId="25" fillId="0" borderId="15" xfId="0" applyFont="1" applyFill="1" applyBorder="1" applyAlignment="1" applyProtection="1">
      <alignment horizontal="center"/>
      <protection/>
    </xf>
    <xf numFmtId="0" fontId="27" fillId="0" borderId="22" xfId="0" applyFont="1" applyFill="1" applyBorder="1" applyAlignment="1" applyProtection="1">
      <alignment horizontal="left" indent="1"/>
      <protection locked="0"/>
    </xf>
    <xf numFmtId="0" fontId="27" fillId="0" borderId="23" xfId="0" applyFont="1" applyFill="1" applyBorder="1" applyAlignment="1" applyProtection="1">
      <alignment horizontal="right" indent="1"/>
      <protection locked="0"/>
    </xf>
    <xf numFmtId="0" fontId="27" fillId="0" borderId="34" xfId="0" applyFont="1" applyFill="1" applyBorder="1" applyAlignment="1" applyProtection="1">
      <alignment horizontal="left" indent="1"/>
      <protection locked="0"/>
    </xf>
    <xf numFmtId="0" fontId="27" fillId="0" borderId="35" xfId="0" applyFont="1" applyFill="1" applyBorder="1" applyAlignment="1" applyProtection="1">
      <alignment horizontal="right" indent="1"/>
      <protection locked="0"/>
    </xf>
    <xf numFmtId="0" fontId="25" fillId="0" borderId="11" xfId="0" applyFont="1" applyFill="1" applyBorder="1" applyAlignment="1" applyProtection="1">
      <alignment horizontal="left" indent="1"/>
      <protection/>
    </xf>
    <xf numFmtId="0" fontId="26" fillId="0" borderId="13" xfId="0" applyFont="1" applyFill="1" applyBorder="1" applyAlignment="1" applyProtection="1">
      <alignment horizontal="right" inden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25" fillId="0" borderId="18" xfId="0" applyFont="1" applyFill="1" applyBorder="1" applyAlignment="1" applyProtection="1">
      <alignment horizontal="center" vertical="center"/>
      <protection/>
    </xf>
    <xf numFmtId="49" fontId="25" fillId="0" borderId="23" xfId="0" applyNumberFormat="1" applyFont="1" applyFill="1" applyBorder="1" applyAlignment="1" applyProtection="1">
      <alignment horizontal="right" vertical="center"/>
      <protection/>
    </xf>
    <xf numFmtId="0" fontId="25" fillId="0" borderId="42" xfId="0" applyFont="1" applyFill="1" applyBorder="1" applyAlignment="1" applyProtection="1">
      <alignment horizontal="center" vertical="center"/>
      <protection/>
    </xf>
    <xf numFmtId="49" fontId="25" fillId="0" borderId="61" xfId="0" applyNumberFormat="1" applyFont="1" applyFill="1" applyBorder="1" applyAlignment="1" applyProtection="1">
      <alignment horizontal="right" vertical="center"/>
      <protection/>
    </xf>
    <xf numFmtId="164" fontId="2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6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164" fontId="2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right" vertical="center" wrapText="1" indent="1"/>
      <protection/>
    </xf>
    <xf numFmtId="3" fontId="2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 locked="0"/>
    </xf>
    <xf numFmtId="0" fontId="66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vertical="center" wrapText="1"/>
      <protection/>
    </xf>
    <xf numFmtId="164" fontId="27" fillId="0" borderId="20" xfId="0" applyNumberFormat="1" applyFont="1" applyFill="1" applyBorder="1" applyAlignment="1" applyProtection="1">
      <alignment vertical="center"/>
      <protection locked="0"/>
    </xf>
    <xf numFmtId="164" fontId="26" fillId="0" borderId="32" xfId="0" applyNumberFormat="1" applyFont="1" applyFill="1" applyBorder="1" applyAlignment="1" applyProtection="1">
      <alignment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 applyProtection="1">
      <alignment vertical="center" wrapText="1"/>
      <protection/>
    </xf>
    <xf numFmtId="164" fontId="27" fillId="0" borderId="24" xfId="0" applyNumberFormat="1" applyFont="1" applyFill="1" applyBorder="1" applyAlignment="1" applyProtection="1">
      <alignment vertical="center"/>
      <protection locked="0"/>
    </xf>
    <xf numFmtId="164" fontId="26" fillId="0" borderId="25" xfId="0" applyNumberFormat="1" applyFont="1" applyFill="1" applyBorder="1" applyAlignment="1" applyProtection="1">
      <alignment vertical="center"/>
      <protection/>
    </xf>
    <xf numFmtId="0" fontId="27" fillId="0" borderId="34" xfId="0" applyFont="1" applyFill="1" applyBorder="1" applyAlignment="1" applyProtection="1">
      <alignment horizontal="center" vertical="center"/>
      <protection/>
    </xf>
    <xf numFmtId="0" fontId="27" fillId="0" borderId="36" xfId="0" applyFont="1" applyFill="1" applyBorder="1" applyAlignment="1" applyProtection="1">
      <alignment vertical="center" wrapText="1"/>
      <protection/>
    </xf>
    <xf numFmtId="164" fontId="27" fillId="0" borderId="36" xfId="0" applyNumberFormat="1" applyFont="1" applyFill="1" applyBorder="1" applyAlignment="1" applyProtection="1">
      <alignment vertical="center"/>
      <protection locked="0"/>
    </xf>
    <xf numFmtId="164" fontId="26" fillId="0" borderId="35" xfId="0" applyNumberFormat="1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vertical="center" wrapText="1"/>
      <protection/>
    </xf>
    <xf numFmtId="164" fontId="26" fillId="0" borderId="12" xfId="0" applyNumberFormat="1" applyFont="1" applyFill="1" applyBorder="1" applyAlignment="1" applyProtection="1">
      <alignment vertical="center"/>
      <protection/>
    </xf>
    <xf numFmtId="164" fontId="26" fillId="0" borderId="13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70" xfId="0" applyFill="1" applyBorder="1" applyAlignment="1" applyProtection="1">
      <alignment/>
      <protection/>
    </xf>
    <xf numFmtId="0" fontId="24" fillId="0" borderId="70" xfId="0" applyFont="1" applyFill="1" applyBorder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20E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74"/>
  <sheetViews>
    <sheetView view="pageBreakPreview" zoomScaleNormal="120" zoomScaleSheetLayoutView="100" workbookViewId="0" topLeftCell="B1">
      <selection activeCell="K12" activeCellId="1" sqref="H16:I17 K12"/>
    </sheetView>
  </sheetViews>
  <sheetFormatPr defaultColWidth="9.00390625" defaultRowHeight="12.75"/>
  <cols>
    <col min="1" max="1" width="11.00390625" style="1" customWidth="1"/>
    <col min="2" max="2" width="58.125" style="1" customWidth="1"/>
    <col min="3" max="3" width="15.50390625" style="2" customWidth="1"/>
    <col min="4" max="4" width="15.125" style="2" customWidth="1"/>
    <col min="5" max="5" width="14.00390625" style="2" customWidth="1"/>
    <col min="6" max="7" width="14.125" style="2" customWidth="1"/>
    <col min="8" max="8" width="0" style="2" hidden="1" customWidth="1"/>
    <col min="9" max="9" width="0" style="3" hidden="1" customWidth="1"/>
    <col min="10" max="16384" width="9.375" style="3" customWidth="1"/>
  </cols>
  <sheetData>
    <row r="1" spans="1:8" ht="15.75" customHeight="1">
      <c r="A1" s="437" t="s">
        <v>0</v>
      </c>
      <c r="B1" s="437"/>
      <c r="C1" s="437"/>
      <c r="D1" s="4"/>
      <c r="E1" s="4"/>
      <c r="F1" s="4"/>
      <c r="G1" s="4"/>
      <c r="H1" s="4"/>
    </row>
    <row r="2" spans="1:8" ht="15.75" customHeight="1">
      <c r="A2" s="438" t="s">
        <v>1</v>
      </c>
      <c r="B2" s="438"/>
      <c r="C2" s="5"/>
      <c r="D2" s="5"/>
      <c r="E2" s="5"/>
      <c r="F2" s="5" t="s">
        <v>2</v>
      </c>
      <c r="G2" s="5"/>
      <c r="H2" s="5" t="s">
        <v>2</v>
      </c>
    </row>
    <row r="3" spans="1:8" ht="44.25" customHeight="1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</row>
    <row r="4" spans="1:8" s="12" customFormat="1" ht="12" customHeight="1">
      <c r="A4" s="9">
        <v>1</v>
      </c>
      <c r="B4" s="10">
        <v>2</v>
      </c>
      <c r="C4" s="11">
        <v>3</v>
      </c>
      <c r="D4" s="9">
        <v>4</v>
      </c>
      <c r="E4" s="10">
        <v>5</v>
      </c>
      <c r="F4" s="9">
        <v>6</v>
      </c>
      <c r="G4" s="10">
        <v>7</v>
      </c>
      <c r="H4" s="9">
        <v>8</v>
      </c>
    </row>
    <row r="5" spans="1:9" s="17" customFormat="1" ht="12" customHeight="1">
      <c r="A5" s="13" t="s">
        <v>11</v>
      </c>
      <c r="B5" s="14" t="s">
        <v>12</v>
      </c>
      <c r="C5" s="15">
        <f aca="true" t="shared" si="0" ref="C5:H5">+C6+C13+C23</f>
        <v>129985</v>
      </c>
      <c r="D5" s="15">
        <f t="shared" si="0"/>
        <v>0</v>
      </c>
      <c r="E5" s="15">
        <f t="shared" si="0"/>
        <v>129985</v>
      </c>
      <c r="F5" s="15">
        <f t="shared" si="0"/>
        <v>0</v>
      </c>
      <c r="G5" s="15">
        <f t="shared" si="0"/>
        <v>129985</v>
      </c>
      <c r="H5" s="15">
        <f t="shared" si="0"/>
        <v>82540</v>
      </c>
      <c r="I5" s="16">
        <f>H5/E5</f>
        <v>0.6349963457321999</v>
      </c>
    </row>
    <row r="6" spans="1:9" s="17" customFormat="1" ht="12" customHeight="1">
      <c r="A6" s="18" t="s">
        <v>13</v>
      </c>
      <c r="B6" s="19" t="s">
        <v>14</v>
      </c>
      <c r="C6" s="20">
        <f aca="true" t="shared" si="1" ref="C6:H6">+C7+C10+C11+C12+C9+C8</f>
        <v>75898</v>
      </c>
      <c r="D6" s="20">
        <f t="shared" si="1"/>
        <v>0</v>
      </c>
      <c r="E6" s="20">
        <f t="shared" si="1"/>
        <v>75898</v>
      </c>
      <c r="F6" s="20">
        <f t="shared" si="1"/>
        <v>0</v>
      </c>
      <c r="G6" s="20">
        <f t="shared" si="1"/>
        <v>75898</v>
      </c>
      <c r="H6" s="20">
        <f t="shared" si="1"/>
        <v>51518</v>
      </c>
      <c r="I6" s="16">
        <f>H6/E6</f>
        <v>0.6787794144773248</v>
      </c>
    </row>
    <row r="7" spans="1:9" s="17" customFormat="1" ht="12" customHeight="1">
      <c r="A7" s="21" t="s">
        <v>15</v>
      </c>
      <c r="B7" s="22" t="s">
        <v>16</v>
      </c>
      <c r="C7" s="23"/>
      <c r="D7" s="23"/>
      <c r="E7" s="23"/>
      <c r="F7" s="23"/>
      <c r="G7" s="23"/>
      <c r="H7" s="23"/>
      <c r="I7" s="16"/>
    </row>
    <row r="8" spans="1:9" s="17" customFormat="1" ht="12" customHeight="1">
      <c r="A8" s="21"/>
      <c r="B8" s="24" t="s">
        <v>17</v>
      </c>
      <c r="C8" s="23">
        <v>75498</v>
      </c>
      <c r="D8" s="23"/>
      <c r="E8" s="23">
        <v>75498</v>
      </c>
      <c r="F8" s="23"/>
      <c r="G8" s="23">
        <v>75498</v>
      </c>
      <c r="H8" s="23">
        <v>50569</v>
      </c>
      <c r="I8" s="16">
        <f>H8/E8</f>
        <v>0.6698058226707992</v>
      </c>
    </row>
    <row r="9" spans="1:9" s="17" customFormat="1" ht="12" customHeight="1">
      <c r="A9" s="21"/>
      <c r="B9" s="25" t="s">
        <v>18</v>
      </c>
      <c r="C9" s="23"/>
      <c r="D9" s="23"/>
      <c r="E9" s="23"/>
      <c r="F9" s="23"/>
      <c r="G9" s="23"/>
      <c r="H9" s="23"/>
      <c r="I9" s="16"/>
    </row>
    <row r="10" spans="1:9" s="17" customFormat="1" ht="12" customHeight="1">
      <c r="A10" s="21" t="s">
        <v>19</v>
      </c>
      <c r="B10" s="26" t="s">
        <v>20</v>
      </c>
      <c r="C10" s="23"/>
      <c r="D10" s="23"/>
      <c r="E10" s="23"/>
      <c r="F10" s="23"/>
      <c r="G10" s="23"/>
      <c r="H10" s="23"/>
      <c r="I10" s="16"/>
    </row>
    <row r="11" spans="1:9" s="17" customFormat="1" ht="12" customHeight="1">
      <c r="A11" s="21" t="s">
        <v>21</v>
      </c>
      <c r="B11" s="26" t="s">
        <v>22</v>
      </c>
      <c r="C11" s="23">
        <v>400</v>
      </c>
      <c r="D11" s="23"/>
      <c r="E11" s="23">
        <v>400</v>
      </c>
      <c r="F11" s="23"/>
      <c r="G11" s="23">
        <v>400</v>
      </c>
      <c r="H11" s="23">
        <v>722</v>
      </c>
      <c r="I11" s="16">
        <f>H11/E11</f>
        <v>1.805</v>
      </c>
    </row>
    <row r="12" spans="1:9" s="17" customFormat="1" ht="12" customHeight="1">
      <c r="A12" s="21" t="s">
        <v>23</v>
      </c>
      <c r="B12" s="27" t="s">
        <v>24</v>
      </c>
      <c r="C12" s="23"/>
      <c r="D12" s="23"/>
      <c r="E12" s="23"/>
      <c r="F12" s="23"/>
      <c r="G12" s="23"/>
      <c r="H12" s="23">
        <v>227</v>
      </c>
      <c r="I12" s="16"/>
    </row>
    <row r="13" spans="1:9" s="17" customFormat="1" ht="12" customHeight="1">
      <c r="A13" s="18" t="s">
        <v>25</v>
      </c>
      <c r="B13" s="14" t="s">
        <v>26</v>
      </c>
      <c r="C13" s="28">
        <f>+C14+C15+C16+C17+C18+C19+C21+C22</f>
        <v>50087</v>
      </c>
      <c r="D13" s="28">
        <f>+D14+D15+D16+D17+D18+D19+D21+D22</f>
        <v>0</v>
      </c>
      <c r="E13" s="28">
        <f>+E14+E15+E16+E17+E18+E19+E21+E22</f>
        <v>50087</v>
      </c>
      <c r="F13" s="28">
        <f>+F14+F15+F16+F17+F18+F19+F21+F22</f>
        <v>0</v>
      </c>
      <c r="G13" s="28">
        <f>+G14+G15+G16+G17+G18+G19+G21+G22</f>
        <v>50087</v>
      </c>
      <c r="H13" s="28">
        <f>+H14+H15+H16+H17+H18+H19+H21+H22+H20</f>
        <v>28963</v>
      </c>
      <c r="I13" s="16">
        <f>H13/E13</f>
        <v>0.5782538383213209</v>
      </c>
    </row>
    <row r="14" spans="1:9" s="17" customFormat="1" ht="12" customHeight="1">
      <c r="A14" s="29" t="s">
        <v>27</v>
      </c>
      <c r="B14" s="30" t="s">
        <v>28</v>
      </c>
      <c r="C14" s="31"/>
      <c r="D14" s="31"/>
      <c r="E14" s="31"/>
      <c r="F14" s="31"/>
      <c r="G14" s="31"/>
      <c r="H14" s="31"/>
      <c r="I14" s="16"/>
    </row>
    <row r="15" spans="1:9" s="17" customFormat="1" ht="12" customHeight="1">
      <c r="A15" s="21" t="s">
        <v>29</v>
      </c>
      <c r="B15" s="32" t="s">
        <v>30</v>
      </c>
      <c r="C15" s="33">
        <f>10200+14000</f>
        <v>24200</v>
      </c>
      <c r="D15" s="33"/>
      <c r="E15" s="33">
        <v>24200</v>
      </c>
      <c r="F15" s="33"/>
      <c r="G15" s="33">
        <v>24200</v>
      </c>
      <c r="H15" s="33">
        <v>9449</v>
      </c>
      <c r="I15" s="16">
        <f>H15/E15</f>
        <v>0.39045454545454544</v>
      </c>
    </row>
    <row r="16" spans="1:9" s="17" customFormat="1" ht="12" customHeight="1">
      <c r="A16" s="21" t="s">
        <v>31</v>
      </c>
      <c r="B16" s="32" t="s">
        <v>32</v>
      </c>
      <c r="C16" s="33">
        <v>4150</v>
      </c>
      <c r="D16" s="33"/>
      <c r="E16" s="33">
        <v>4150</v>
      </c>
      <c r="F16" s="33"/>
      <c r="G16" s="33">
        <v>4150</v>
      </c>
      <c r="H16" s="33">
        <f>3136</f>
        <v>3136</v>
      </c>
      <c r="I16" s="16">
        <f>H16/E16</f>
        <v>0.7556626506024097</v>
      </c>
    </row>
    <row r="17" spans="1:9" s="17" customFormat="1" ht="12" customHeight="1">
      <c r="A17" s="21" t="s">
        <v>33</v>
      </c>
      <c r="B17" s="32" t="s">
        <v>34</v>
      </c>
      <c r="C17" s="33">
        <v>12013</v>
      </c>
      <c r="D17" s="33"/>
      <c r="E17" s="33">
        <v>12013</v>
      </c>
      <c r="F17" s="33"/>
      <c r="G17" s="33">
        <v>12013</v>
      </c>
      <c r="H17" s="33">
        <v>9517</v>
      </c>
      <c r="I17" s="16">
        <f>H17/E17</f>
        <v>0.7922250894863897</v>
      </c>
    </row>
    <row r="18" spans="1:9" s="17" customFormat="1" ht="12" customHeight="1">
      <c r="A18" s="34" t="s">
        <v>35</v>
      </c>
      <c r="B18" s="35" t="s">
        <v>36</v>
      </c>
      <c r="C18" s="36"/>
      <c r="D18" s="36"/>
      <c r="E18" s="36"/>
      <c r="F18" s="36"/>
      <c r="G18" s="36"/>
      <c r="H18" s="36"/>
      <c r="I18" s="16"/>
    </row>
    <row r="19" spans="1:9" s="17" customFormat="1" ht="12" customHeight="1">
      <c r="A19" s="21" t="s">
        <v>37</v>
      </c>
      <c r="B19" s="32" t="s">
        <v>38</v>
      </c>
      <c r="C19" s="33">
        <f>5944+3780</f>
        <v>9724</v>
      </c>
      <c r="D19" s="33"/>
      <c r="E19" s="33">
        <f>C19+D19</f>
        <v>9724</v>
      </c>
      <c r="F19" s="33"/>
      <c r="G19" s="33">
        <v>9724</v>
      </c>
      <c r="H19" s="33">
        <v>6525</v>
      </c>
      <c r="I19" s="16">
        <f>H19/E19</f>
        <v>0.6710201563142739</v>
      </c>
    </row>
    <row r="20" spans="1:9" s="17" customFormat="1" ht="12" customHeight="1">
      <c r="A20" s="21" t="s">
        <v>39</v>
      </c>
      <c r="B20" s="32" t="s">
        <v>40</v>
      </c>
      <c r="C20" s="33"/>
      <c r="D20" s="37"/>
      <c r="E20" s="33"/>
      <c r="F20" s="33"/>
      <c r="G20" s="33"/>
      <c r="H20" s="33"/>
      <c r="I20" s="16"/>
    </row>
    <row r="21" spans="1:9" s="17" customFormat="1" ht="12" customHeight="1">
      <c r="A21" s="21" t="s">
        <v>41</v>
      </c>
      <c r="B21" s="32" t="s">
        <v>42</v>
      </c>
      <c r="C21" s="33"/>
      <c r="D21" s="33"/>
      <c r="E21" s="33"/>
      <c r="F21" s="33"/>
      <c r="G21" s="33"/>
      <c r="H21" s="33">
        <v>336</v>
      </c>
      <c r="I21" s="16"/>
    </row>
    <row r="22" spans="1:9" s="17" customFormat="1" ht="12" customHeight="1">
      <c r="A22" s="38" t="s">
        <v>43</v>
      </c>
      <c r="B22" s="39" t="s">
        <v>44</v>
      </c>
      <c r="C22" s="40"/>
      <c r="D22" s="40"/>
      <c r="E22" s="40"/>
      <c r="F22" s="40"/>
      <c r="G22" s="40"/>
      <c r="H22" s="40"/>
      <c r="I22" s="16"/>
    </row>
    <row r="23" spans="1:9" s="17" customFormat="1" ht="12" customHeight="1">
      <c r="A23" s="18" t="s">
        <v>45</v>
      </c>
      <c r="B23" s="14" t="s">
        <v>46</v>
      </c>
      <c r="C23" s="41">
        <v>4000</v>
      </c>
      <c r="D23" s="41"/>
      <c r="E23" s="41">
        <v>4000</v>
      </c>
      <c r="F23" s="41"/>
      <c r="G23" s="41">
        <v>4000</v>
      </c>
      <c r="H23" s="41">
        <v>2059</v>
      </c>
      <c r="I23" s="16">
        <f aca="true" t="shared" si="2" ref="I23:I36">H23/E23</f>
        <v>0.51475</v>
      </c>
    </row>
    <row r="24" spans="1:9" s="17" customFormat="1" ht="12" customHeight="1">
      <c r="A24" s="18" t="s">
        <v>47</v>
      </c>
      <c r="B24" s="14" t="s">
        <v>48</v>
      </c>
      <c r="C24" s="28">
        <f aca="true" t="shared" si="3" ref="C24:H24">+C25+C26+C36+C40+C41+C42+C43+C44</f>
        <v>301693</v>
      </c>
      <c r="D24" s="28">
        <f t="shared" si="3"/>
        <v>31424</v>
      </c>
      <c r="E24" s="28">
        <f t="shared" si="3"/>
        <v>333117</v>
      </c>
      <c r="F24" s="28">
        <f t="shared" si="3"/>
        <v>3465</v>
      </c>
      <c r="G24" s="28">
        <f t="shared" si="3"/>
        <v>336582</v>
      </c>
      <c r="H24" s="28">
        <f t="shared" si="3"/>
        <v>214090</v>
      </c>
      <c r="I24" s="16">
        <f t="shared" si="2"/>
        <v>0.6426871039304508</v>
      </c>
    </row>
    <row r="25" spans="1:9" s="17" customFormat="1" ht="12" customHeight="1">
      <c r="A25" s="42" t="s">
        <v>49</v>
      </c>
      <c r="B25" s="43" t="s">
        <v>50</v>
      </c>
      <c r="C25" s="44">
        <f>28969+8924</f>
        <v>37893</v>
      </c>
      <c r="D25" s="44"/>
      <c r="E25" s="44">
        <v>37893</v>
      </c>
      <c r="F25" s="44"/>
      <c r="G25" s="44">
        <v>37893</v>
      </c>
      <c r="H25" s="44">
        <v>28415</v>
      </c>
      <c r="I25" s="16">
        <f t="shared" si="2"/>
        <v>0.7498746470324335</v>
      </c>
    </row>
    <row r="26" spans="1:9" s="17" customFormat="1" ht="12" customHeight="1">
      <c r="A26" s="21" t="s">
        <v>51</v>
      </c>
      <c r="B26" s="32" t="s">
        <v>52</v>
      </c>
      <c r="C26" s="45">
        <f>SUM(C27:C35)</f>
        <v>216497</v>
      </c>
      <c r="D26" s="45">
        <f>SUM(D27:D35)</f>
        <v>41891</v>
      </c>
      <c r="E26" s="45">
        <f>SUM(E27:E35)</f>
        <v>258388</v>
      </c>
      <c r="F26" s="45"/>
      <c r="G26" s="45">
        <f>SUM(G27:G35)</f>
        <v>258388</v>
      </c>
      <c r="H26" s="45">
        <f>SUM(H27:H35)</f>
        <v>174329</v>
      </c>
      <c r="I26" s="16">
        <f t="shared" si="2"/>
        <v>0.6746791646670898</v>
      </c>
    </row>
    <row r="27" spans="1:9" s="17" customFormat="1" ht="12" customHeight="1">
      <c r="A27" s="21"/>
      <c r="B27" s="46" t="s">
        <v>53</v>
      </c>
      <c r="C27" s="44">
        <v>84730</v>
      </c>
      <c r="D27" s="44"/>
      <c r="E27" s="44">
        <v>84730</v>
      </c>
      <c r="F27" s="44"/>
      <c r="G27" s="44">
        <v>84730</v>
      </c>
      <c r="H27" s="44">
        <f>63547-44793</f>
        <v>18754</v>
      </c>
      <c r="I27" s="16">
        <f t="shared" si="2"/>
        <v>0.2213383689366222</v>
      </c>
    </row>
    <row r="28" spans="1:9" s="17" customFormat="1" ht="12" customHeight="1">
      <c r="A28" s="21"/>
      <c r="B28" s="46" t="s">
        <v>54</v>
      </c>
      <c r="C28" s="33">
        <v>6694</v>
      </c>
      <c r="D28" s="33"/>
      <c r="E28" s="33">
        <v>6694</v>
      </c>
      <c r="F28" s="33"/>
      <c r="G28" s="33">
        <v>6694</v>
      </c>
      <c r="H28" s="33">
        <v>5020</v>
      </c>
      <c r="I28" s="16">
        <f t="shared" si="2"/>
        <v>0.749925306244398</v>
      </c>
    </row>
    <row r="29" spans="1:9" s="17" customFormat="1" ht="12" customHeight="1">
      <c r="A29" s="21"/>
      <c r="B29" s="46" t="s">
        <v>55</v>
      </c>
      <c r="C29" s="33">
        <v>6621</v>
      </c>
      <c r="D29" s="33"/>
      <c r="E29" s="33">
        <v>6621</v>
      </c>
      <c r="F29" s="33"/>
      <c r="G29" s="33">
        <v>6621</v>
      </c>
      <c r="H29" s="33">
        <v>4966</v>
      </c>
      <c r="I29" s="16">
        <f t="shared" si="2"/>
        <v>0.7500377586467301</v>
      </c>
    </row>
    <row r="30" spans="1:9" s="17" customFormat="1" ht="12" customHeight="1">
      <c r="A30" s="21"/>
      <c r="B30" s="46" t="s">
        <v>56</v>
      </c>
      <c r="C30" s="33">
        <v>1128</v>
      </c>
      <c r="D30" s="33"/>
      <c r="E30" s="33">
        <v>1128</v>
      </c>
      <c r="F30" s="33"/>
      <c r="G30" s="33">
        <v>1128</v>
      </c>
      <c r="H30" s="33">
        <v>846</v>
      </c>
      <c r="I30" s="16">
        <f t="shared" si="2"/>
        <v>0.75</v>
      </c>
    </row>
    <row r="31" spans="1:9" s="17" customFormat="1" ht="12" customHeight="1">
      <c r="A31" s="21"/>
      <c r="B31" s="46" t="s">
        <v>57</v>
      </c>
      <c r="C31" s="33">
        <v>2588</v>
      </c>
      <c r="D31" s="33"/>
      <c r="E31" s="33">
        <v>2588</v>
      </c>
      <c r="F31" s="33"/>
      <c r="G31" s="33">
        <v>2588</v>
      </c>
      <c r="H31" s="33">
        <v>1941</v>
      </c>
      <c r="I31" s="16">
        <f t="shared" si="2"/>
        <v>0.75</v>
      </c>
    </row>
    <row r="32" spans="1:9" s="17" customFormat="1" ht="19.5" customHeight="1">
      <c r="A32" s="21"/>
      <c r="B32" s="46" t="s">
        <v>58</v>
      </c>
      <c r="C32" s="33">
        <f>31612+23970</f>
        <v>55582</v>
      </c>
      <c r="D32" s="33"/>
      <c r="E32" s="33">
        <v>55582</v>
      </c>
      <c r="F32" s="33"/>
      <c r="G32" s="33">
        <v>55582</v>
      </c>
      <c r="H32" s="33">
        <v>41686</v>
      </c>
      <c r="I32" s="16">
        <f t="shared" si="2"/>
        <v>0.7499910042819617</v>
      </c>
    </row>
    <row r="33" spans="1:9" s="17" customFormat="1" ht="15" customHeight="1">
      <c r="A33" s="21"/>
      <c r="B33" s="46" t="s">
        <v>59</v>
      </c>
      <c r="C33" s="33">
        <v>55387</v>
      </c>
      <c r="D33" s="33"/>
      <c r="E33" s="33">
        <v>55387</v>
      </c>
      <c r="F33" s="33"/>
      <c r="G33" s="33">
        <v>55387</v>
      </c>
      <c r="H33" s="33">
        <v>40986</v>
      </c>
      <c r="I33" s="16">
        <f t="shared" si="2"/>
        <v>0.7399931391842851</v>
      </c>
    </row>
    <row r="34" spans="1:9" s="17" customFormat="1" ht="21" customHeight="1">
      <c r="A34" s="21"/>
      <c r="B34" s="46" t="s">
        <v>60</v>
      </c>
      <c r="C34" s="33"/>
      <c r="D34" s="47">
        <v>41891</v>
      </c>
      <c r="E34" s="33">
        <v>41891</v>
      </c>
      <c r="F34" s="33"/>
      <c r="G34" s="33">
        <v>41891</v>
      </c>
      <c r="H34" s="33">
        <v>57342</v>
      </c>
      <c r="I34" s="16">
        <f t="shared" si="2"/>
        <v>1.3688381752643766</v>
      </c>
    </row>
    <row r="35" spans="1:9" s="17" customFormat="1" ht="12" customHeight="1">
      <c r="A35" s="21"/>
      <c r="B35" s="46" t="s">
        <v>61</v>
      </c>
      <c r="C35" s="33">
        <v>3767</v>
      </c>
      <c r="D35" s="33"/>
      <c r="E35" s="33">
        <v>3767</v>
      </c>
      <c r="F35" s="33"/>
      <c r="G35" s="33">
        <v>3767</v>
      </c>
      <c r="H35" s="33">
        <v>2788</v>
      </c>
      <c r="I35" s="16">
        <f t="shared" si="2"/>
        <v>0.7401114945580037</v>
      </c>
    </row>
    <row r="36" spans="1:9" s="17" customFormat="1" ht="12" customHeight="1">
      <c r="A36" s="21" t="s">
        <v>62</v>
      </c>
      <c r="B36" s="32" t="s">
        <v>63</v>
      </c>
      <c r="C36" s="33"/>
      <c r="D36" s="33">
        <f>SUM(D37:D38)</f>
        <v>5425</v>
      </c>
      <c r="E36" s="33">
        <v>5425</v>
      </c>
      <c r="F36" s="33">
        <v>250</v>
      </c>
      <c r="G36" s="33">
        <v>5675</v>
      </c>
      <c r="H36" s="33">
        <v>5723</v>
      </c>
      <c r="I36" s="16">
        <f t="shared" si="2"/>
        <v>1.054930875576037</v>
      </c>
    </row>
    <row r="37" spans="1:9" s="17" customFormat="1" ht="17.25" customHeight="1">
      <c r="A37" s="21"/>
      <c r="B37" s="46" t="s">
        <v>64</v>
      </c>
      <c r="C37" s="33"/>
      <c r="D37" s="37">
        <v>2431</v>
      </c>
      <c r="E37" s="37"/>
      <c r="F37" s="37"/>
      <c r="G37" s="37"/>
      <c r="H37" s="37">
        <v>2431</v>
      </c>
      <c r="I37" s="16"/>
    </row>
    <row r="38" spans="1:9" s="17" customFormat="1" ht="12" customHeight="1">
      <c r="A38" s="21"/>
      <c r="B38" s="32" t="s">
        <v>65</v>
      </c>
      <c r="C38" s="33"/>
      <c r="D38" s="37">
        <v>2994</v>
      </c>
      <c r="E38" s="37"/>
      <c r="F38" s="37"/>
      <c r="G38" s="37"/>
      <c r="H38" s="37">
        <v>2994</v>
      </c>
      <c r="I38" s="16"/>
    </row>
    <row r="39" spans="1:9" s="17" customFormat="1" ht="12" customHeight="1">
      <c r="A39" s="21"/>
      <c r="B39" s="32" t="s">
        <v>66</v>
      </c>
      <c r="C39" s="33"/>
      <c r="D39" s="33"/>
      <c r="E39" s="33"/>
      <c r="F39" s="33"/>
      <c r="G39" s="33"/>
      <c r="H39" s="37">
        <v>250</v>
      </c>
      <c r="I39" s="16"/>
    </row>
    <row r="40" spans="1:9" s="17" customFormat="1" ht="12" customHeight="1">
      <c r="A40" s="48" t="s">
        <v>67</v>
      </c>
      <c r="B40" s="49" t="s">
        <v>68</v>
      </c>
      <c r="C40" s="50">
        <v>47303</v>
      </c>
      <c r="D40" s="50">
        <v>-18278</v>
      </c>
      <c r="E40" s="50">
        <f>C40+D40</f>
        <v>29025</v>
      </c>
      <c r="F40" s="50"/>
      <c r="G40" s="50">
        <f>E40+F40</f>
        <v>29025</v>
      </c>
      <c r="H40" s="50"/>
      <c r="I40" s="16">
        <f>H40/E40</f>
        <v>0</v>
      </c>
    </row>
    <row r="41" spans="1:9" s="17" customFormat="1" ht="12" customHeight="1">
      <c r="A41" s="51" t="s">
        <v>69</v>
      </c>
      <c r="B41" s="32" t="s">
        <v>70</v>
      </c>
      <c r="C41" s="52"/>
      <c r="D41" s="52">
        <v>764</v>
      </c>
      <c r="E41" s="52">
        <v>764</v>
      </c>
      <c r="F41" s="52">
        <v>3215</v>
      </c>
      <c r="G41" s="52">
        <v>3979</v>
      </c>
      <c r="H41" s="52">
        <v>3175</v>
      </c>
      <c r="I41" s="16">
        <f>H41/E41</f>
        <v>4.1557591623036645</v>
      </c>
    </row>
    <row r="42" spans="1:9" s="17" customFormat="1" ht="12" customHeight="1">
      <c r="A42" s="21" t="s">
        <v>71</v>
      </c>
      <c r="B42" s="32" t="s">
        <v>72</v>
      </c>
      <c r="C42" s="33"/>
      <c r="D42" s="33">
        <v>1622</v>
      </c>
      <c r="E42" s="33">
        <v>1622</v>
      </c>
      <c r="F42" s="33"/>
      <c r="G42" s="33">
        <v>1622</v>
      </c>
      <c r="H42" s="33">
        <v>2448</v>
      </c>
      <c r="I42" s="16">
        <f>H42/E42</f>
        <v>1.5092478421701603</v>
      </c>
    </row>
    <row r="43" spans="1:9" s="17" customFormat="1" ht="12" customHeight="1">
      <c r="A43" s="21" t="s">
        <v>73</v>
      </c>
      <c r="B43" s="32" t="s">
        <v>74</v>
      </c>
      <c r="C43" s="33"/>
      <c r="D43" s="33"/>
      <c r="E43" s="33"/>
      <c r="F43" s="33"/>
      <c r="G43" s="33"/>
      <c r="H43" s="33"/>
      <c r="I43" s="16"/>
    </row>
    <row r="44" spans="1:9" s="17" customFormat="1" ht="12" customHeight="1">
      <c r="A44" s="21" t="s">
        <v>75</v>
      </c>
      <c r="B44" s="53" t="s">
        <v>76</v>
      </c>
      <c r="C44" s="33"/>
      <c r="D44" s="33"/>
      <c r="E44" s="33"/>
      <c r="F44" s="33"/>
      <c r="G44" s="33"/>
      <c r="H44" s="33"/>
      <c r="I44" s="16"/>
    </row>
    <row r="45" spans="1:9" s="17" customFormat="1" ht="12" customHeight="1">
      <c r="A45" s="54" t="s">
        <v>77</v>
      </c>
      <c r="B45" s="14" t="s">
        <v>78</v>
      </c>
      <c r="C45" s="20">
        <f aca="true" t="shared" si="4" ref="C45:H45">+C46+C52</f>
        <v>442086</v>
      </c>
      <c r="D45" s="20">
        <f t="shared" si="4"/>
        <v>6237</v>
      </c>
      <c r="E45" s="20">
        <f t="shared" si="4"/>
        <v>448323</v>
      </c>
      <c r="F45" s="20">
        <f t="shared" si="4"/>
        <v>-7333</v>
      </c>
      <c r="G45" s="20">
        <f t="shared" si="4"/>
        <v>440990</v>
      </c>
      <c r="H45" s="20">
        <f t="shared" si="4"/>
        <v>216593</v>
      </c>
      <c r="I45" s="16">
        <f>H45/E45</f>
        <v>0.4831181982633057</v>
      </c>
    </row>
    <row r="46" spans="1:9" s="17" customFormat="1" ht="12" customHeight="1">
      <c r="A46" s="55" t="s">
        <v>79</v>
      </c>
      <c r="B46" s="56" t="s">
        <v>80</v>
      </c>
      <c r="C46" s="57">
        <f aca="true" t="shared" si="5" ref="C46:H46">+C47+C48+C49+C50+C51</f>
        <v>165291</v>
      </c>
      <c r="D46" s="57">
        <f t="shared" si="5"/>
        <v>6237</v>
      </c>
      <c r="E46" s="57">
        <f t="shared" si="5"/>
        <v>171528</v>
      </c>
      <c r="F46" s="57">
        <f t="shared" si="5"/>
        <v>-7333</v>
      </c>
      <c r="G46" s="57">
        <f t="shared" si="5"/>
        <v>164195</v>
      </c>
      <c r="H46" s="57">
        <f t="shared" si="5"/>
        <v>133132</v>
      </c>
      <c r="I46" s="16">
        <f>H46/E46</f>
        <v>0.7761531644979245</v>
      </c>
    </row>
    <row r="47" spans="1:9" s="17" customFormat="1" ht="12" customHeight="1">
      <c r="A47" s="58" t="s">
        <v>81</v>
      </c>
      <c r="B47" s="59" t="s">
        <v>82</v>
      </c>
      <c r="C47" s="23">
        <v>20423</v>
      </c>
      <c r="D47" s="23"/>
      <c r="E47" s="23">
        <v>20423</v>
      </c>
      <c r="F47" s="23">
        <v>-7333</v>
      </c>
      <c r="G47" s="23">
        <v>13090</v>
      </c>
      <c r="H47" s="23">
        <v>9287</v>
      </c>
      <c r="I47" s="16">
        <f>H47/E47</f>
        <v>0.45473240953826566</v>
      </c>
    </row>
    <row r="48" spans="1:9" s="17" customFormat="1" ht="12" customHeight="1">
      <c r="A48" s="58" t="s">
        <v>83</v>
      </c>
      <c r="B48" s="59" t="s">
        <v>84</v>
      </c>
      <c r="C48" s="23"/>
      <c r="D48" s="23"/>
      <c r="E48" s="23"/>
      <c r="F48" s="23"/>
      <c r="G48" s="23"/>
      <c r="H48" s="23">
        <v>1978</v>
      </c>
      <c r="I48" s="16"/>
    </row>
    <row r="49" spans="1:9" s="17" customFormat="1" ht="12" customHeight="1">
      <c r="A49" s="58" t="s">
        <v>85</v>
      </c>
      <c r="B49" s="59" t="s">
        <v>86</v>
      </c>
      <c r="C49" s="23"/>
      <c r="D49" s="23">
        <v>1370</v>
      </c>
      <c r="E49" s="23">
        <v>1370</v>
      </c>
      <c r="F49" s="23"/>
      <c r="G49" s="23">
        <v>1370</v>
      </c>
      <c r="H49" s="23">
        <v>1933</v>
      </c>
      <c r="I49" s="16">
        <f>H49/E49</f>
        <v>1.410948905109489</v>
      </c>
    </row>
    <row r="50" spans="1:9" s="17" customFormat="1" ht="12" customHeight="1">
      <c r="A50" s="58" t="s">
        <v>87</v>
      </c>
      <c r="B50" s="59" t="s">
        <v>88</v>
      </c>
      <c r="C50" s="23">
        <v>21946</v>
      </c>
      <c r="D50" s="23"/>
      <c r="E50" s="23">
        <v>21946</v>
      </c>
      <c r="F50" s="23"/>
      <c r="G50" s="23">
        <v>21946</v>
      </c>
      <c r="H50" s="23"/>
      <c r="I50" s="16">
        <f>H50/E50</f>
        <v>0</v>
      </c>
    </row>
    <row r="51" spans="1:9" s="17" customFormat="1" ht="17.25" customHeight="1">
      <c r="A51" s="58" t="s">
        <v>89</v>
      </c>
      <c r="B51" s="59" t="s">
        <v>90</v>
      </c>
      <c r="C51" s="23">
        <v>122922</v>
      </c>
      <c r="D51" s="23">
        <v>4867</v>
      </c>
      <c r="E51" s="23">
        <f>C51+D51</f>
        <v>127789</v>
      </c>
      <c r="F51" s="23"/>
      <c r="G51" s="23">
        <f>E51+F51</f>
        <v>127789</v>
      </c>
      <c r="H51" s="23">
        <v>119934</v>
      </c>
      <c r="I51" s="16">
        <f>H51/E51</f>
        <v>0.9385314854956217</v>
      </c>
    </row>
    <row r="52" spans="1:9" s="17" customFormat="1" ht="17.25" customHeight="1">
      <c r="A52" s="58" t="s">
        <v>91</v>
      </c>
      <c r="B52" s="60" t="s">
        <v>92</v>
      </c>
      <c r="C52" s="61">
        <f aca="true" t="shared" si="6" ref="C52:H52">+C53+C54+C55+C56+C57</f>
        <v>276795</v>
      </c>
      <c r="D52" s="61">
        <f t="shared" si="6"/>
        <v>0</v>
      </c>
      <c r="E52" s="61">
        <f t="shared" si="6"/>
        <v>276795</v>
      </c>
      <c r="F52" s="61">
        <f t="shared" si="6"/>
        <v>0</v>
      </c>
      <c r="G52" s="61">
        <f t="shared" si="6"/>
        <v>276795</v>
      </c>
      <c r="H52" s="61">
        <f t="shared" si="6"/>
        <v>83461</v>
      </c>
      <c r="I52" s="16">
        <f>H52/E52</f>
        <v>0.3015264004046316</v>
      </c>
    </row>
    <row r="53" spans="1:9" s="17" customFormat="1" ht="12" customHeight="1">
      <c r="A53" s="58" t="s">
        <v>93</v>
      </c>
      <c r="B53" s="59" t="s">
        <v>82</v>
      </c>
      <c r="C53" s="23"/>
      <c r="D53" s="23"/>
      <c r="E53" s="23"/>
      <c r="F53" s="23"/>
      <c r="G53" s="23"/>
      <c r="H53" s="23"/>
      <c r="I53" s="16"/>
    </row>
    <row r="54" spans="1:9" s="17" customFormat="1" ht="12" customHeight="1">
      <c r="A54" s="58" t="s">
        <v>94</v>
      </c>
      <c r="B54" s="59" t="s">
        <v>95</v>
      </c>
      <c r="C54" s="23"/>
      <c r="D54" s="23"/>
      <c r="E54" s="23"/>
      <c r="F54" s="23"/>
      <c r="G54" s="23"/>
      <c r="H54" s="23"/>
      <c r="I54" s="16"/>
    </row>
    <row r="55" spans="1:9" s="17" customFormat="1" ht="12" customHeight="1">
      <c r="A55" s="58" t="s">
        <v>96</v>
      </c>
      <c r="B55" s="59" t="s">
        <v>86</v>
      </c>
      <c r="C55" s="23"/>
      <c r="D55" s="23"/>
      <c r="E55" s="23"/>
      <c r="F55" s="23"/>
      <c r="G55" s="23"/>
      <c r="H55" s="23"/>
      <c r="I55" s="16"/>
    </row>
    <row r="56" spans="1:9" s="17" customFormat="1" ht="12" customHeight="1">
      <c r="A56" s="58" t="s">
        <v>97</v>
      </c>
      <c r="B56" s="62" t="s">
        <v>98</v>
      </c>
      <c r="C56" s="23">
        <v>257027</v>
      </c>
      <c r="D56" s="23"/>
      <c r="E56" s="23">
        <v>257027</v>
      </c>
      <c r="F56" s="23"/>
      <c r="G56" s="23">
        <v>257027</v>
      </c>
      <c r="H56" s="23">
        <v>83461</v>
      </c>
      <c r="I56" s="16">
        <f>H56/E56</f>
        <v>0.32471685854015336</v>
      </c>
    </row>
    <row r="57" spans="1:9" s="17" customFormat="1" ht="14.25" customHeight="1">
      <c r="A57" s="63" t="s">
        <v>99</v>
      </c>
      <c r="B57" s="64" t="s">
        <v>100</v>
      </c>
      <c r="C57" s="65">
        <v>19768</v>
      </c>
      <c r="D57" s="65"/>
      <c r="E57" s="65">
        <v>19768</v>
      </c>
      <c r="F57" s="65"/>
      <c r="G57" s="65">
        <v>19768</v>
      </c>
      <c r="H57" s="65"/>
      <c r="I57" s="16">
        <f>H57/E57</f>
        <v>0</v>
      </c>
    </row>
    <row r="58" spans="1:9" s="17" customFormat="1" ht="12" customHeight="1">
      <c r="A58" s="18" t="s">
        <v>101</v>
      </c>
      <c r="B58" s="66" t="s">
        <v>102</v>
      </c>
      <c r="C58" s="20">
        <f>+C59+C60</f>
        <v>0</v>
      </c>
      <c r="D58" s="20">
        <f>+D59+D60</f>
        <v>0</v>
      </c>
      <c r="E58" s="20">
        <f>+E59+E60</f>
        <v>0</v>
      </c>
      <c r="F58" s="20"/>
      <c r="G58" s="20"/>
      <c r="H58" s="20">
        <f>+H59+H60</f>
        <v>0</v>
      </c>
      <c r="I58" s="16"/>
    </row>
    <row r="59" spans="1:9" s="17" customFormat="1" ht="12" customHeight="1">
      <c r="A59" s="42" t="s">
        <v>103</v>
      </c>
      <c r="B59" s="26" t="s">
        <v>104</v>
      </c>
      <c r="C59" s="67"/>
      <c r="D59" s="67"/>
      <c r="E59" s="67"/>
      <c r="F59" s="67"/>
      <c r="G59" s="67"/>
      <c r="H59" s="67"/>
      <c r="I59" s="16"/>
    </row>
    <row r="60" spans="1:9" s="17" customFormat="1" ht="12" customHeight="1">
      <c r="A60" s="34" t="s">
        <v>105</v>
      </c>
      <c r="B60" s="68" t="s">
        <v>106</v>
      </c>
      <c r="C60" s="69"/>
      <c r="D60" s="69"/>
      <c r="E60" s="69"/>
      <c r="F60" s="69"/>
      <c r="G60" s="69"/>
      <c r="H60" s="69"/>
      <c r="I60" s="16"/>
    </row>
    <row r="61" spans="1:9" s="17" customFormat="1" ht="12" customHeight="1">
      <c r="A61" s="18" t="s">
        <v>107</v>
      </c>
      <c r="B61" s="66" t="s">
        <v>108</v>
      </c>
      <c r="C61" s="20">
        <f>+C62+C63+C65</f>
        <v>19198</v>
      </c>
      <c r="D61" s="20">
        <v>5975</v>
      </c>
      <c r="E61" s="20">
        <f>+E62+E63+E65+E64</f>
        <v>25173</v>
      </c>
      <c r="F61" s="20">
        <f>+F62+F63+F65+F64</f>
        <v>0</v>
      </c>
      <c r="G61" s="20">
        <f>+G62+G63+G65+G64</f>
        <v>25173</v>
      </c>
      <c r="H61" s="20">
        <f>+H62+H63+H65+H64</f>
        <v>20064</v>
      </c>
      <c r="I61" s="16">
        <f>H61/E61</f>
        <v>0.7970444523894649</v>
      </c>
    </row>
    <row r="62" spans="1:9" s="17" customFormat="1" ht="17.25" customHeight="1">
      <c r="A62" s="42" t="s">
        <v>109</v>
      </c>
      <c r="B62" s="26" t="s">
        <v>110</v>
      </c>
      <c r="C62" s="67"/>
      <c r="D62" s="67"/>
      <c r="E62" s="67"/>
      <c r="F62" s="67"/>
      <c r="G62" s="67"/>
      <c r="H62" s="67"/>
      <c r="I62" s="16"/>
    </row>
    <row r="63" spans="1:9" s="17" customFormat="1" ht="19.5" customHeight="1">
      <c r="A63" s="21" t="s">
        <v>111</v>
      </c>
      <c r="B63" s="59" t="s">
        <v>112</v>
      </c>
      <c r="C63" s="33"/>
      <c r="D63" s="33"/>
      <c r="E63" s="33"/>
      <c r="F63" s="33"/>
      <c r="G63" s="33"/>
      <c r="H63" s="33"/>
      <c r="I63" s="16"/>
    </row>
    <row r="64" spans="1:9" s="17" customFormat="1" ht="12" customHeight="1">
      <c r="A64" s="21"/>
      <c r="B64" s="59" t="s">
        <v>113</v>
      </c>
      <c r="C64" s="33"/>
      <c r="D64" s="33">
        <v>5975</v>
      </c>
      <c r="E64" s="33">
        <v>5975</v>
      </c>
      <c r="F64" s="33"/>
      <c r="G64" s="33">
        <v>5975</v>
      </c>
      <c r="H64" s="33">
        <v>6003</v>
      </c>
      <c r="I64" s="16">
        <f>H64/E64</f>
        <v>1.0046861924686192</v>
      </c>
    </row>
    <row r="65" spans="1:9" s="17" customFormat="1" ht="12" customHeight="1">
      <c r="A65" s="34" t="s">
        <v>114</v>
      </c>
      <c r="B65" s="68" t="s">
        <v>115</v>
      </c>
      <c r="C65" s="69">
        <v>19198</v>
      </c>
      <c r="D65" s="69"/>
      <c r="E65" s="69">
        <v>19198</v>
      </c>
      <c r="F65" s="69"/>
      <c r="G65" s="69">
        <v>19198</v>
      </c>
      <c r="H65" s="69">
        <v>14061</v>
      </c>
      <c r="I65" s="16">
        <f>H65/E65</f>
        <v>0.7324200437545577</v>
      </c>
    </row>
    <row r="66" spans="1:9" s="17" customFormat="1" ht="17.25" customHeight="1">
      <c r="A66" s="18" t="s">
        <v>116</v>
      </c>
      <c r="B66" s="70" t="s">
        <v>117</v>
      </c>
      <c r="C66" s="71"/>
      <c r="D66" s="71"/>
      <c r="E66" s="71"/>
      <c r="F66" s="71"/>
      <c r="G66" s="71"/>
      <c r="H66" s="71">
        <v>1063</v>
      </c>
      <c r="I66" s="16"/>
    </row>
    <row r="67" spans="1:9" s="17" customFormat="1" ht="12" customHeight="1">
      <c r="A67" s="18" t="s">
        <v>118</v>
      </c>
      <c r="B67" s="72" t="s">
        <v>119</v>
      </c>
      <c r="C67" s="73">
        <f aca="true" t="shared" si="7" ref="C67:H67">+C6+C13+C23+C24+C45+C58+C61+C66</f>
        <v>892962</v>
      </c>
      <c r="D67" s="73">
        <f t="shared" si="7"/>
        <v>43636</v>
      </c>
      <c r="E67" s="73">
        <f t="shared" si="7"/>
        <v>936598</v>
      </c>
      <c r="F67" s="73">
        <f t="shared" si="7"/>
        <v>-3868</v>
      </c>
      <c r="G67" s="73">
        <f t="shared" si="7"/>
        <v>932730</v>
      </c>
      <c r="H67" s="73">
        <f t="shared" si="7"/>
        <v>534350</v>
      </c>
      <c r="I67" s="16">
        <f>H67/E67</f>
        <v>0.5705222518092073</v>
      </c>
    </row>
    <row r="68" spans="1:9" s="17" customFormat="1" ht="12" customHeight="1">
      <c r="A68" s="74" t="s">
        <v>120</v>
      </c>
      <c r="B68" s="19" t="s">
        <v>121</v>
      </c>
      <c r="C68" s="28">
        <f aca="true" t="shared" si="8" ref="C68:H68">+C69+C75</f>
        <v>496552</v>
      </c>
      <c r="D68" s="28">
        <f t="shared" si="8"/>
        <v>20241</v>
      </c>
      <c r="E68" s="28">
        <f t="shared" si="8"/>
        <v>516793</v>
      </c>
      <c r="F68" s="28">
        <f t="shared" si="8"/>
        <v>0</v>
      </c>
      <c r="G68" s="28">
        <f t="shared" si="8"/>
        <v>516793</v>
      </c>
      <c r="H68" s="28">
        <f t="shared" si="8"/>
        <v>521685</v>
      </c>
      <c r="I68" s="16">
        <f>H68/E68</f>
        <v>1.009466072489372</v>
      </c>
    </row>
    <row r="69" spans="1:9" s="17" customFormat="1" ht="12" customHeight="1">
      <c r="A69" s="75" t="s">
        <v>122</v>
      </c>
      <c r="B69" s="56" t="s">
        <v>123</v>
      </c>
      <c r="C69" s="76">
        <f>+C70+C71+C72+C73+C74</f>
        <v>496552</v>
      </c>
      <c r="D69" s="76">
        <f>+D70+D71+D72+D73+D74</f>
        <v>20241</v>
      </c>
      <c r="E69" s="76">
        <f>C69+D69</f>
        <v>516793</v>
      </c>
      <c r="F69" s="76">
        <f>+F70+F71+F72+F73+F74</f>
        <v>0</v>
      </c>
      <c r="G69" s="76">
        <f>E69+F69</f>
        <v>516793</v>
      </c>
      <c r="H69" s="76">
        <v>521685</v>
      </c>
      <c r="I69" s="16">
        <f>H69/E69</f>
        <v>1.009466072489372</v>
      </c>
    </row>
    <row r="70" spans="1:9" s="17" customFormat="1" ht="12" customHeight="1">
      <c r="A70" s="77" t="s">
        <v>124</v>
      </c>
      <c r="B70" s="59" t="s">
        <v>125</v>
      </c>
      <c r="C70" s="33">
        <v>496552</v>
      </c>
      <c r="D70" s="33">
        <v>20241</v>
      </c>
      <c r="E70" s="33"/>
      <c r="F70" s="33"/>
      <c r="G70" s="33"/>
      <c r="H70" s="33"/>
      <c r="I70" s="16"/>
    </row>
    <row r="71" spans="1:9" s="17" customFormat="1" ht="12" customHeight="1">
      <c r="A71" s="77" t="s">
        <v>126</v>
      </c>
      <c r="B71" s="59" t="s">
        <v>127</v>
      </c>
      <c r="C71" s="33"/>
      <c r="D71" s="33"/>
      <c r="E71" s="33"/>
      <c r="F71" s="33"/>
      <c r="G71" s="33"/>
      <c r="H71" s="33"/>
      <c r="I71" s="16"/>
    </row>
    <row r="72" spans="1:9" s="17" customFormat="1" ht="12" customHeight="1">
      <c r="A72" s="77" t="s">
        <v>128</v>
      </c>
      <c r="B72" s="59" t="s">
        <v>129</v>
      </c>
      <c r="C72" s="33"/>
      <c r="D72" s="33"/>
      <c r="E72" s="33"/>
      <c r="F72" s="33"/>
      <c r="G72" s="33"/>
      <c r="H72" s="33"/>
      <c r="I72" s="16"/>
    </row>
    <row r="73" spans="1:9" s="17" customFormat="1" ht="12" customHeight="1">
      <c r="A73" s="77" t="s">
        <v>130</v>
      </c>
      <c r="B73" s="59" t="s">
        <v>131</v>
      </c>
      <c r="C73" s="33"/>
      <c r="D73" s="33"/>
      <c r="E73" s="33"/>
      <c r="F73" s="33"/>
      <c r="G73" s="33"/>
      <c r="H73" s="33"/>
      <c r="I73" s="16"/>
    </row>
    <row r="74" spans="1:9" s="17" customFormat="1" ht="12" customHeight="1">
      <c r="A74" s="77" t="s">
        <v>132</v>
      </c>
      <c r="B74" s="59" t="s">
        <v>133</v>
      </c>
      <c r="C74" s="33"/>
      <c r="D74" s="33"/>
      <c r="E74" s="33"/>
      <c r="F74" s="33"/>
      <c r="G74" s="33"/>
      <c r="H74" s="33"/>
      <c r="I74" s="16"/>
    </row>
    <row r="75" spans="1:9" s="17" customFormat="1" ht="12" customHeight="1">
      <c r="A75" s="78" t="s">
        <v>134</v>
      </c>
      <c r="B75" s="60" t="s">
        <v>135</v>
      </c>
      <c r="C75" s="79">
        <f>+C76+C77+C78+C79+C80</f>
        <v>0</v>
      </c>
      <c r="D75" s="79">
        <f>+D76+D77+D78+D79+D80</f>
        <v>0</v>
      </c>
      <c r="E75" s="79">
        <f>+E76+E77+E78+E79+E80</f>
        <v>0</v>
      </c>
      <c r="F75" s="79"/>
      <c r="G75" s="79"/>
      <c r="H75" s="79">
        <f>+H76+H77+H78+H79+H80</f>
        <v>0</v>
      </c>
      <c r="I75" s="16"/>
    </row>
    <row r="76" spans="1:9" s="17" customFormat="1" ht="12" customHeight="1">
      <c r="A76" s="77" t="s">
        <v>136</v>
      </c>
      <c r="B76" s="59" t="s">
        <v>137</v>
      </c>
      <c r="C76" s="33"/>
      <c r="D76" s="33"/>
      <c r="E76" s="33"/>
      <c r="F76" s="33"/>
      <c r="G76" s="33"/>
      <c r="H76" s="33"/>
      <c r="I76" s="16"/>
    </row>
    <row r="77" spans="1:9" s="17" customFormat="1" ht="12" customHeight="1">
      <c r="A77" s="77" t="s">
        <v>138</v>
      </c>
      <c r="B77" s="59" t="s">
        <v>139</v>
      </c>
      <c r="C77" s="33"/>
      <c r="D77" s="33"/>
      <c r="E77" s="33"/>
      <c r="F77" s="33"/>
      <c r="G77" s="33"/>
      <c r="H77" s="33"/>
      <c r="I77" s="16"/>
    </row>
    <row r="78" spans="1:9" s="17" customFormat="1" ht="12" customHeight="1">
      <c r="A78" s="77" t="s">
        <v>140</v>
      </c>
      <c r="B78" s="59" t="s">
        <v>141</v>
      </c>
      <c r="C78" s="33"/>
      <c r="D78" s="33"/>
      <c r="E78" s="33"/>
      <c r="F78" s="33"/>
      <c r="G78" s="33"/>
      <c r="H78" s="33"/>
      <c r="I78" s="16"/>
    </row>
    <row r="79" spans="1:9" s="17" customFormat="1" ht="12" customHeight="1">
      <c r="A79" s="77" t="s">
        <v>142</v>
      </c>
      <c r="B79" s="59" t="s">
        <v>143</v>
      </c>
      <c r="C79" s="33"/>
      <c r="D79" s="33"/>
      <c r="E79" s="33"/>
      <c r="F79" s="33"/>
      <c r="G79" s="33"/>
      <c r="H79" s="33"/>
      <c r="I79" s="16"/>
    </row>
    <row r="80" spans="1:9" s="17" customFormat="1" ht="12" customHeight="1">
      <c r="A80" s="80" t="s">
        <v>144</v>
      </c>
      <c r="B80" s="68" t="s">
        <v>145</v>
      </c>
      <c r="C80" s="45"/>
      <c r="D80" s="45"/>
      <c r="E80" s="45"/>
      <c r="F80" s="45"/>
      <c r="G80" s="45"/>
      <c r="H80" s="45"/>
      <c r="I80" s="16"/>
    </row>
    <row r="81" spans="1:9" s="17" customFormat="1" ht="21.75" customHeight="1">
      <c r="A81" s="74" t="s">
        <v>146</v>
      </c>
      <c r="B81" s="19" t="s">
        <v>147</v>
      </c>
      <c r="C81" s="28">
        <f aca="true" t="shared" si="9" ref="C81:H81">+C67+C68</f>
        <v>1389514</v>
      </c>
      <c r="D81" s="28">
        <f t="shared" si="9"/>
        <v>63877</v>
      </c>
      <c r="E81" s="28">
        <f t="shared" si="9"/>
        <v>1453391</v>
      </c>
      <c r="F81" s="28">
        <f t="shared" si="9"/>
        <v>-3868</v>
      </c>
      <c r="G81" s="28">
        <f t="shared" si="9"/>
        <v>1449523</v>
      </c>
      <c r="H81" s="28">
        <f t="shared" si="9"/>
        <v>1056035</v>
      </c>
      <c r="I81" s="16">
        <f>H81/E81</f>
        <v>0.7266007564378753</v>
      </c>
    </row>
    <row r="82" spans="1:9" s="17" customFormat="1" ht="13.5" customHeight="1">
      <c r="A82" s="81" t="s">
        <v>148</v>
      </c>
      <c r="B82" s="70" t="s">
        <v>149</v>
      </c>
      <c r="C82" s="41"/>
      <c r="D82" s="41"/>
      <c r="E82" s="41"/>
      <c r="F82" s="41"/>
      <c r="G82" s="41"/>
      <c r="H82" s="41">
        <v>3145</v>
      </c>
      <c r="I82" s="16"/>
    </row>
    <row r="83" spans="1:9" s="17" customFormat="1" ht="12" customHeight="1">
      <c r="A83" s="74" t="s">
        <v>150</v>
      </c>
      <c r="B83" s="19" t="s">
        <v>151</v>
      </c>
      <c r="C83" s="28">
        <f aca="true" t="shared" si="10" ref="C83:H83">+C81+C82</f>
        <v>1389514</v>
      </c>
      <c r="D83" s="28">
        <f t="shared" si="10"/>
        <v>63877</v>
      </c>
      <c r="E83" s="28">
        <f t="shared" si="10"/>
        <v>1453391</v>
      </c>
      <c r="F83" s="28">
        <f t="shared" si="10"/>
        <v>-3868</v>
      </c>
      <c r="G83" s="28">
        <f t="shared" si="10"/>
        <v>1449523</v>
      </c>
      <c r="H83" s="28">
        <f t="shared" si="10"/>
        <v>1059180</v>
      </c>
      <c r="I83" s="16">
        <f>H83/E83</f>
        <v>0.7287646614021966</v>
      </c>
    </row>
    <row r="84" spans="1:9" s="17" customFormat="1" ht="17.25" customHeight="1">
      <c r="A84" s="82"/>
      <c r="B84" s="83"/>
      <c r="C84" s="84"/>
      <c r="D84" s="84"/>
      <c r="E84" s="84"/>
      <c r="F84" s="84"/>
      <c r="G84" s="84"/>
      <c r="H84" s="84"/>
      <c r="I84" s="16"/>
    </row>
    <row r="85" spans="1:9" ht="16.5" customHeight="1">
      <c r="A85" s="439" t="s">
        <v>152</v>
      </c>
      <c r="B85" s="439"/>
      <c r="C85" s="439"/>
      <c r="D85" s="4"/>
      <c r="E85" s="4"/>
      <c r="F85" s="4"/>
      <c r="G85" s="4"/>
      <c r="H85" s="4"/>
      <c r="I85" s="16"/>
    </row>
    <row r="86" spans="1:9" s="86" customFormat="1" ht="16.5" customHeight="1">
      <c r="A86" s="440" t="s">
        <v>153</v>
      </c>
      <c r="B86" s="440"/>
      <c r="C86" s="85"/>
      <c r="D86" s="85"/>
      <c r="E86" s="85"/>
      <c r="F86" s="85"/>
      <c r="G86" s="85"/>
      <c r="H86" s="85" t="s">
        <v>2</v>
      </c>
      <c r="I86" s="16"/>
    </row>
    <row r="87" spans="1:9" ht="54" customHeight="1">
      <c r="A87" s="87" t="s">
        <v>154</v>
      </c>
      <c r="B87" s="88" t="s">
        <v>155</v>
      </c>
      <c r="C87" s="89" t="s">
        <v>5</v>
      </c>
      <c r="D87" s="89" t="s">
        <v>6</v>
      </c>
      <c r="E87" s="89" t="s">
        <v>7</v>
      </c>
      <c r="F87" s="89" t="s">
        <v>8</v>
      </c>
      <c r="G87" s="89" t="s">
        <v>9</v>
      </c>
      <c r="H87" s="89" t="s">
        <v>156</v>
      </c>
      <c r="I87" s="16"/>
    </row>
    <row r="88" spans="1:9" s="12" customFormat="1" ht="12" customHeight="1">
      <c r="A88" s="87">
        <v>1</v>
      </c>
      <c r="B88" s="88">
        <v>2</v>
      </c>
      <c r="C88" s="90">
        <v>3</v>
      </c>
      <c r="D88" s="91">
        <v>4</v>
      </c>
      <c r="E88" s="92">
        <v>5</v>
      </c>
      <c r="F88" s="91">
        <v>6</v>
      </c>
      <c r="G88" s="92">
        <v>7</v>
      </c>
      <c r="H88" s="91">
        <v>8</v>
      </c>
      <c r="I88" s="16"/>
    </row>
    <row r="89" spans="1:9" ht="12" customHeight="1">
      <c r="A89" s="18" t="s">
        <v>11</v>
      </c>
      <c r="B89" s="93" t="s">
        <v>157</v>
      </c>
      <c r="C89" s="28">
        <f aca="true" t="shared" si="11" ref="C89:H89">+C90+C93+C94+C98+C100</f>
        <v>537085</v>
      </c>
      <c r="D89" s="28">
        <f t="shared" si="11"/>
        <v>34994</v>
      </c>
      <c r="E89" s="28">
        <f t="shared" si="11"/>
        <v>572079</v>
      </c>
      <c r="F89" s="28">
        <f t="shared" si="11"/>
        <v>-7563</v>
      </c>
      <c r="G89" s="28">
        <f t="shared" si="11"/>
        <v>564516</v>
      </c>
      <c r="H89" s="28">
        <f t="shared" si="11"/>
        <v>434096</v>
      </c>
      <c r="I89" s="16">
        <f>H89/E89</f>
        <v>0.7588042910157513</v>
      </c>
    </row>
    <row r="90" spans="1:9" ht="12" customHeight="1">
      <c r="A90" s="94" t="s">
        <v>158</v>
      </c>
      <c r="B90" s="95" t="s">
        <v>159</v>
      </c>
      <c r="C90" s="96">
        <v>211764</v>
      </c>
      <c r="D90" s="97">
        <f>D91+D92</f>
        <v>4823</v>
      </c>
      <c r="E90" s="98">
        <f>C90+D90</f>
        <v>216587</v>
      </c>
      <c r="F90" s="98">
        <v>-4199</v>
      </c>
      <c r="G90" s="98">
        <f>E90+F90</f>
        <v>212388</v>
      </c>
      <c r="H90" s="98">
        <v>161025</v>
      </c>
      <c r="I90" s="16">
        <f>H90/E90</f>
        <v>0.7434656743017818</v>
      </c>
    </row>
    <row r="91" spans="1:9" ht="12" customHeight="1">
      <c r="A91" s="94"/>
      <c r="B91" s="95" t="s">
        <v>160</v>
      </c>
      <c r="C91" s="96"/>
      <c r="D91" s="97">
        <f>183+446+483+510-352</f>
        <v>1270</v>
      </c>
      <c r="E91" s="98"/>
      <c r="F91" s="98"/>
      <c r="G91" s="98"/>
      <c r="H91" s="98"/>
      <c r="I91" s="16"/>
    </row>
    <row r="92" spans="1:9" ht="12" customHeight="1">
      <c r="A92" s="21"/>
      <c r="B92" s="32" t="s">
        <v>161</v>
      </c>
      <c r="C92" s="33"/>
      <c r="D92" s="33">
        <f>3553</f>
        <v>3553</v>
      </c>
      <c r="E92" s="33"/>
      <c r="F92" s="33"/>
      <c r="G92" s="33"/>
      <c r="H92" s="33"/>
      <c r="I92" s="16"/>
    </row>
    <row r="93" spans="1:9" ht="12" customHeight="1">
      <c r="A93" s="21" t="s">
        <v>162</v>
      </c>
      <c r="B93" s="32" t="s">
        <v>163</v>
      </c>
      <c r="C93" s="33">
        <v>42166</v>
      </c>
      <c r="D93" s="33">
        <f>1314+352</f>
        <v>1666</v>
      </c>
      <c r="E93" s="33">
        <f>C93+D93</f>
        <v>43832</v>
      </c>
      <c r="F93" s="33">
        <v>-1139</v>
      </c>
      <c r="G93" s="33">
        <f>E93+F93</f>
        <v>42693</v>
      </c>
      <c r="H93" s="33">
        <v>39999</v>
      </c>
      <c r="I93" s="16">
        <f>H93/E93</f>
        <v>0.912552473079029</v>
      </c>
    </row>
    <row r="94" spans="1:9" ht="12" customHeight="1">
      <c r="A94" s="21" t="s">
        <v>164</v>
      </c>
      <c r="B94" s="32" t="s">
        <v>165</v>
      </c>
      <c r="C94" s="52">
        <f>374518-149096+12250-322</f>
        <v>237350</v>
      </c>
      <c r="D94" s="52">
        <f>D95+D97+D96</f>
        <v>4892</v>
      </c>
      <c r="E94" s="52">
        <f>C94+D94</f>
        <v>242242</v>
      </c>
      <c r="F94" s="52">
        <v>-2225</v>
      </c>
      <c r="G94" s="52">
        <f>E94+F94</f>
        <v>240017</v>
      </c>
      <c r="H94" s="52">
        <v>157623</v>
      </c>
      <c r="I94" s="16">
        <f>H94/E94</f>
        <v>0.6506840267170846</v>
      </c>
    </row>
    <row r="95" spans="1:9" ht="12" customHeight="1">
      <c r="A95" s="21"/>
      <c r="B95" s="32" t="s">
        <v>65</v>
      </c>
      <c r="C95" s="52"/>
      <c r="D95" s="99">
        <v>2994</v>
      </c>
      <c r="E95" s="99"/>
      <c r="F95" s="99"/>
      <c r="G95" s="99"/>
      <c r="H95" s="52"/>
      <c r="I95" s="16"/>
    </row>
    <row r="96" spans="1:9" ht="12" customHeight="1">
      <c r="A96" s="21"/>
      <c r="B96" s="32" t="s">
        <v>166</v>
      </c>
      <c r="C96" s="52"/>
      <c r="D96" s="99">
        <v>764</v>
      </c>
      <c r="E96" s="99"/>
      <c r="F96" s="99"/>
      <c r="G96" s="99"/>
      <c r="H96" s="52"/>
      <c r="I96" s="16"/>
    </row>
    <row r="97" spans="1:9" ht="12" customHeight="1">
      <c r="A97" s="21"/>
      <c r="B97" s="32" t="s">
        <v>167</v>
      </c>
      <c r="C97" s="52"/>
      <c r="D97" s="99">
        <v>1134</v>
      </c>
      <c r="E97" s="99"/>
      <c r="F97" s="99"/>
      <c r="G97" s="99"/>
      <c r="H97" s="52"/>
      <c r="I97" s="16"/>
    </row>
    <row r="98" spans="1:9" ht="12" customHeight="1">
      <c r="A98" s="21" t="s">
        <v>168</v>
      </c>
      <c r="B98" s="100" t="s">
        <v>169</v>
      </c>
      <c r="C98" s="52">
        <v>39215</v>
      </c>
      <c r="D98" s="52">
        <v>23613</v>
      </c>
      <c r="E98" s="52">
        <v>62828</v>
      </c>
      <c r="F98" s="52"/>
      <c r="G98" s="52">
        <v>62828</v>
      </c>
      <c r="H98" s="52">
        <v>64574</v>
      </c>
      <c r="I98" s="16">
        <f>H98/E98</f>
        <v>1.0277901572547272</v>
      </c>
    </row>
    <row r="99" spans="1:9" ht="12" customHeight="1">
      <c r="A99" s="21"/>
      <c r="B99" s="100" t="s">
        <v>170</v>
      </c>
      <c r="C99" s="52"/>
      <c r="D99" s="99">
        <v>23613</v>
      </c>
      <c r="E99" s="52"/>
      <c r="F99" s="52"/>
      <c r="G99" s="52"/>
      <c r="H99" s="52"/>
      <c r="I99" s="16"/>
    </row>
    <row r="100" spans="1:9" ht="12" customHeight="1">
      <c r="A100" s="21" t="s">
        <v>171</v>
      </c>
      <c r="B100" s="101" t="s">
        <v>172</v>
      </c>
      <c r="C100" s="52">
        <v>6590</v>
      </c>
      <c r="D100" s="52"/>
      <c r="E100" s="52">
        <v>6590</v>
      </c>
      <c r="F100" s="52"/>
      <c r="G100" s="52">
        <v>6590</v>
      </c>
      <c r="H100" s="52">
        <f>SUM(H104)</f>
        <v>10875</v>
      </c>
      <c r="I100" s="16">
        <f>H100/E100</f>
        <v>1.650227617602428</v>
      </c>
    </row>
    <row r="101" spans="1:9" ht="12" customHeight="1">
      <c r="A101" s="21" t="s">
        <v>173</v>
      </c>
      <c r="B101" s="32" t="s">
        <v>174</v>
      </c>
      <c r="C101" s="52"/>
      <c r="D101" s="52"/>
      <c r="E101" s="52"/>
      <c r="F101" s="52"/>
      <c r="G101" s="52"/>
      <c r="H101" s="52"/>
      <c r="I101" s="16"/>
    </row>
    <row r="102" spans="1:9" ht="12" customHeight="1">
      <c r="A102" s="21" t="s">
        <v>175</v>
      </c>
      <c r="B102" s="102" t="s">
        <v>176</v>
      </c>
      <c r="C102" s="52"/>
      <c r="D102" s="52"/>
      <c r="E102" s="52"/>
      <c r="F102" s="52"/>
      <c r="G102" s="52"/>
      <c r="H102" s="52"/>
      <c r="I102" s="16"/>
    </row>
    <row r="103" spans="1:9" ht="12" customHeight="1">
      <c r="A103" s="21" t="s">
        <v>177</v>
      </c>
      <c r="B103" s="102" t="s">
        <v>178</v>
      </c>
      <c r="C103" s="52"/>
      <c r="D103" s="52"/>
      <c r="E103" s="52"/>
      <c r="F103" s="52"/>
      <c r="G103" s="52"/>
      <c r="H103" s="52"/>
      <c r="I103" s="16"/>
    </row>
    <row r="104" spans="1:9" ht="12" customHeight="1">
      <c r="A104" s="21" t="s">
        <v>179</v>
      </c>
      <c r="B104" s="103" t="s">
        <v>180</v>
      </c>
      <c r="C104" s="52">
        <v>6590</v>
      </c>
      <c r="D104" s="52"/>
      <c r="E104" s="52">
        <v>6590</v>
      </c>
      <c r="F104" s="52"/>
      <c r="G104" s="52">
        <v>6590</v>
      </c>
      <c r="H104" s="52">
        <v>10875</v>
      </c>
      <c r="I104" s="16">
        <f>H104/E104</f>
        <v>1.650227617602428</v>
      </c>
    </row>
    <row r="105" spans="1:9" ht="12" customHeight="1">
      <c r="A105" s="34" t="s">
        <v>181</v>
      </c>
      <c r="B105" s="104" t="s">
        <v>182</v>
      </c>
      <c r="C105" s="52"/>
      <c r="D105" s="52"/>
      <c r="E105" s="52"/>
      <c r="F105" s="52"/>
      <c r="G105" s="52"/>
      <c r="H105" s="52"/>
      <c r="I105" s="16"/>
    </row>
    <row r="106" spans="1:9" ht="12" customHeight="1">
      <c r="A106" s="21" t="s">
        <v>183</v>
      </c>
      <c r="B106" s="104" t="s">
        <v>184</v>
      </c>
      <c r="C106" s="52"/>
      <c r="D106" s="52"/>
      <c r="E106" s="52"/>
      <c r="F106" s="52"/>
      <c r="G106" s="52"/>
      <c r="H106" s="52"/>
      <c r="I106" s="16"/>
    </row>
    <row r="107" spans="1:9" ht="12" customHeight="1">
      <c r="A107" s="105" t="s">
        <v>185</v>
      </c>
      <c r="B107" s="106" t="s">
        <v>186</v>
      </c>
      <c r="C107" s="45"/>
      <c r="D107" s="45"/>
      <c r="E107" s="45"/>
      <c r="F107" s="45"/>
      <c r="G107" s="45"/>
      <c r="H107" s="45"/>
      <c r="I107" s="16"/>
    </row>
    <row r="108" spans="1:9" ht="12" customHeight="1">
      <c r="A108" s="18" t="s">
        <v>13</v>
      </c>
      <c r="B108" s="93" t="s">
        <v>187</v>
      </c>
      <c r="C108" s="28">
        <f aca="true" t="shared" si="12" ref="C108:H108">+C109+C113+C114</f>
        <v>342713</v>
      </c>
      <c r="D108" s="28">
        <f t="shared" si="12"/>
        <v>9246</v>
      </c>
      <c r="E108" s="28">
        <f t="shared" si="12"/>
        <v>351959</v>
      </c>
      <c r="F108" s="28">
        <f t="shared" si="12"/>
        <v>0</v>
      </c>
      <c r="G108" s="28">
        <f t="shared" si="12"/>
        <v>351959</v>
      </c>
      <c r="H108" s="28">
        <f t="shared" si="12"/>
        <v>182720</v>
      </c>
      <c r="I108" s="16">
        <f aca="true" t="shared" si="13" ref="I108:I114">H108/E108</f>
        <v>0.519151378427601</v>
      </c>
    </row>
    <row r="109" spans="1:9" ht="12" customHeight="1">
      <c r="A109" s="42" t="s">
        <v>15</v>
      </c>
      <c r="B109" s="32" t="s">
        <v>188</v>
      </c>
      <c r="C109" s="44">
        <f>106152+27658</f>
        <v>133810</v>
      </c>
      <c r="D109" s="44">
        <f>SUM(D110:D112)</f>
        <v>9246</v>
      </c>
      <c r="E109" s="44">
        <f>C109+D109</f>
        <v>143056</v>
      </c>
      <c r="F109" s="44"/>
      <c r="G109" s="44">
        <v>143056</v>
      </c>
      <c r="H109" s="44">
        <v>84686</v>
      </c>
      <c r="I109" s="16">
        <f t="shared" si="13"/>
        <v>0.5919779666703948</v>
      </c>
    </row>
    <row r="110" spans="1:9" ht="15" customHeight="1">
      <c r="A110" s="42"/>
      <c r="B110" s="107" t="s">
        <v>189</v>
      </c>
      <c r="C110" s="44"/>
      <c r="D110" s="108">
        <v>2431</v>
      </c>
      <c r="E110" s="108">
        <v>2431</v>
      </c>
      <c r="F110" s="108"/>
      <c r="G110" s="108"/>
      <c r="H110" s="108"/>
      <c r="I110" s="16">
        <f t="shared" si="13"/>
        <v>0</v>
      </c>
    </row>
    <row r="111" spans="1:9" ht="12" customHeight="1">
      <c r="A111" s="42"/>
      <c r="B111" s="32" t="s">
        <v>190</v>
      </c>
      <c r="C111" s="44"/>
      <c r="D111" s="108">
        <v>5975</v>
      </c>
      <c r="E111" s="108">
        <v>5975</v>
      </c>
      <c r="F111" s="108"/>
      <c r="G111" s="108"/>
      <c r="H111" s="108"/>
      <c r="I111" s="16">
        <f t="shared" si="13"/>
        <v>0</v>
      </c>
    </row>
    <row r="112" spans="1:9" ht="12" customHeight="1">
      <c r="A112" s="42"/>
      <c r="B112" s="32" t="s">
        <v>191</v>
      </c>
      <c r="C112" s="44"/>
      <c r="D112" s="108">
        <v>840</v>
      </c>
      <c r="E112" s="108">
        <v>840</v>
      </c>
      <c r="F112" s="108"/>
      <c r="G112" s="108"/>
      <c r="H112" s="108"/>
      <c r="I112" s="16">
        <f t="shared" si="13"/>
        <v>0</v>
      </c>
    </row>
    <row r="113" spans="1:9" ht="12" customHeight="1">
      <c r="A113" s="42" t="s">
        <v>19</v>
      </c>
      <c r="B113" s="53" t="s">
        <v>192</v>
      </c>
      <c r="C113" s="33">
        <v>207119</v>
      </c>
      <c r="D113" s="33"/>
      <c r="E113" s="33">
        <v>207119</v>
      </c>
      <c r="F113" s="33"/>
      <c r="G113" s="33">
        <v>207119</v>
      </c>
      <c r="H113" s="33">
        <v>97913</v>
      </c>
      <c r="I113" s="16">
        <f t="shared" si="13"/>
        <v>0.47273789464027927</v>
      </c>
    </row>
    <row r="114" spans="1:9" ht="12" customHeight="1">
      <c r="A114" s="42" t="s">
        <v>21</v>
      </c>
      <c r="B114" s="59" t="s">
        <v>193</v>
      </c>
      <c r="C114" s="23">
        <v>1784</v>
      </c>
      <c r="D114" s="23"/>
      <c r="E114" s="23">
        <v>1784</v>
      </c>
      <c r="F114" s="23"/>
      <c r="G114" s="23">
        <v>1784</v>
      </c>
      <c r="H114" s="23">
        <v>121</v>
      </c>
      <c r="I114" s="16">
        <f t="shared" si="13"/>
        <v>0.06782511210762332</v>
      </c>
    </row>
    <row r="115" spans="1:9" ht="12" customHeight="1">
      <c r="A115" s="42" t="s">
        <v>23</v>
      </c>
      <c r="B115" s="109" t="s">
        <v>194</v>
      </c>
      <c r="C115" s="23"/>
      <c r="D115" s="23"/>
      <c r="E115" s="23"/>
      <c r="F115" s="23"/>
      <c r="G115" s="23"/>
      <c r="H115" s="23"/>
      <c r="I115" s="16"/>
    </row>
    <row r="116" spans="1:9" ht="12" customHeight="1">
      <c r="A116" s="42" t="s">
        <v>195</v>
      </c>
      <c r="B116" s="109" t="s">
        <v>196</v>
      </c>
      <c r="C116" s="23"/>
      <c r="D116" s="23"/>
      <c r="E116" s="23"/>
      <c r="F116" s="23"/>
      <c r="G116" s="23"/>
      <c r="H116" s="23"/>
      <c r="I116" s="16"/>
    </row>
    <row r="117" spans="1:9" ht="15.75">
      <c r="A117" s="42" t="s">
        <v>197</v>
      </c>
      <c r="B117" s="59" t="s">
        <v>198</v>
      </c>
      <c r="C117" s="23"/>
      <c r="D117" s="23"/>
      <c r="E117" s="23"/>
      <c r="F117" s="23"/>
      <c r="G117" s="23"/>
      <c r="H117" s="23"/>
      <c r="I117" s="16"/>
    </row>
    <row r="118" spans="1:9" ht="12" customHeight="1">
      <c r="A118" s="42" t="s">
        <v>199</v>
      </c>
      <c r="B118" s="110" t="s">
        <v>200</v>
      </c>
      <c r="C118" s="23"/>
      <c r="D118" s="23"/>
      <c r="E118" s="23"/>
      <c r="F118" s="23"/>
      <c r="G118" s="23"/>
      <c r="H118" s="23">
        <v>121</v>
      </c>
      <c r="I118" s="16"/>
    </row>
    <row r="119" spans="1:9" ht="12" customHeight="1">
      <c r="A119" s="42" t="s">
        <v>201</v>
      </c>
      <c r="B119" s="110" t="s">
        <v>202</v>
      </c>
      <c r="C119" s="23"/>
      <c r="D119" s="23"/>
      <c r="E119" s="23"/>
      <c r="F119" s="23"/>
      <c r="G119" s="23"/>
      <c r="H119" s="23"/>
      <c r="I119" s="16"/>
    </row>
    <row r="120" spans="1:9" ht="12" customHeight="1">
      <c r="A120" s="42" t="s">
        <v>203</v>
      </c>
      <c r="B120" s="111" t="s">
        <v>204</v>
      </c>
      <c r="C120" s="23"/>
      <c r="D120" s="23"/>
      <c r="E120" s="23"/>
      <c r="F120" s="23"/>
      <c r="G120" s="23"/>
      <c r="H120" s="23"/>
      <c r="I120" s="16"/>
    </row>
    <row r="121" spans="1:9" ht="24" customHeight="1">
      <c r="A121" s="34" t="s">
        <v>205</v>
      </c>
      <c r="B121" s="112" t="s">
        <v>206</v>
      </c>
      <c r="C121" s="65"/>
      <c r="D121" s="65"/>
      <c r="E121" s="65"/>
      <c r="F121" s="65"/>
      <c r="G121" s="65"/>
      <c r="H121" s="65"/>
      <c r="I121" s="16"/>
    </row>
    <row r="122" spans="1:9" ht="12" customHeight="1">
      <c r="A122" s="18" t="s">
        <v>25</v>
      </c>
      <c r="B122" s="14" t="s">
        <v>207</v>
      </c>
      <c r="C122" s="28">
        <f aca="true" t="shared" si="14" ref="C122:H122">+C123+C128</f>
        <v>509716</v>
      </c>
      <c r="D122" s="28">
        <f t="shared" si="14"/>
        <v>19637</v>
      </c>
      <c r="E122" s="28">
        <f t="shared" si="14"/>
        <v>529353</v>
      </c>
      <c r="F122" s="28">
        <f t="shared" si="14"/>
        <v>0</v>
      </c>
      <c r="G122" s="28">
        <f t="shared" si="14"/>
        <v>529353</v>
      </c>
      <c r="H122" s="28">
        <f t="shared" si="14"/>
        <v>0</v>
      </c>
      <c r="I122" s="16"/>
    </row>
    <row r="123" spans="1:9" ht="12" customHeight="1">
      <c r="A123" s="42" t="s">
        <v>27</v>
      </c>
      <c r="B123" s="43" t="s">
        <v>208</v>
      </c>
      <c r="C123" s="44">
        <f>149096+17780</f>
        <v>166876</v>
      </c>
      <c r="D123" s="44">
        <f>SUM(D124:D127)</f>
        <v>236</v>
      </c>
      <c r="E123" s="44">
        <f>C123+D123</f>
        <v>167112</v>
      </c>
      <c r="F123" s="44"/>
      <c r="G123" s="44">
        <v>167112</v>
      </c>
      <c r="H123" s="44"/>
      <c r="I123" s="16"/>
    </row>
    <row r="124" spans="1:9" ht="12" customHeight="1">
      <c r="A124" s="42"/>
      <c r="B124" s="43" t="s">
        <v>167</v>
      </c>
      <c r="C124" s="44"/>
      <c r="D124" s="44">
        <v>-1134</v>
      </c>
      <c r="E124" s="44"/>
      <c r="F124" s="44"/>
      <c r="G124" s="44"/>
      <c r="H124" s="44"/>
      <c r="I124" s="16"/>
    </row>
    <row r="125" spans="1:9" ht="12" customHeight="1">
      <c r="A125" s="42"/>
      <c r="B125" s="43" t="s">
        <v>209</v>
      </c>
      <c r="C125" s="44"/>
      <c r="D125" s="44">
        <v>1370</v>
      </c>
      <c r="E125" s="44"/>
      <c r="F125" s="44"/>
      <c r="G125" s="44"/>
      <c r="H125" s="44"/>
      <c r="I125" s="16"/>
    </row>
    <row r="126" spans="1:9" ht="12" customHeight="1">
      <c r="A126" s="42"/>
      <c r="B126"/>
      <c r="C126" s="44"/>
      <c r="D126" s="44"/>
      <c r="E126" s="44"/>
      <c r="F126" s="44"/>
      <c r="G126" s="44"/>
      <c r="H126" s="44"/>
      <c r="I126" s="16"/>
    </row>
    <row r="127" spans="1:9" ht="12" customHeight="1">
      <c r="A127" s="42"/>
      <c r="B127" s="43"/>
      <c r="C127" s="44"/>
      <c r="D127" s="44"/>
      <c r="E127" s="44"/>
      <c r="F127" s="44"/>
      <c r="G127" s="44"/>
      <c r="H127" s="44"/>
      <c r="I127" s="16"/>
    </row>
    <row r="128" spans="1:9" ht="12" customHeight="1">
      <c r="A128" s="51" t="s">
        <v>29</v>
      </c>
      <c r="B128" s="53" t="s">
        <v>210</v>
      </c>
      <c r="C128" s="52">
        <v>342840</v>
      </c>
      <c r="D128" s="52">
        <f>SUM(D129:D130)</f>
        <v>19401</v>
      </c>
      <c r="E128" s="52">
        <f>C128+D128</f>
        <v>362241</v>
      </c>
      <c r="F128" s="52"/>
      <c r="G128" s="52">
        <v>362241</v>
      </c>
      <c r="H128" s="52"/>
      <c r="I128" s="16"/>
    </row>
    <row r="129" spans="1:9" ht="12" customHeight="1">
      <c r="A129" s="51"/>
      <c r="B129" s="53" t="s">
        <v>211</v>
      </c>
      <c r="C129" s="52"/>
      <c r="D129" s="52">
        <v>20241</v>
      </c>
      <c r="E129" s="52"/>
      <c r="F129" s="52"/>
      <c r="G129" s="52"/>
      <c r="H129" s="52"/>
      <c r="I129" s="16"/>
    </row>
    <row r="130" spans="1:9" ht="12" customHeight="1">
      <c r="A130" s="51"/>
      <c r="B130" s="43" t="s">
        <v>212</v>
      </c>
      <c r="C130" s="52"/>
      <c r="D130" s="52">
        <v>-840</v>
      </c>
      <c r="E130" s="52"/>
      <c r="F130" s="52"/>
      <c r="G130" s="52"/>
      <c r="H130" s="52"/>
      <c r="I130" s="16"/>
    </row>
    <row r="131" spans="1:9" s="114" customFormat="1" ht="12" customHeight="1">
      <c r="A131" s="74" t="s">
        <v>213</v>
      </c>
      <c r="B131" s="19" t="s">
        <v>214</v>
      </c>
      <c r="C131" s="113"/>
      <c r="D131" s="113"/>
      <c r="E131" s="113"/>
      <c r="F131" s="113"/>
      <c r="G131" s="113"/>
      <c r="H131" s="113"/>
      <c r="I131" s="16"/>
    </row>
    <row r="132" spans="1:9" s="114" customFormat="1" ht="12" customHeight="1">
      <c r="A132" s="74"/>
      <c r="B132" s="19" t="s">
        <v>215</v>
      </c>
      <c r="C132" s="113"/>
      <c r="D132" s="113"/>
      <c r="E132" s="113"/>
      <c r="F132" s="113">
        <v>3695</v>
      </c>
      <c r="G132" s="113">
        <v>3695</v>
      </c>
      <c r="H132" s="113"/>
      <c r="I132" s="16"/>
    </row>
    <row r="133" spans="1:9" ht="12" customHeight="1">
      <c r="A133" s="115" t="s">
        <v>47</v>
      </c>
      <c r="B133" s="116" t="s">
        <v>216</v>
      </c>
      <c r="C133" s="15">
        <f>+C89+C108+C122+C131</f>
        <v>1389514</v>
      </c>
      <c r="D133" s="15">
        <f>+D89+D108+D122+D131+D132</f>
        <v>63877</v>
      </c>
      <c r="E133" s="15">
        <f>+E89+E108+E122+E131+E132</f>
        <v>1453391</v>
      </c>
      <c r="F133" s="15">
        <f>+F89+F108+F122+F131+F132</f>
        <v>-3868</v>
      </c>
      <c r="G133" s="15">
        <f>+G89+G108+G122+G131+G132</f>
        <v>1449523</v>
      </c>
      <c r="H133" s="15">
        <f>+H89+H108+H122+H131</f>
        <v>616816</v>
      </c>
      <c r="I133" s="16">
        <f>H133/E133</f>
        <v>0.4243978392600477</v>
      </c>
    </row>
    <row r="134" spans="1:9" ht="12" customHeight="1">
      <c r="A134" s="74" t="s">
        <v>77</v>
      </c>
      <c r="B134" s="19" t="s">
        <v>217</v>
      </c>
      <c r="C134" s="28">
        <f>+C135+C143</f>
        <v>0</v>
      </c>
      <c r="D134" s="28">
        <f>+D135+D143</f>
        <v>0</v>
      </c>
      <c r="E134" s="28">
        <f>+E135+E143</f>
        <v>0</v>
      </c>
      <c r="F134" s="28"/>
      <c r="G134" s="28"/>
      <c r="H134" s="28">
        <f>+H135+H143</f>
        <v>0</v>
      </c>
      <c r="I134" s="16"/>
    </row>
    <row r="135" spans="1:9" ht="12" customHeight="1">
      <c r="A135" s="117" t="s">
        <v>79</v>
      </c>
      <c r="B135" s="118" t="s">
        <v>218</v>
      </c>
      <c r="C135" s="119">
        <f>+C136+C137+C138+C139+C140+C141+C142</f>
        <v>0</v>
      </c>
      <c r="D135" s="119">
        <f>+D136+D137+D138+D139+D140+D141+D142</f>
        <v>0</v>
      </c>
      <c r="E135" s="119">
        <f>+E136+E137+E138+E139+E140+E141+E142</f>
        <v>0</v>
      </c>
      <c r="F135" s="119"/>
      <c r="G135" s="119"/>
      <c r="H135" s="119">
        <f>+H136+H137+H138+H139+H140+H141+H142</f>
        <v>0</v>
      </c>
      <c r="I135" s="16"/>
    </row>
    <row r="136" spans="1:9" ht="12" customHeight="1">
      <c r="A136" s="120" t="s">
        <v>81</v>
      </c>
      <c r="B136" s="26" t="s">
        <v>219</v>
      </c>
      <c r="C136" s="121"/>
      <c r="D136" s="121"/>
      <c r="E136" s="121"/>
      <c r="F136" s="121"/>
      <c r="G136" s="121"/>
      <c r="H136" s="121"/>
      <c r="I136" s="16"/>
    </row>
    <row r="137" spans="1:9" ht="12" customHeight="1">
      <c r="A137" s="77" t="s">
        <v>83</v>
      </c>
      <c r="B137" s="59" t="s">
        <v>220</v>
      </c>
      <c r="C137" s="122"/>
      <c r="D137" s="122"/>
      <c r="E137" s="122"/>
      <c r="F137" s="122"/>
      <c r="G137" s="122"/>
      <c r="H137" s="122"/>
      <c r="I137" s="16"/>
    </row>
    <row r="138" spans="1:9" ht="12" customHeight="1">
      <c r="A138" s="77" t="s">
        <v>85</v>
      </c>
      <c r="B138" s="59" t="s">
        <v>221</v>
      </c>
      <c r="C138" s="122"/>
      <c r="D138" s="122"/>
      <c r="E138" s="122"/>
      <c r="F138" s="122"/>
      <c r="G138" s="122"/>
      <c r="H138" s="122"/>
      <c r="I138" s="16"/>
    </row>
    <row r="139" spans="1:9" ht="12" customHeight="1">
      <c r="A139" s="77" t="s">
        <v>87</v>
      </c>
      <c r="B139" s="59" t="s">
        <v>222</v>
      </c>
      <c r="C139" s="122"/>
      <c r="D139" s="122"/>
      <c r="E139" s="122"/>
      <c r="F139" s="122"/>
      <c r="G139" s="122"/>
      <c r="H139" s="122"/>
      <c r="I139" s="16"/>
    </row>
    <row r="140" spans="1:9" ht="12" customHeight="1">
      <c r="A140" s="77" t="s">
        <v>89</v>
      </c>
      <c r="B140" s="59" t="s">
        <v>223</v>
      </c>
      <c r="C140" s="122"/>
      <c r="D140" s="122"/>
      <c r="E140" s="122"/>
      <c r="F140" s="122"/>
      <c r="G140" s="122"/>
      <c r="H140" s="122"/>
      <c r="I140" s="16"/>
    </row>
    <row r="141" spans="1:9" ht="12" customHeight="1">
      <c r="A141" s="77" t="s">
        <v>224</v>
      </c>
      <c r="B141" s="59" t="s">
        <v>225</v>
      </c>
      <c r="C141" s="122"/>
      <c r="D141" s="122"/>
      <c r="E141" s="122"/>
      <c r="F141" s="122"/>
      <c r="G141" s="122"/>
      <c r="H141" s="122"/>
      <c r="I141" s="16"/>
    </row>
    <row r="142" spans="1:9" ht="12" customHeight="1">
      <c r="A142" s="123" t="s">
        <v>226</v>
      </c>
      <c r="B142" s="124" t="s">
        <v>227</v>
      </c>
      <c r="C142" s="125"/>
      <c r="D142" s="125"/>
      <c r="E142" s="125"/>
      <c r="F142" s="125"/>
      <c r="G142" s="125"/>
      <c r="H142" s="125"/>
      <c r="I142" s="16"/>
    </row>
    <row r="143" spans="1:9" ht="12" customHeight="1">
      <c r="A143" s="117" t="s">
        <v>91</v>
      </c>
      <c r="B143" s="126" t="s">
        <v>228</v>
      </c>
      <c r="C143" s="119">
        <f>+C144+C145+C146+C147+C148+C149+C150+C151</f>
        <v>0</v>
      </c>
      <c r="D143" s="119">
        <f>+D144+D145+D146+D147+D148+D149+D150+D151</f>
        <v>0</v>
      </c>
      <c r="E143" s="119">
        <f>+E144+E145+E146+E147+E148+E149+E150+E151</f>
        <v>0</v>
      </c>
      <c r="F143" s="119"/>
      <c r="G143" s="119"/>
      <c r="H143" s="119">
        <f>+H144+H145+H146+H147+H148+H149+H150+H151</f>
        <v>0</v>
      </c>
      <c r="I143" s="16"/>
    </row>
    <row r="144" spans="1:9" ht="12" customHeight="1">
      <c r="A144" s="120" t="s">
        <v>93</v>
      </c>
      <c r="B144" s="26" t="s">
        <v>219</v>
      </c>
      <c r="C144" s="121"/>
      <c r="D144" s="121"/>
      <c r="E144" s="121"/>
      <c r="F144" s="121"/>
      <c r="G144" s="121"/>
      <c r="H144" s="121"/>
      <c r="I144" s="16"/>
    </row>
    <row r="145" spans="1:9" ht="12" customHeight="1">
      <c r="A145" s="77" t="s">
        <v>94</v>
      </c>
      <c r="B145" s="59" t="s">
        <v>229</v>
      </c>
      <c r="C145" s="122"/>
      <c r="D145" s="122"/>
      <c r="E145" s="122"/>
      <c r="F145" s="122"/>
      <c r="G145" s="122"/>
      <c r="H145" s="122"/>
      <c r="I145" s="16"/>
    </row>
    <row r="146" spans="1:9" ht="12" customHeight="1">
      <c r="A146" s="77" t="s">
        <v>96</v>
      </c>
      <c r="B146" s="59" t="s">
        <v>221</v>
      </c>
      <c r="C146" s="122"/>
      <c r="D146" s="122"/>
      <c r="E146" s="122"/>
      <c r="F146" s="122"/>
      <c r="G146" s="122"/>
      <c r="H146" s="122"/>
      <c r="I146" s="16"/>
    </row>
    <row r="147" spans="1:9" ht="12" customHeight="1">
      <c r="A147" s="77" t="s">
        <v>97</v>
      </c>
      <c r="B147" s="59" t="s">
        <v>222</v>
      </c>
      <c r="C147" s="122"/>
      <c r="D147" s="122"/>
      <c r="E147" s="122"/>
      <c r="F147" s="122"/>
      <c r="G147" s="122"/>
      <c r="H147" s="122"/>
      <c r="I147" s="16"/>
    </row>
    <row r="148" spans="1:9" ht="12" customHeight="1">
      <c r="A148" s="77" t="s">
        <v>99</v>
      </c>
      <c r="B148" s="59" t="s">
        <v>223</v>
      </c>
      <c r="C148" s="122"/>
      <c r="D148" s="122"/>
      <c r="E148" s="122"/>
      <c r="F148" s="122"/>
      <c r="G148" s="122"/>
      <c r="H148" s="122"/>
      <c r="I148" s="16"/>
    </row>
    <row r="149" spans="1:9" ht="12" customHeight="1">
      <c r="A149" s="77" t="s">
        <v>230</v>
      </c>
      <c r="B149" s="59" t="s">
        <v>231</v>
      </c>
      <c r="C149" s="122"/>
      <c r="D149" s="122"/>
      <c r="E149" s="122"/>
      <c r="F149" s="122"/>
      <c r="G149" s="122"/>
      <c r="H149" s="122"/>
      <c r="I149" s="16"/>
    </row>
    <row r="150" spans="1:9" ht="12" customHeight="1">
      <c r="A150" s="77" t="s">
        <v>232</v>
      </c>
      <c r="B150" s="59" t="s">
        <v>227</v>
      </c>
      <c r="C150" s="122"/>
      <c r="D150" s="122"/>
      <c r="E150" s="122"/>
      <c r="F150" s="122"/>
      <c r="G150" s="122"/>
      <c r="H150" s="122"/>
      <c r="I150" s="16"/>
    </row>
    <row r="151" spans="1:9" ht="12" customHeight="1">
      <c r="A151" s="123" t="s">
        <v>233</v>
      </c>
      <c r="B151" s="124" t="s">
        <v>234</v>
      </c>
      <c r="C151" s="125"/>
      <c r="D151" s="125"/>
      <c r="E151" s="125"/>
      <c r="F151" s="125"/>
      <c r="G151" s="125"/>
      <c r="H151" s="125"/>
      <c r="I151" s="16"/>
    </row>
    <row r="152" spans="1:9" ht="18.75" customHeight="1">
      <c r="A152" s="74" t="s">
        <v>235</v>
      </c>
      <c r="B152" s="19" t="s">
        <v>236</v>
      </c>
      <c r="C152" s="127">
        <f aca="true" t="shared" si="15" ref="C152:H152">+C133+C134</f>
        <v>1389514</v>
      </c>
      <c r="D152" s="127">
        <f t="shared" si="15"/>
        <v>63877</v>
      </c>
      <c r="E152" s="127">
        <f t="shared" si="15"/>
        <v>1453391</v>
      </c>
      <c r="F152" s="127">
        <f t="shared" si="15"/>
        <v>-3868</v>
      </c>
      <c r="G152" s="127">
        <f t="shared" si="15"/>
        <v>1449523</v>
      </c>
      <c r="H152" s="127">
        <f t="shared" si="15"/>
        <v>616816</v>
      </c>
      <c r="I152" s="16">
        <f>H152/E152</f>
        <v>0.4243978392600477</v>
      </c>
    </row>
    <row r="153" spans="1:10" ht="15" customHeight="1">
      <c r="A153" s="74" t="s">
        <v>107</v>
      </c>
      <c r="B153" s="19" t="s">
        <v>237</v>
      </c>
      <c r="C153" s="128"/>
      <c r="D153" s="128"/>
      <c r="E153" s="128"/>
      <c r="F153" s="128"/>
      <c r="G153" s="128"/>
      <c r="H153" s="128">
        <v>-21494</v>
      </c>
      <c r="I153" s="16"/>
      <c r="J153" s="129"/>
    </row>
    <row r="154" spans="1:9" s="17" customFormat="1" ht="12.75" customHeight="1">
      <c r="A154" s="130" t="s">
        <v>238</v>
      </c>
      <c r="B154" s="70" t="s">
        <v>239</v>
      </c>
      <c r="C154" s="28">
        <f aca="true" t="shared" si="16" ref="C154:H154">+C152+C153</f>
        <v>1389514</v>
      </c>
      <c r="D154" s="28">
        <f t="shared" si="16"/>
        <v>63877</v>
      </c>
      <c r="E154" s="28">
        <f t="shared" si="16"/>
        <v>1453391</v>
      </c>
      <c r="F154" s="28">
        <f t="shared" si="16"/>
        <v>-3868</v>
      </c>
      <c r="G154" s="28">
        <f t="shared" si="16"/>
        <v>1449523</v>
      </c>
      <c r="H154" s="28">
        <f t="shared" si="16"/>
        <v>595322</v>
      </c>
      <c r="I154" s="16">
        <f>H154/E154</f>
        <v>0.40960897652455536</v>
      </c>
    </row>
    <row r="155" spans="1:8" ht="7.5" customHeight="1">
      <c r="A155" s="131"/>
      <c r="B155" s="131"/>
      <c r="C155" s="132"/>
      <c r="D155" s="132"/>
      <c r="E155" s="132"/>
      <c r="F155" s="132"/>
      <c r="G155" s="132"/>
      <c r="H155" s="132"/>
    </row>
    <row r="156" spans="1:8" ht="15.75">
      <c r="A156" s="434" t="s">
        <v>240</v>
      </c>
      <c r="B156" s="434"/>
      <c r="C156" s="434"/>
      <c r="D156" s="133"/>
      <c r="E156" s="133"/>
      <c r="F156" s="133"/>
      <c r="G156" s="133"/>
      <c r="H156" s="133"/>
    </row>
    <row r="157" spans="1:8" ht="15" customHeight="1">
      <c r="A157" s="435" t="s">
        <v>241</v>
      </c>
      <c r="B157" s="435"/>
      <c r="C157" s="5"/>
      <c r="D157" s="5"/>
      <c r="E157" s="5"/>
      <c r="F157" s="5"/>
      <c r="G157" s="5"/>
      <c r="H157" s="5" t="s">
        <v>2</v>
      </c>
    </row>
    <row r="158" spans="1:8" ht="24" customHeight="1">
      <c r="A158" s="18">
        <v>1</v>
      </c>
      <c r="B158" s="93" t="s">
        <v>242</v>
      </c>
      <c r="C158" s="134">
        <f aca="true" t="shared" si="17" ref="C158:H158">+C67-C133</f>
        <v>-496552</v>
      </c>
      <c r="D158" s="134">
        <f t="shared" si="17"/>
        <v>-20241</v>
      </c>
      <c r="E158" s="134">
        <f t="shared" si="17"/>
        <v>-516793</v>
      </c>
      <c r="F158" s="134">
        <f t="shared" si="17"/>
        <v>0</v>
      </c>
      <c r="G158" s="134">
        <f t="shared" si="17"/>
        <v>-516793</v>
      </c>
      <c r="H158" s="134">
        <f t="shared" si="17"/>
        <v>-82466</v>
      </c>
    </row>
    <row r="159" spans="1:8" ht="7.5" customHeight="1">
      <c r="A159" s="131"/>
      <c r="B159" s="131"/>
      <c r="C159" s="132"/>
      <c r="D159" s="132"/>
      <c r="E159" s="132"/>
      <c r="F159" s="132"/>
      <c r="G159" s="132"/>
      <c r="H159" s="132"/>
    </row>
    <row r="160" spans="1:8" ht="15.75">
      <c r="A160" s="436" t="s">
        <v>243</v>
      </c>
      <c r="B160" s="436"/>
      <c r="C160" s="436"/>
      <c r="D160" s="135"/>
      <c r="E160" s="135"/>
      <c r="F160" s="135"/>
      <c r="G160" s="135"/>
      <c r="H160" s="135"/>
    </row>
    <row r="161" spans="1:8" ht="12.75" customHeight="1">
      <c r="A161" s="433" t="s">
        <v>244</v>
      </c>
      <c r="B161" s="433"/>
      <c r="C161" s="136"/>
      <c r="D161" s="136"/>
      <c r="E161" s="136"/>
      <c r="F161" s="136"/>
      <c r="G161" s="136"/>
      <c r="H161" s="136" t="s">
        <v>2</v>
      </c>
    </row>
    <row r="162" spans="1:8" ht="23.25" customHeight="1">
      <c r="A162" s="74" t="s">
        <v>11</v>
      </c>
      <c r="B162" s="19" t="s">
        <v>245</v>
      </c>
      <c r="C162" s="137">
        <f>IF('2.1.sz.mell  '!C32&lt;&gt;"-",'2.1.sz.mell  '!C32,0)</f>
        <v>0</v>
      </c>
      <c r="D162" s="137"/>
      <c r="E162" s="137">
        <f>IF('2.1.sz.mell  '!J32&lt;&gt;"-",'2.1.sz.mell  '!J32,0)</f>
        <v>0</v>
      </c>
      <c r="F162" s="137"/>
      <c r="G162" s="137"/>
      <c r="H162" s="137">
        <f>IF('2.1.sz.mell  '!P32&lt;&gt;"-",'2.1.sz.mell  '!P32,0)</f>
        <v>0</v>
      </c>
    </row>
    <row r="163" spans="1:8" ht="30.75" customHeight="1">
      <c r="A163" s="74" t="s">
        <v>13</v>
      </c>
      <c r="B163" s="19" t="s">
        <v>246</v>
      </c>
      <c r="C163" s="137" t="e">
        <f>IF(#REF!&lt;&gt;"-",#REF!,0)</f>
        <v>#REF!</v>
      </c>
      <c r="D163" s="137"/>
      <c r="E163" s="137" t="e">
        <f>IF(#REF!&lt;&gt;"-",#REF!,0)</f>
        <v>#REF!</v>
      </c>
      <c r="F163" s="137"/>
      <c r="G163" s="137"/>
      <c r="H163" s="137" t="e">
        <f>IF(#REF!&lt;&gt;"-",#REF!,0)</f>
        <v>#REF!</v>
      </c>
    </row>
    <row r="164" spans="1:8" ht="21.75" customHeight="1">
      <c r="A164" s="74" t="s">
        <v>25</v>
      </c>
      <c r="B164" s="19" t="s">
        <v>247</v>
      </c>
      <c r="C164" s="137" t="e">
        <f>C163+C162</f>
        <v>#REF!</v>
      </c>
      <c r="D164" s="137"/>
      <c r="E164" s="137" t="e">
        <f>E163+E162</f>
        <v>#REF!</v>
      </c>
      <c r="F164" s="137"/>
      <c r="G164" s="137"/>
      <c r="H164" s="137" t="e">
        <f>H163+H162</f>
        <v>#REF!</v>
      </c>
    </row>
    <row r="165" spans="1:8" ht="7.5" customHeight="1">
      <c r="A165" s="135"/>
      <c r="B165" s="138"/>
      <c r="C165" s="139"/>
      <c r="D165" s="139"/>
      <c r="E165" s="139"/>
      <c r="F165" s="139"/>
      <c r="G165" s="139"/>
      <c r="H165" s="139"/>
    </row>
    <row r="166" spans="1:8" ht="15.75">
      <c r="A166" s="432" t="s">
        <v>248</v>
      </c>
      <c r="B166" s="432"/>
      <c r="C166" s="432"/>
      <c r="D166" s="140"/>
      <c r="E166" s="140"/>
      <c r="F166" s="140"/>
      <c r="G166" s="140"/>
      <c r="H166" s="140"/>
    </row>
    <row r="167" spans="1:8" ht="12.75" customHeight="1">
      <c r="A167" s="433" t="s">
        <v>249</v>
      </c>
      <c r="B167" s="433"/>
      <c r="C167" s="136" t="s">
        <v>2</v>
      </c>
      <c r="D167" s="136" t="s">
        <v>2</v>
      </c>
      <c r="E167" s="136" t="s">
        <v>2</v>
      </c>
      <c r="F167" s="136"/>
      <c r="G167" s="136"/>
      <c r="H167" s="136" t="s">
        <v>2</v>
      </c>
    </row>
    <row r="168" spans="1:8" ht="12.75" customHeight="1">
      <c r="A168" s="74" t="s">
        <v>11</v>
      </c>
      <c r="B168" s="19" t="s">
        <v>250</v>
      </c>
      <c r="C168" s="137">
        <f aca="true" t="shared" si="18" ref="C168:H168">+C169-C172</f>
        <v>496552</v>
      </c>
      <c r="D168" s="137">
        <f t="shared" si="18"/>
        <v>20241</v>
      </c>
      <c r="E168" s="137">
        <f t="shared" si="18"/>
        <v>516793</v>
      </c>
      <c r="F168" s="137">
        <f t="shared" si="18"/>
        <v>0</v>
      </c>
      <c r="G168" s="137">
        <f t="shared" si="18"/>
        <v>516793</v>
      </c>
      <c r="H168" s="137">
        <f t="shared" si="18"/>
        <v>521685</v>
      </c>
    </row>
    <row r="169" spans="1:8" ht="12.75" customHeight="1">
      <c r="A169" s="141" t="s">
        <v>158</v>
      </c>
      <c r="B169" s="142" t="s">
        <v>251</v>
      </c>
      <c r="C169" s="143">
        <f aca="true" t="shared" si="19" ref="C169:H169">+C68</f>
        <v>496552</v>
      </c>
      <c r="D169" s="143">
        <f t="shared" si="19"/>
        <v>20241</v>
      </c>
      <c r="E169" s="143">
        <f t="shared" si="19"/>
        <v>516793</v>
      </c>
      <c r="F169" s="143">
        <f t="shared" si="19"/>
        <v>0</v>
      </c>
      <c r="G169" s="143">
        <f t="shared" si="19"/>
        <v>516793</v>
      </c>
      <c r="H169" s="143">
        <f t="shared" si="19"/>
        <v>521685</v>
      </c>
    </row>
    <row r="170" spans="1:8" ht="12.75" customHeight="1">
      <c r="A170" s="117" t="s">
        <v>252</v>
      </c>
      <c r="B170" s="118" t="s">
        <v>253</v>
      </c>
      <c r="C170" s="144">
        <f>+'2.1.sz.mell  '!C27</f>
        <v>106992</v>
      </c>
      <c r="D170" s="144" t="str">
        <f>+'2.1.sz.mell  '!I27</f>
        <v>Működési célú finanszírozási kiadások összesen (14+...+21)</v>
      </c>
      <c r="E170" s="144">
        <f>+'2.1.sz.mell  '!J27</f>
        <v>0</v>
      </c>
      <c r="F170" s="144">
        <f>+'2.1.sz.mell  '!G27</f>
        <v>106992</v>
      </c>
      <c r="G170" s="144">
        <f>+'2.1.sz.mell  '!H27</f>
        <v>111884</v>
      </c>
      <c r="H170" s="144">
        <f>+'2.1.sz.mell  '!P27</f>
        <v>0</v>
      </c>
    </row>
    <row r="171" spans="1:8" ht="12.75" customHeight="1">
      <c r="A171" s="117" t="s">
        <v>254</v>
      </c>
      <c r="B171" s="118" t="s">
        <v>255</v>
      </c>
      <c r="C171" s="144" t="e">
        <f>+#REF!</f>
        <v>#REF!</v>
      </c>
      <c r="D171" s="144" t="e">
        <f>+#REF!</f>
        <v>#REF!</v>
      </c>
      <c r="E171" s="144" t="e">
        <f>+#REF!</f>
        <v>#REF!</v>
      </c>
      <c r="F171" s="144"/>
      <c r="G171" s="144" t="e">
        <f>+#REF!</f>
        <v>#REF!</v>
      </c>
      <c r="H171" s="144" t="e">
        <f>+#REF!</f>
        <v>#REF!</v>
      </c>
    </row>
    <row r="172" spans="1:8" ht="12.75" customHeight="1">
      <c r="A172" s="141" t="s">
        <v>162</v>
      </c>
      <c r="B172" s="142" t="s">
        <v>256</v>
      </c>
      <c r="C172" s="143">
        <f aca="true" t="shared" si="20" ref="C172:H172">+C134</f>
        <v>0</v>
      </c>
      <c r="D172" s="143">
        <f t="shared" si="20"/>
        <v>0</v>
      </c>
      <c r="E172" s="143">
        <f t="shared" si="20"/>
        <v>0</v>
      </c>
      <c r="F172" s="143">
        <f t="shared" si="20"/>
        <v>0</v>
      </c>
      <c r="G172" s="143">
        <f t="shared" si="20"/>
        <v>0</v>
      </c>
      <c r="H172" s="143">
        <f t="shared" si="20"/>
        <v>0</v>
      </c>
    </row>
    <row r="173" spans="1:8" ht="12.75" customHeight="1">
      <c r="A173" s="117" t="s">
        <v>257</v>
      </c>
      <c r="B173" s="118" t="s">
        <v>258</v>
      </c>
      <c r="C173" s="144">
        <f>+'2.1.sz.mell  '!J27</f>
        <v>0</v>
      </c>
      <c r="D173" s="144">
        <f>+'2.1.sz.mell  '!P27</f>
        <v>0</v>
      </c>
      <c r="E173" s="144">
        <f>+'2.1.sz.mell  '!Q27</f>
        <v>0</v>
      </c>
      <c r="F173" s="144">
        <f>+'2.1.sz.mell  '!N27</f>
        <v>0</v>
      </c>
      <c r="G173" s="144">
        <f>+'2.1.sz.mell  '!O27</f>
        <v>0</v>
      </c>
      <c r="H173" s="144">
        <f>+'2.1.sz.mell  '!R27</f>
        <v>0</v>
      </c>
    </row>
    <row r="174" spans="1:8" ht="12.75" customHeight="1">
      <c r="A174" s="145" t="s">
        <v>259</v>
      </c>
      <c r="B174" s="146" t="s">
        <v>260</v>
      </c>
      <c r="C174" s="147" t="e">
        <f>+#REF!</f>
        <v>#REF!</v>
      </c>
      <c r="D174" s="147" t="e">
        <f>+#REF!</f>
        <v>#REF!</v>
      </c>
      <c r="E174" s="147" t="e">
        <f>+#REF!</f>
        <v>#REF!</v>
      </c>
      <c r="F174" s="147"/>
      <c r="G174" s="147" t="e">
        <f>+#REF!</f>
        <v>#REF!</v>
      </c>
      <c r="H174" s="147" t="e">
        <f>+#REF!</f>
        <v>#REF!</v>
      </c>
    </row>
  </sheetData>
  <sheetProtection selectLockedCells="1" selectUnlockedCells="1"/>
  <mergeCells count="10">
    <mergeCell ref="A1:C1"/>
    <mergeCell ref="A2:B2"/>
    <mergeCell ref="A85:C85"/>
    <mergeCell ref="A86:B86"/>
    <mergeCell ref="A166:C166"/>
    <mergeCell ref="A167:B167"/>
    <mergeCell ref="A156:C156"/>
    <mergeCell ref="A157:B157"/>
    <mergeCell ref="A160:C160"/>
    <mergeCell ref="A161:B161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56" r:id="rId1"/>
  <headerFooter alignWithMargins="0">
    <oddHeader>&amp;C&amp;"Times New Roman CE,Félkövér"&amp;12Borsodnádasdi Önkormányzat
2013. ÉVI KÖLTSÉGVETÉSÉNEK ÖSSZEVONT MÉRLEGE&amp;R&amp;"Times New Roman CE,Félkövér dőlt"&amp;11 1.1. melléklet a 14/2013.(XI.15.)önkormányzati rendelethez</oddHeader>
  </headerFooter>
  <rowBreaks count="1" manualBreakCount="1">
    <brk id="8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:E52"/>
    </sheetView>
  </sheetViews>
  <sheetFormatPr defaultColWidth="9.00390625" defaultRowHeight="12.75"/>
  <cols>
    <col min="1" max="1" width="25.375" style="0" customWidth="1"/>
    <col min="2" max="2" width="24.125" style="0" customWidth="1"/>
    <col min="3" max="3" width="17.375" style="0" customWidth="1"/>
    <col min="4" max="4" width="17.00390625" style="0" customWidth="1"/>
    <col min="5" max="5" width="28.00390625" style="0" customWidth="1"/>
  </cols>
  <sheetData>
    <row r="1" spans="1:5" ht="12.75">
      <c r="A1" s="543"/>
      <c r="B1" s="543"/>
      <c r="C1" s="543"/>
      <c r="D1" s="543"/>
      <c r="E1" s="543"/>
    </row>
    <row r="2" spans="1:5" ht="15.75">
      <c r="A2" s="544" t="s">
        <v>517</v>
      </c>
      <c r="B2" s="545" t="s">
        <v>500</v>
      </c>
      <c r="C2" s="545"/>
      <c r="D2" s="545"/>
      <c r="E2" s="545"/>
    </row>
    <row r="3" spans="1:5" ht="14.25" thickBot="1">
      <c r="A3" s="543"/>
      <c r="B3" s="543"/>
      <c r="C3" s="543"/>
      <c r="D3" s="546" t="s">
        <v>518</v>
      </c>
      <c r="E3" s="546"/>
    </row>
    <row r="4" spans="1:5" ht="13.5" thickBot="1">
      <c r="A4" s="547" t="s">
        <v>519</v>
      </c>
      <c r="B4" s="548" t="s">
        <v>504</v>
      </c>
      <c r="C4" s="548" t="s">
        <v>520</v>
      </c>
      <c r="D4" s="548" t="s">
        <v>521</v>
      </c>
      <c r="E4" s="549" t="s">
        <v>522</v>
      </c>
    </row>
    <row r="5" spans="1:5" ht="12.75">
      <c r="A5" s="550" t="s">
        <v>523</v>
      </c>
      <c r="B5" s="551">
        <v>1682</v>
      </c>
      <c r="C5" s="551"/>
      <c r="D5" s="551"/>
      <c r="E5" s="552">
        <f aca="true" t="shared" si="0" ref="E5:E11">SUM(B5:D5)</f>
        <v>1682</v>
      </c>
    </row>
    <row r="6" spans="1:5" ht="12.75">
      <c r="A6" s="553" t="s">
        <v>524</v>
      </c>
      <c r="B6" s="554"/>
      <c r="C6" s="554"/>
      <c r="D6" s="554"/>
      <c r="E6" s="555">
        <f t="shared" si="0"/>
        <v>0</v>
      </c>
    </row>
    <row r="7" spans="1:5" ht="12.75">
      <c r="A7" s="556" t="s">
        <v>525</v>
      </c>
      <c r="B7" s="557">
        <v>9532</v>
      </c>
      <c r="C7" s="557"/>
      <c r="D7" s="557"/>
      <c r="E7" s="558">
        <f t="shared" si="0"/>
        <v>9532</v>
      </c>
    </row>
    <row r="8" spans="1:5" ht="12.75">
      <c r="A8" s="556" t="s">
        <v>526</v>
      </c>
      <c r="B8" s="557"/>
      <c r="C8" s="557"/>
      <c r="D8" s="557"/>
      <c r="E8" s="558">
        <f t="shared" si="0"/>
        <v>0</v>
      </c>
    </row>
    <row r="9" spans="1:5" ht="12.75">
      <c r="A9" s="556" t="s">
        <v>527</v>
      </c>
      <c r="B9" s="557"/>
      <c r="C9" s="557"/>
      <c r="D9" s="557"/>
      <c r="E9" s="558">
        <f t="shared" si="0"/>
        <v>0</v>
      </c>
    </row>
    <row r="10" spans="1:5" ht="12.75">
      <c r="A10" s="556" t="s">
        <v>528</v>
      </c>
      <c r="B10" s="557"/>
      <c r="C10" s="557"/>
      <c r="D10" s="557"/>
      <c r="E10" s="558">
        <f t="shared" si="0"/>
        <v>0</v>
      </c>
    </row>
    <row r="11" spans="1:5" ht="13.5" thickBot="1">
      <c r="A11" s="559"/>
      <c r="B11" s="560"/>
      <c r="C11" s="560"/>
      <c r="D11" s="560"/>
      <c r="E11" s="558">
        <f t="shared" si="0"/>
        <v>0</v>
      </c>
    </row>
    <row r="12" spans="1:5" ht="13.5" thickBot="1">
      <c r="A12" s="561" t="s">
        <v>529</v>
      </c>
      <c r="B12" s="562">
        <f>B5+SUM(B7:B11)</f>
        <v>11214</v>
      </c>
      <c r="C12" s="562">
        <f>C5+SUM(C7:C11)</f>
        <v>0</v>
      </c>
      <c r="D12" s="562">
        <f>D5+SUM(D7:D11)</f>
        <v>0</v>
      </c>
      <c r="E12" s="563">
        <f>E5+SUM(E7:E11)</f>
        <v>11214</v>
      </c>
    </row>
    <row r="13" spans="1:5" ht="13.5" thickBot="1">
      <c r="A13" s="564"/>
      <c r="B13" s="564"/>
      <c r="C13" s="564"/>
      <c r="D13" s="564"/>
      <c r="E13" s="564"/>
    </row>
    <row r="14" spans="1:5" ht="13.5" thickBot="1">
      <c r="A14" s="547" t="s">
        <v>530</v>
      </c>
      <c r="B14" s="548" t="s">
        <v>504</v>
      </c>
      <c r="C14" s="548" t="s">
        <v>520</v>
      </c>
      <c r="D14" s="548" t="s">
        <v>521</v>
      </c>
      <c r="E14" s="549" t="s">
        <v>522</v>
      </c>
    </row>
    <row r="15" spans="1:5" ht="12.75">
      <c r="A15" s="550" t="s">
        <v>531</v>
      </c>
      <c r="B15" s="551"/>
      <c r="C15" s="551"/>
      <c r="D15" s="551"/>
      <c r="E15" s="552">
        <f aca="true" t="shared" si="1" ref="E15:E21">SUM(B15:D15)</f>
        <v>0</v>
      </c>
    </row>
    <row r="16" spans="1:5" ht="12.75">
      <c r="A16" s="565" t="s">
        <v>532</v>
      </c>
      <c r="B16" s="557">
        <v>11214</v>
      </c>
      <c r="C16" s="557"/>
      <c r="D16" s="557"/>
      <c r="E16" s="558">
        <f t="shared" si="1"/>
        <v>11214</v>
      </c>
    </row>
    <row r="17" spans="1:5" ht="12.75">
      <c r="A17" s="556" t="s">
        <v>533</v>
      </c>
      <c r="B17" s="557"/>
      <c r="C17" s="557"/>
      <c r="D17" s="557"/>
      <c r="E17" s="558">
        <f t="shared" si="1"/>
        <v>0</v>
      </c>
    </row>
    <row r="18" spans="1:5" ht="12.75">
      <c r="A18" s="556" t="s">
        <v>534</v>
      </c>
      <c r="B18" s="557"/>
      <c r="C18" s="557"/>
      <c r="D18" s="557"/>
      <c r="E18" s="558">
        <f t="shared" si="1"/>
        <v>0</v>
      </c>
    </row>
    <row r="19" spans="1:5" ht="12.75">
      <c r="A19" s="566"/>
      <c r="B19" s="557"/>
      <c r="C19" s="557"/>
      <c r="D19" s="557"/>
      <c r="E19" s="558">
        <f t="shared" si="1"/>
        <v>0</v>
      </c>
    </row>
    <row r="20" spans="1:5" ht="12.75">
      <c r="A20" s="566"/>
      <c r="B20" s="557"/>
      <c r="C20" s="557"/>
      <c r="D20" s="557"/>
      <c r="E20" s="558">
        <f t="shared" si="1"/>
        <v>0</v>
      </c>
    </row>
    <row r="21" spans="1:5" ht="13.5" thickBot="1">
      <c r="A21" s="559"/>
      <c r="B21" s="560"/>
      <c r="C21" s="560"/>
      <c r="D21" s="560"/>
      <c r="E21" s="558">
        <f t="shared" si="1"/>
        <v>0</v>
      </c>
    </row>
    <row r="22" spans="1:5" ht="13.5" thickBot="1">
      <c r="A22" s="561" t="s">
        <v>535</v>
      </c>
      <c r="B22" s="562">
        <f>SUM(B15:B21)</f>
        <v>11214</v>
      </c>
      <c r="C22" s="562">
        <f>SUM(C15:C21)</f>
        <v>0</v>
      </c>
      <c r="D22" s="562">
        <f>SUM(D15:D21)</f>
        <v>0</v>
      </c>
      <c r="E22" s="563">
        <f>SUM(E15:E21)</f>
        <v>11214</v>
      </c>
    </row>
    <row r="23" spans="1:5" ht="12.75">
      <c r="A23" s="543"/>
      <c r="B23" s="543"/>
      <c r="C23" s="543"/>
      <c r="D23" s="543"/>
      <c r="E23" s="543"/>
    </row>
    <row r="24" spans="1:5" ht="12.75">
      <c r="A24" s="543"/>
      <c r="B24" s="543"/>
      <c r="C24" s="543"/>
      <c r="D24" s="543"/>
      <c r="E24" s="543"/>
    </row>
    <row r="25" spans="1:5" ht="15.75">
      <c r="A25" s="544" t="s">
        <v>517</v>
      </c>
      <c r="B25" s="545" t="s">
        <v>536</v>
      </c>
      <c r="C25" s="545"/>
      <c r="D25" s="545"/>
      <c r="E25" s="545"/>
    </row>
    <row r="26" spans="1:5" ht="14.25" thickBot="1">
      <c r="A26" s="543"/>
      <c r="B26" s="543"/>
      <c r="C26" s="543"/>
      <c r="D26" s="546" t="s">
        <v>518</v>
      </c>
      <c r="E26" s="546"/>
    </row>
    <row r="27" spans="1:5" ht="13.5" thickBot="1">
      <c r="A27" s="547" t="s">
        <v>519</v>
      </c>
      <c r="B27" s="548" t="s">
        <v>504</v>
      </c>
      <c r="C27" s="548" t="s">
        <v>520</v>
      </c>
      <c r="D27" s="548" t="s">
        <v>521</v>
      </c>
      <c r="E27" s="549" t="s">
        <v>522</v>
      </c>
    </row>
    <row r="28" spans="1:5" ht="12.75">
      <c r="A28" s="550" t="s">
        <v>523</v>
      </c>
      <c r="B28" s="551">
        <v>4477</v>
      </c>
      <c r="C28" s="551"/>
      <c r="D28" s="551"/>
      <c r="E28" s="552">
        <f aca="true" t="shared" si="2" ref="E28:E34">SUM(B28:D28)</f>
        <v>4477</v>
      </c>
    </row>
    <row r="29" spans="1:5" ht="12.75">
      <c r="A29" s="553" t="s">
        <v>524</v>
      </c>
      <c r="B29" s="554"/>
      <c r="C29" s="554"/>
      <c r="D29" s="554"/>
      <c r="E29" s="555">
        <f t="shared" si="2"/>
        <v>0</v>
      </c>
    </row>
    <row r="30" spans="1:5" ht="12.75">
      <c r="A30" s="556" t="s">
        <v>525</v>
      </c>
      <c r="B30" s="557">
        <v>85066</v>
      </c>
      <c r="C30" s="557"/>
      <c r="D30" s="557"/>
      <c r="E30" s="558">
        <f t="shared" si="2"/>
        <v>85066</v>
      </c>
    </row>
    <row r="31" spans="1:5" ht="12.75">
      <c r="A31" s="556" t="s">
        <v>526</v>
      </c>
      <c r="B31" s="557"/>
      <c r="C31" s="557"/>
      <c r="D31" s="557"/>
      <c r="E31" s="558">
        <f t="shared" si="2"/>
        <v>0</v>
      </c>
    </row>
    <row r="32" spans="1:5" ht="12.75">
      <c r="A32" s="556" t="s">
        <v>527</v>
      </c>
      <c r="B32" s="557"/>
      <c r="C32" s="557"/>
      <c r="D32" s="557"/>
      <c r="E32" s="558">
        <f t="shared" si="2"/>
        <v>0</v>
      </c>
    </row>
    <row r="33" spans="1:5" ht="12.75">
      <c r="A33" s="556" t="s">
        <v>528</v>
      </c>
      <c r="B33" s="557"/>
      <c r="C33" s="557"/>
      <c r="D33" s="557"/>
      <c r="E33" s="558">
        <f t="shared" si="2"/>
        <v>0</v>
      </c>
    </row>
    <row r="34" spans="1:5" ht="13.5" thickBot="1">
      <c r="A34" s="559"/>
      <c r="B34" s="560"/>
      <c r="C34" s="560"/>
      <c r="D34" s="560"/>
      <c r="E34" s="558">
        <f t="shared" si="2"/>
        <v>0</v>
      </c>
    </row>
    <row r="35" spans="1:5" ht="13.5" thickBot="1">
      <c r="A35" s="561" t="s">
        <v>529</v>
      </c>
      <c r="B35" s="562">
        <f>B28+SUM(B30:B34)</f>
        <v>89543</v>
      </c>
      <c r="C35" s="562">
        <f>C28+SUM(C30:C34)</f>
        <v>0</v>
      </c>
      <c r="D35" s="562">
        <f>D28+SUM(D30:D34)</f>
        <v>0</v>
      </c>
      <c r="E35" s="563">
        <f>E28+SUM(E30:E34)</f>
        <v>89543</v>
      </c>
    </row>
    <row r="36" spans="1:5" ht="13.5" thickBot="1">
      <c r="A36" s="564"/>
      <c r="B36" s="564"/>
      <c r="C36" s="564"/>
      <c r="D36" s="564"/>
      <c r="E36" s="564"/>
    </row>
    <row r="37" spans="1:5" ht="13.5" thickBot="1">
      <c r="A37" s="547" t="s">
        <v>530</v>
      </c>
      <c r="B37" s="548" t="s">
        <v>504</v>
      </c>
      <c r="C37" s="548" t="s">
        <v>520</v>
      </c>
      <c r="D37" s="548" t="s">
        <v>521</v>
      </c>
      <c r="E37" s="549" t="s">
        <v>522</v>
      </c>
    </row>
    <row r="38" spans="1:5" ht="12.75">
      <c r="A38" s="550" t="s">
        <v>531</v>
      </c>
      <c r="B38" s="551"/>
      <c r="C38" s="551"/>
      <c r="D38" s="551"/>
      <c r="E38" s="552">
        <f aca="true" t="shared" si="3" ref="E38:E44">SUM(B38:D38)</f>
        <v>0</v>
      </c>
    </row>
    <row r="39" spans="1:5" ht="12.75">
      <c r="A39" s="565" t="s">
        <v>532</v>
      </c>
      <c r="B39" s="557">
        <v>78811</v>
      </c>
      <c r="C39" s="557"/>
      <c r="D39" s="557"/>
      <c r="E39" s="558">
        <f t="shared" si="3"/>
        <v>78811</v>
      </c>
    </row>
    <row r="40" spans="1:5" ht="12.75">
      <c r="A40" s="556" t="s">
        <v>533</v>
      </c>
      <c r="B40" s="557"/>
      <c r="C40" s="557"/>
      <c r="D40" s="557"/>
      <c r="E40" s="558">
        <f t="shared" si="3"/>
        <v>0</v>
      </c>
    </row>
    <row r="41" spans="1:5" ht="12.75">
      <c r="A41" s="556" t="s">
        <v>534</v>
      </c>
      <c r="B41" s="557">
        <v>10732</v>
      </c>
      <c r="C41" s="557"/>
      <c r="D41" s="557"/>
      <c r="E41" s="558">
        <f t="shared" si="3"/>
        <v>10732</v>
      </c>
    </row>
    <row r="42" spans="1:5" ht="12.75">
      <c r="A42" s="566"/>
      <c r="B42" s="557"/>
      <c r="C42" s="557"/>
      <c r="D42" s="557"/>
      <c r="E42" s="558">
        <f t="shared" si="3"/>
        <v>0</v>
      </c>
    </row>
    <row r="43" spans="1:5" ht="12.75">
      <c r="A43" s="566"/>
      <c r="B43" s="557"/>
      <c r="C43" s="557"/>
      <c r="D43" s="557"/>
      <c r="E43" s="558">
        <f t="shared" si="3"/>
        <v>0</v>
      </c>
    </row>
    <row r="44" spans="1:5" ht="13.5" thickBot="1">
      <c r="A44" s="559"/>
      <c r="B44" s="560"/>
      <c r="C44" s="560"/>
      <c r="D44" s="560"/>
      <c r="E44" s="558">
        <f t="shared" si="3"/>
        <v>0</v>
      </c>
    </row>
    <row r="45" spans="1:5" ht="13.5" thickBot="1">
      <c r="A45" s="561" t="s">
        <v>535</v>
      </c>
      <c r="B45" s="562">
        <f>SUM(B38:B44)</f>
        <v>89543</v>
      </c>
      <c r="C45" s="562">
        <f>SUM(C38:C44)</f>
        <v>0</v>
      </c>
      <c r="D45" s="562">
        <f>SUM(D38:D44)</f>
        <v>0</v>
      </c>
      <c r="E45" s="563">
        <f>SUM(E38:E44)</f>
        <v>89543</v>
      </c>
    </row>
    <row r="46" spans="1:5" ht="12.75">
      <c r="A46" s="543"/>
      <c r="B46" s="543"/>
      <c r="C46" s="543"/>
      <c r="D46" s="543"/>
      <c r="E46" s="543"/>
    </row>
    <row r="47" spans="1:5" ht="15.75">
      <c r="A47" s="567" t="s">
        <v>537</v>
      </c>
      <c r="B47" s="567"/>
      <c r="C47" s="567"/>
      <c r="D47" s="567"/>
      <c r="E47" s="567"/>
    </row>
    <row r="48" spans="1:5" ht="13.5" thickBot="1">
      <c r="A48" s="543"/>
      <c r="B48" s="543"/>
      <c r="C48" s="543"/>
      <c r="D48" s="543"/>
      <c r="E48" s="543"/>
    </row>
    <row r="49" spans="1:5" ht="13.5" thickBot="1">
      <c r="A49" s="568" t="s">
        <v>538</v>
      </c>
      <c r="B49" s="568"/>
      <c r="C49" s="568"/>
      <c r="D49" s="569" t="s">
        <v>539</v>
      </c>
      <c r="E49" s="569"/>
    </row>
    <row r="50" spans="1:5" ht="12.75">
      <c r="A50" s="570"/>
      <c r="B50" s="570"/>
      <c r="C50" s="570"/>
      <c r="D50" s="571"/>
      <c r="E50" s="571"/>
    </row>
    <row r="51" spans="1:5" ht="13.5" thickBot="1">
      <c r="A51" s="572"/>
      <c r="B51" s="572"/>
      <c r="C51" s="572"/>
      <c r="D51" s="573"/>
      <c r="E51" s="573"/>
    </row>
    <row r="52" spans="1:5" ht="13.5" thickBot="1">
      <c r="A52" s="574" t="s">
        <v>535</v>
      </c>
      <c r="B52" s="574"/>
      <c r="C52" s="574"/>
      <c r="D52" s="575">
        <f>SUM(D50:E51)</f>
        <v>0</v>
      </c>
      <c r="E52" s="575"/>
    </row>
  </sheetData>
  <mergeCells count="13">
    <mergeCell ref="A51:C51"/>
    <mergeCell ref="D51:E51"/>
    <mergeCell ref="A52:C52"/>
    <mergeCell ref="D52:E52"/>
    <mergeCell ref="A47:E47"/>
    <mergeCell ref="A49:C49"/>
    <mergeCell ref="D49:E49"/>
    <mergeCell ref="A50:C50"/>
    <mergeCell ref="D50:E50"/>
    <mergeCell ref="B2:E2"/>
    <mergeCell ref="D3:E3"/>
    <mergeCell ref="B25:E25"/>
    <mergeCell ref="D26:E26"/>
  </mergeCells>
  <conditionalFormatting sqref="B12:E12 B22:E22 B35:E35 B45:E45 D52:E52 E5:E11 E15:E21 E28:E34 E38:E44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N100"/>
  <sheetViews>
    <sheetView view="pageBreakPreview" zoomScaleNormal="115" zoomScaleSheetLayoutView="100" workbookViewId="0" topLeftCell="C1">
      <selection activeCell="C3" sqref="C3"/>
    </sheetView>
  </sheetViews>
  <sheetFormatPr defaultColWidth="9.00390625" defaultRowHeight="12.75"/>
  <cols>
    <col min="1" max="1" width="9.625" style="257" customWidth="1"/>
    <col min="2" max="2" width="9.625" style="258" customWidth="1"/>
    <col min="3" max="3" width="64.50390625" style="258" customWidth="1"/>
    <col min="4" max="8" width="14.375" style="259" customWidth="1"/>
    <col min="9" max="9" width="0" style="259" hidden="1" customWidth="1"/>
    <col min="10" max="16384" width="9.375" style="260" customWidth="1"/>
  </cols>
  <sheetData>
    <row r="1" spans="1:9" s="265" customFormat="1" ht="16.5" customHeight="1">
      <c r="A1" s="261"/>
      <c r="B1" s="262"/>
      <c r="C1" s="263"/>
      <c r="D1" s="264"/>
      <c r="E1" s="264"/>
      <c r="F1" s="264"/>
      <c r="G1" s="264"/>
      <c r="H1" s="264"/>
      <c r="I1"/>
    </row>
    <row r="2" spans="1:9" s="268" customFormat="1" ht="25.5" customHeight="1">
      <c r="A2" s="447" t="s">
        <v>342</v>
      </c>
      <c r="B2" s="447"/>
      <c r="C2" s="266" t="s">
        <v>343</v>
      </c>
      <c r="D2" s="267"/>
      <c r="E2" s="267"/>
      <c r="F2" s="267"/>
      <c r="G2" s="267"/>
      <c r="H2" s="267"/>
      <c r="I2" s="267" t="s">
        <v>344</v>
      </c>
    </row>
    <row r="3" spans="1:9" s="268" customFormat="1" ht="18.75">
      <c r="A3" s="269" t="s">
        <v>345</v>
      </c>
      <c r="B3" s="270"/>
      <c r="C3" s="271" t="s">
        <v>346</v>
      </c>
      <c r="D3" s="272"/>
      <c r="E3" s="272"/>
      <c r="F3" s="272"/>
      <c r="G3" s="272"/>
      <c r="H3" s="272"/>
      <c r="I3" s="272" t="s">
        <v>347</v>
      </c>
    </row>
    <row r="4" spans="1:9" s="275" customFormat="1" ht="15.75" customHeight="1">
      <c r="A4" s="273"/>
      <c r="B4" s="273"/>
      <c r="C4" s="273"/>
      <c r="D4" s="274"/>
      <c r="E4" s="274"/>
      <c r="F4" s="274"/>
      <c r="G4" s="274"/>
      <c r="H4" s="274"/>
      <c r="I4" s="274" t="s">
        <v>348</v>
      </c>
    </row>
    <row r="5" spans="1:9" ht="43.5" customHeight="1">
      <c r="A5" s="448" t="s">
        <v>349</v>
      </c>
      <c r="B5" s="448"/>
      <c r="C5" s="276" t="s">
        <v>350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</row>
    <row r="6" spans="1:9" s="279" customFormat="1" ht="12.75" customHeight="1">
      <c r="A6" s="277">
        <v>1</v>
      </c>
      <c r="B6" s="278">
        <v>2</v>
      </c>
      <c r="C6" s="278">
        <v>3</v>
      </c>
      <c r="D6" s="11">
        <v>3</v>
      </c>
      <c r="E6" s="9">
        <v>4</v>
      </c>
      <c r="F6" s="10">
        <v>5</v>
      </c>
      <c r="G6" s="10">
        <v>6</v>
      </c>
      <c r="H6" s="10">
        <v>7</v>
      </c>
      <c r="I6" s="10">
        <v>8</v>
      </c>
    </row>
    <row r="7" spans="1:9" s="279" customFormat="1" ht="15.75" customHeight="1">
      <c r="A7" s="280"/>
      <c r="B7" s="281"/>
      <c r="C7" s="281" t="s">
        <v>286</v>
      </c>
      <c r="D7" s="282"/>
      <c r="E7" s="282"/>
      <c r="F7" s="282"/>
      <c r="G7" s="282"/>
      <c r="H7" s="282"/>
      <c r="I7" s="282"/>
    </row>
    <row r="8" spans="1:9" s="279" customFormat="1" ht="12" customHeight="1">
      <c r="A8" s="277" t="s">
        <v>11</v>
      </c>
      <c r="B8" s="283"/>
      <c r="C8" s="284" t="s">
        <v>351</v>
      </c>
      <c r="D8" s="285">
        <f aca="true" t="shared" si="0" ref="D8:I8">+D9+D14</f>
        <v>110378</v>
      </c>
      <c r="E8" s="285">
        <f t="shared" si="0"/>
        <v>0</v>
      </c>
      <c r="F8" s="285">
        <f t="shared" si="0"/>
        <v>110378</v>
      </c>
      <c r="G8" s="285">
        <f t="shared" si="0"/>
        <v>0</v>
      </c>
      <c r="H8" s="285">
        <f t="shared" si="0"/>
        <v>110378</v>
      </c>
      <c r="I8" s="285">
        <f t="shared" si="0"/>
        <v>67214</v>
      </c>
    </row>
    <row r="9" spans="1:9" s="287" customFormat="1" ht="12" customHeight="1">
      <c r="A9" s="277" t="s">
        <v>13</v>
      </c>
      <c r="B9" s="283"/>
      <c r="C9" s="286" t="s">
        <v>352</v>
      </c>
      <c r="D9" s="285">
        <f aca="true" t="shared" si="1" ref="D9:I9">SUM(D10:D13)</f>
        <v>75898</v>
      </c>
      <c r="E9" s="285">
        <f t="shared" si="1"/>
        <v>0</v>
      </c>
      <c r="F9" s="285">
        <f t="shared" si="1"/>
        <v>75898</v>
      </c>
      <c r="G9" s="285">
        <f t="shared" si="1"/>
        <v>0</v>
      </c>
      <c r="H9" s="285">
        <f t="shared" si="1"/>
        <v>75898</v>
      </c>
      <c r="I9" s="285">
        <f t="shared" si="1"/>
        <v>51513</v>
      </c>
    </row>
    <row r="10" spans="1:9" s="292" customFormat="1" ht="12" customHeight="1">
      <c r="A10" s="288"/>
      <c r="B10" s="289" t="s">
        <v>15</v>
      </c>
      <c r="C10" s="290" t="s">
        <v>263</v>
      </c>
      <c r="D10" s="291">
        <v>75498</v>
      </c>
      <c r="E10" s="291"/>
      <c r="F10" s="291">
        <v>75498</v>
      </c>
      <c r="G10" s="291"/>
      <c r="H10" s="291">
        <v>75498</v>
      </c>
      <c r="I10" s="291">
        <v>50564</v>
      </c>
    </row>
    <row r="11" spans="1:9" s="292" customFormat="1" ht="12" customHeight="1">
      <c r="A11" s="288"/>
      <c r="B11" s="289" t="s">
        <v>19</v>
      </c>
      <c r="C11" s="293" t="s">
        <v>20</v>
      </c>
      <c r="D11" s="291"/>
      <c r="E11" s="291"/>
      <c r="F11" s="291"/>
      <c r="G11" s="291"/>
      <c r="H11" s="291"/>
      <c r="I11" s="291"/>
    </row>
    <row r="12" spans="1:9" s="292" customFormat="1" ht="12" customHeight="1">
      <c r="A12" s="288"/>
      <c r="B12" s="289" t="s">
        <v>21</v>
      </c>
      <c r="C12" s="293" t="s">
        <v>22</v>
      </c>
      <c r="D12" s="291">
        <v>400</v>
      </c>
      <c r="E12" s="291"/>
      <c r="F12" s="291">
        <v>400</v>
      </c>
      <c r="G12" s="291"/>
      <c r="H12" s="291">
        <v>400</v>
      </c>
      <c r="I12" s="291">
        <v>722</v>
      </c>
    </row>
    <row r="13" spans="1:9" s="292" customFormat="1" ht="12" customHeight="1">
      <c r="A13" s="288"/>
      <c r="B13" s="289" t="s">
        <v>23</v>
      </c>
      <c r="C13" s="294" t="s">
        <v>24</v>
      </c>
      <c r="D13" s="291"/>
      <c r="E13" s="291"/>
      <c r="F13" s="291"/>
      <c r="G13" s="291"/>
      <c r="H13" s="291"/>
      <c r="I13" s="291">
        <f>188+39</f>
        <v>227</v>
      </c>
    </row>
    <row r="14" spans="1:9" s="287" customFormat="1" ht="12" customHeight="1">
      <c r="A14" s="277" t="s">
        <v>25</v>
      </c>
      <c r="B14" s="283"/>
      <c r="C14" s="286" t="s">
        <v>26</v>
      </c>
      <c r="D14" s="285">
        <f aca="true" t="shared" si="2" ref="D14:I14">SUM(D15:D22)</f>
        <v>34480</v>
      </c>
      <c r="E14" s="285">
        <f t="shared" si="2"/>
        <v>0</v>
      </c>
      <c r="F14" s="285">
        <f t="shared" si="2"/>
        <v>34480</v>
      </c>
      <c r="G14" s="285">
        <f t="shared" si="2"/>
        <v>0</v>
      </c>
      <c r="H14" s="285">
        <f t="shared" si="2"/>
        <v>34480</v>
      </c>
      <c r="I14" s="285">
        <f t="shared" si="2"/>
        <v>15701</v>
      </c>
    </row>
    <row r="15" spans="1:9" s="287" customFormat="1" ht="12" customHeight="1">
      <c r="A15" s="295"/>
      <c r="B15" s="289" t="s">
        <v>27</v>
      </c>
      <c r="C15" s="290" t="s">
        <v>28</v>
      </c>
      <c r="D15" s="296"/>
      <c r="E15" s="296"/>
      <c r="F15" s="296"/>
      <c r="G15" s="296"/>
      <c r="H15" s="296"/>
      <c r="I15" s="296"/>
    </row>
    <row r="16" spans="1:9" s="287" customFormat="1" ht="12" customHeight="1">
      <c r="A16" s="288"/>
      <c r="B16" s="289" t="s">
        <v>29</v>
      </c>
      <c r="C16" s="293" t="s">
        <v>30</v>
      </c>
      <c r="D16" s="291">
        <v>24000</v>
      </c>
      <c r="E16" s="291"/>
      <c r="F16" s="291">
        <v>24000</v>
      </c>
      <c r="G16" s="291"/>
      <c r="H16" s="291">
        <v>24000</v>
      </c>
      <c r="I16" s="291">
        <v>9448</v>
      </c>
    </row>
    <row r="17" spans="1:9" s="287" customFormat="1" ht="12" customHeight="1">
      <c r="A17" s="288"/>
      <c r="B17" s="289" t="s">
        <v>31</v>
      </c>
      <c r="C17" s="293" t="s">
        <v>32</v>
      </c>
      <c r="D17" s="291">
        <v>4000</v>
      </c>
      <c r="E17" s="291"/>
      <c r="F17" s="291">
        <v>4000</v>
      </c>
      <c r="G17" s="291"/>
      <c r="H17" s="291">
        <v>4000</v>
      </c>
      <c r="I17" s="291">
        <f>3114+22</f>
        <v>3136</v>
      </c>
    </row>
    <row r="18" spans="1:9" s="287" customFormat="1" ht="12" customHeight="1">
      <c r="A18" s="288"/>
      <c r="B18" s="289" t="s">
        <v>33</v>
      </c>
      <c r="C18" s="293" t="s">
        <v>34</v>
      </c>
      <c r="D18" s="291"/>
      <c r="E18" s="291"/>
      <c r="F18" s="291"/>
      <c r="G18" s="291"/>
      <c r="H18" s="291"/>
      <c r="I18" s="291"/>
    </row>
    <row r="19" spans="1:9" s="287" customFormat="1" ht="12" customHeight="1">
      <c r="A19" s="288"/>
      <c r="B19" s="289" t="s">
        <v>35</v>
      </c>
      <c r="C19" s="293" t="s">
        <v>36</v>
      </c>
      <c r="D19" s="291"/>
      <c r="E19" s="291"/>
      <c r="F19" s="291"/>
      <c r="G19" s="291"/>
      <c r="H19" s="291"/>
      <c r="I19" s="291"/>
    </row>
    <row r="20" spans="1:9" s="287" customFormat="1" ht="12" customHeight="1">
      <c r="A20" s="297"/>
      <c r="B20" s="289" t="s">
        <v>37</v>
      </c>
      <c r="C20" s="293" t="s">
        <v>38</v>
      </c>
      <c r="D20" s="298">
        <v>6480</v>
      </c>
      <c r="E20" s="298"/>
      <c r="F20" s="298">
        <v>6480</v>
      </c>
      <c r="G20" s="298"/>
      <c r="H20" s="298">
        <v>6480</v>
      </c>
      <c r="I20" s="298">
        <v>2783</v>
      </c>
    </row>
    <row r="21" spans="1:9" s="292" customFormat="1" ht="12" customHeight="1">
      <c r="A21" s="288"/>
      <c r="B21" s="289" t="s">
        <v>39</v>
      </c>
      <c r="C21" s="293" t="s">
        <v>42</v>
      </c>
      <c r="D21" s="291"/>
      <c r="E21" s="291"/>
      <c r="F21" s="291"/>
      <c r="G21" s="291"/>
      <c r="H21" s="291"/>
      <c r="I21" s="291">
        <v>334</v>
      </c>
    </row>
    <row r="22" spans="1:9" s="292" customFormat="1" ht="12" customHeight="1">
      <c r="A22" s="299"/>
      <c r="B22" s="300" t="s">
        <v>41</v>
      </c>
      <c r="C22" s="294" t="s">
        <v>44</v>
      </c>
      <c r="D22" s="301"/>
      <c r="E22" s="301"/>
      <c r="F22" s="301"/>
      <c r="G22" s="301"/>
      <c r="H22" s="301"/>
      <c r="I22" s="301"/>
    </row>
    <row r="23" spans="1:9" s="292" customFormat="1" ht="12" customHeight="1">
      <c r="A23" s="277" t="s">
        <v>213</v>
      </c>
      <c r="B23" s="302"/>
      <c r="C23" s="286" t="s">
        <v>265</v>
      </c>
      <c r="D23" s="303">
        <v>4000</v>
      </c>
      <c r="E23" s="303"/>
      <c r="F23" s="303">
        <v>4000</v>
      </c>
      <c r="G23" s="303"/>
      <c r="H23" s="303">
        <v>4000</v>
      </c>
      <c r="I23" s="303">
        <v>2059</v>
      </c>
    </row>
    <row r="24" spans="1:9" s="287" customFormat="1" ht="12" customHeight="1">
      <c r="A24" s="277" t="s">
        <v>47</v>
      </c>
      <c r="B24" s="283"/>
      <c r="C24" s="286" t="s">
        <v>353</v>
      </c>
      <c r="D24" s="285">
        <f aca="true" t="shared" si="3" ref="D24:I24">SUM(D25:D32)</f>
        <v>254390</v>
      </c>
      <c r="E24" s="285">
        <f t="shared" si="3"/>
        <v>78727</v>
      </c>
      <c r="F24" s="285">
        <f t="shared" si="3"/>
        <v>333117</v>
      </c>
      <c r="G24" s="285">
        <f t="shared" si="3"/>
        <v>3465</v>
      </c>
      <c r="H24" s="285">
        <f t="shared" si="3"/>
        <v>336582</v>
      </c>
      <c r="I24" s="285">
        <f t="shared" si="3"/>
        <v>214090</v>
      </c>
    </row>
    <row r="25" spans="1:9" s="292" customFormat="1" ht="12" customHeight="1">
      <c r="A25" s="288"/>
      <c r="B25" s="289" t="s">
        <v>49</v>
      </c>
      <c r="C25" s="290" t="s">
        <v>354</v>
      </c>
      <c r="D25" s="291">
        <v>254390</v>
      </c>
      <c r="E25" s="291">
        <v>41891</v>
      </c>
      <c r="F25" s="291">
        <f>D25+E25</f>
        <v>296281</v>
      </c>
      <c r="G25" s="291"/>
      <c r="H25" s="291">
        <v>296281</v>
      </c>
      <c r="I25" s="291">
        <f>202744-2681</f>
        <v>200063</v>
      </c>
    </row>
    <row r="26" spans="1:9" s="292" customFormat="1" ht="12" customHeight="1">
      <c r="A26" s="288"/>
      <c r="B26" s="289" t="s">
        <v>51</v>
      </c>
      <c r="C26" s="293" t="s">
        <v>63</v>
      </c>
      <c r="D26" s="291"/>
      <c r="E26" s="291">
        <v>5425</v>
      </c>
      <c r="F26" s="291">
        <v>5425</v>
      </c>
      <c r="G26" s="291">
        <v>250</v>
      </c>
      <c r="H26" s="291">
        <f>F26+G26</f>
        <v>5675</v>
      </c>
      <c r="I26" s="291">
        <f>5723+2681</f>
        <v>8404</v>
      </c>
    </row>
    <row r="27" spans="1:9" s="292" customFormat="1" ht="12" customHeight="1">
      <c r="A27" s="288"/>
      <c r="B27" s="289" t="s">
        <v>62</v>
      </c>
      <c r="C27" s="293" t="s">
        <v>68</v>
      </c>
      <c r="D27" s="291"/>
      <c r="E27" s="291">
        <v>29025</v>
      </c>
      <c r="F27" s="291">
        <v>29025</v>
      </c>
      <c r="G27" s="291"/>
      <c r="H27" s="291">
        <v>29025</v>
      </c>
      <c r="I27" s="291"/>
    </row>
    <row r="28" spans="1:9" s="292" customFormat="1" ht="12" customHeight="1">
      <c r="A28" s="288"/>
      <c r="B28" s="289" t="s">
        <v>67</v>
      </c>
      <c r="C28" s="293" t="s">
        <v>355</v>
      </c>
      <c r="D28" s="291"/>
      <c r="E28" s="291"/>
      <c r="F28" s="291"/>
      <c r="G28" s="291"/>
      <c r="H28" s="291"/>
      <c r="I28" s="291"/>
    </row>
    <row r="29" spans="1:9" s="292" customFormat="1" ht="12" customHeight="1">
      <c r="A29" s="288"/>
      <c r="B29" s="289" t="s">
        <v>69</v>
      </c>
      <c r="C29" s="293" t="s">
        <v>70</v>
      </c>
      <c r="D29" s="291"/>
      <c r="E29" s="291">
        <v>764</v>
      </c>
      <c r="F29" s="291">
        <v>764</v>
      </c>
      <c r="G29" s="291">
        <v>3215</v>
      </c>
      <c r="H29" s="291">
        <f>F29+G29</f>
        <v>3979</v>
      </c>
      <c r="I29" s="291">
        <v>3175</v>
      </c>
    </row>
    <row r="30" spans="1:9" s="292" customFormat="1" ht="12" customHeight="1">
      <c r="A30" s="288"/>
      <c r="B30" s="289" t="s">
        <v>71</v>
      </c>
      <c r="C30" s="293" t="s">
        <v>72</v>
      </c>
      <c r="D30" s="291"/>
      <c r="E30" s="291">
        <v>1622</v>
      </c>
      <c r="F30" s="291">
        <v>1622</v>
      </c>
      <c r="G30" s="291"/>
      <c r="H30" s="291">
        <v>1622</v>
      </c>
      <c r="I30" s="291">
        <v>2448</v>
      </c>
    </row>
    <row r="31" spans="1:9" s="292" customFormat="1" ht="12" customHeight="1">
      <c r="A31" s="288"/>
      <c r="B31" s="289" t="s">
        <v>73</v>
      </c>
      <c r="C31" s="293" t="s">
        <v>74</v>
      </c>
      <c r="D31" s="291"/>
      <c r="E31" s="291"/>
      <c r="F31" s="291"/>
      <c r="G31" s="291"/>
      <c r="H31" s="291"/>
      <c r="I31" s="291"/>
    </row>
    <row r="32" spans="1:9" s="292" customFormat="1" ht="12" customHeight="1">
      <c r="A32" s="299"/>
      <c r="B32" s="300" t="s">
        <v>75</v>
      </c>
      <c r="C32" s="304" t="s">
        <v>356</v>
      </c>
      <c r="D32" s="301"/>
      <c r="E32" s="301"/>
      <c r="F32" s="301"/>
      <c r="G32" s="301"/>
      <c r="H32" s="301"/>
      <c r="I32" s="301"/>
    </row>
    <row r="33" spans="1:9" s="292" customFormat="1" ht="12" customHeight="1">
      <c r="A33" s="277" t="s">
        <v>77</v>
      </c>
      <c r="B33" s="149"/>
      <c r="C33" s="284" t="s">
        <v>357</v>
      </c>
      <c r="D33" s="285">
        <f aca="true" t="shared" si="4" ref="D33:I33">+D34+D41</f>
        <v>489389</v>
      </c>
      <c r="E33" s="285">
        <f t="shared" si="4"/>
        <v>-41066</v>
      </c>
      <c r="F33" s="285">
        <f t="shared" si="4"/>
        <v>448323</v>
      </c>
      <c r="G33" s="285">
        <f t="shared" si="4"/>
        <v>-7333</v>
      </c>
      <c r="H33" s="285">
        <f t="shared" si="4"/>
        <v>440990</v>
      </c>
      <c r="I33" s="285">
        <f t="shared" si="4"/>
        <v>216593</v>
      </c>
    </row>
    <row r="34" spans="1:9" s="292" customFormat="1" ht="12" customHeight="1">
      <c r="A34" s="295"/>
      <c r="B34" s="305" t="s">
        <v>79</v>
      </c>
      <c r="C34" s="306" t="s">
        <v>80</v>
      </c>
      <c r="D34" s="307">
        <f aca="true" t="shared" si="5" ref="D34:I34">SUM(D35:D40)</f>
        <v>212594</v>
      </c>
      <c r="E34" s="307">
        <f t="shared" si="5"/>
        <v>-41066</v>
      </c>
      <c r="F34" s="307">
        <f t="shared" si="5"/>
        <v>171528</v>
      </c>
      <c r="G34" s="307">
        <f t="shared" si="5"/>
        <v>-7333</v>
      </c>
      <c r="H34" s="307">
        <f t="shared" si="5"/>
        <v>164195</v>
      </c>
      <c r="I34" s="307">
        <f t="shared" si="5"/>
        <v>133132</v>
      </c>
    </row>
    <row r="35" spans="1:9" s="292" customFormat="1" ht="12" customHeight="1">
      <c r="A35" s="288"/>
      <c r="B35" s="308" t="s">
        <v>81</v>
      </c>
      <c r="C35" s="293" t="s">
        <v>82</v>
      </c>
      <c r="D35" s="291">
        <v>20423</v>
      </c>
      <c r="E35" s="291"/>
      <c r="F35" s="291">
        <v>20423</v>
      </c>
      <c r="G35" s="291">
        <v>-7333</v>
      </c>
      <c r="H35" s="291">
        <f>F35+G35</f>
        <v>13090</v>
      </c>
      <c r="I35" s="291">
        <v>9287</v>
      </c>
    </row>
    <row r="36" spans="1:9" s="292" customFormat="1" ht="12" customHeight="1">
      <c r="A36" s="288"/>
      <c r="B36" s="308" t="s">
        <v>83</v>
      </c>
      <c r="C36" s="293" t="s">
        <v>95</v>
      </c>
      <c r="D36" s="291"/>
      <c r="E36" s="291"/>
      <c r="F36" s="291"/>
      <c r="G36" s="291"/>
      <c r="H36" s="291"/>
      <c r="I36" s="291">
        <v>1978</v>
      </c>
    </row>
    <row r="37" spans="1:9" s="292" customFormat="1" ht="12" customHeight="1">
      <c r="A37" s="288"/>
      <c r="B37" s="308" t="s">
        <v>85</v>
      </c>
      <c r="C37" s="293" t="s">
        <v>86</v>
      </c>
      <c r="D37" s="291"/>
      <c r="E37" s="291">
        <v>1370</v>
      </c>
      <c r="F37" s="291">
        <v>1370</v>
      </c>
      <c r="G37" s="291"/>
      <c r="H37" s="291">
        <v>1370</v>
      </c>
      <c r="I37" s="291">
        <v>1933</v>
      </c>
    </row>
    <row r="38" spans="1:9" s="292" customFormat="1" ht="12" customHeight="1">
      <c r="A38" s="288"/>
      <c r="B38" s="308" t="s">
        <v>87</v>
      </c>
      <c r="C38" s="293" t="s">
        <v>98</v>
      </c>
      <c r="D38" s="291">
        <v>21946</v>
      </c>
      <c r="E38" s="291"/>
      <c r="F38" s="291">
        <v>21946</v>
      </c>
      <c r="G38" s="291"/>
      <c r="H38" s="291">
        <v>21946</v>
      </c>
      <c r="I38" s="291"/>
    </row>
    <row r="39" spans="1:9" s="292" customFormat="1" ht="12" customHeight="1">
      <c r="A39" s="288"/>
      <c r="B39" s="308" t="s">
        <v>89</v>
      </c>
      <c r="C39" s="293" t="s">
        <v>270</v>
      </c>
      <c r="D39" s="291">
        <v>122922</v>
      </c>
      <c r="E39" s="291">
        <v>4867</v>
      </c>
      <c r="F39" s="291">
        <v>127789</v>
      </c>
      <c r="G39" s="291"/>
      <c r="H39" s="291">
        <v>127789</v>
      </c>
      <c r="I39" s="291">
        <v>119934</v>
      </c>
    </row>
    <row r="40" spans="1:9" s="292" customFormat="1" ht="12" customHeight="1">
      <c r="A40" s="288"/>
      <c r="B40" s="308" t="s">
        <v>224</v>
      </c>
      <c r="C40" s="293" t="s">
        <v>358</v>
      </c>
      <c r="D40" s="291">
        <v>47303</v>
      </c>
      <c r="E40" s="291">
        <v>-47303</v>
      </c>
      <c r="F40" s="291"/>
      <c r="G40" s="291"/>
      <c r="H40" s="291"/>
      <c r="I40" s="291"/>
    </row>
    <row r="41" spans="1:9" s="292" customFormat="1" ht="12" customHeight="1">
      <c r="A41" s="288"/>
      <c r="B41" s="308" t="s">
        <v>91</v>
      </c>
      <c r="C41" s="309" t="s">
        <v>92</v>
      </c>
      <c r="D41" s="310">
        <f>SUM(D42:D46)</f>
        <v>276795</v>
      </c>
      <c r="E41" s="310">
        <f>SUM(E42:E46)</f>
        <v>0</v>
      </c>
      <c r="F41" s="310">
        <f>SUM(F42:F46)</f>
        <v>276795</v>
      </c>
      <c r="G41" s="310"/>
      <c r="H41" s="310">
        <f>SUM(H42:H46)</f>
        <v>276795</v>
      </c>
      <c r="I41" s="310">
        <f>SUM(I42:I46)</f>
        <v>83461</v>
      </c>
    </row>
    <row r="42" spans="1:9" s="292" customFormat="1" ht="12" customHeight="1">
      <c r="A42" s="288"/>
      <c r="B42" s="308" t="s">
        <v>93</v>
      </c>
      <c r="C42" s="293" t="s">
        <v>82</v>
      </c>
      <c r="D42" s="291"/>
      <c r="E42" s="291"/>
      <c r="F42" s="291"/>
      <c r="G42" s="291"/>
      <c r="H42" s="291"/>
      <c r="I42" s="291"/>
    </row>
    <row r="43" spans="1:9" s="292" customFormat="1" ht="12" customHeight="1">
      <c r="A43" s="288"/>
      <c r="B43" s="308" t="s">
        <v>94</v>
      </c>
      <c r="C43" s="293" t="s">
        <v>95</v>
      </c>
      <c r="D43" s="291"/>
      <c r="E43" s="291"/>
      <c r="F43" s="291"/>
      <c r="G43" s="291"/>
      <c r="H43" s="291"/>
      <c r="I43" s="291"/>
    </row>
    <row r="44" spans="1:9" s="292" customFormat="1" ht="12" customHeight="1">
      <c r="A44" s="288"/>
      <c r="B44" s="308" t="s">
        <v>96</v>
      </c>
      <c r="C44" s="293" t="s">
        <v>86</v>
      </c>
      <c r="D44" s="291"/>
      <c r="E44" s="291"/>
      <c r="F44" s="291"/>
      <c r="G44" s="291"/>
      <c r="H44" s="291"/>
      <c r="I44" s="291"/>
    </row>
    <row r="45" spans="1:9" s="292" customFormat="1" ht="12" customHeight="1">
      <c r="A45" s="288"/>
      <c r="B45" s="308" t="s">
        <v>97</v>
      </c>
      <c r="C45" s="293" t="s">
        <v>98</v>
      </c>
      <c r="D45" s="291">
        <f>257027</f>
        <v>257027</v>
      </c>
      <c r="E45" s="291"/>
      <c r="F45" s="291">
        <f>257027</f>
        <v>257027</v>
      </c>
      <c r="G45" s="291"/>
      <c r="H45" s="291">
        <v>257027</v>
      </c>
      <c r="I45" s="291">
        <v>83461</v>
      </c>
    </row>
    <row r="46" spans="1:9" s="292" customFormat="1" ht="12" customHeight="1">
      <c r="A46" s="311"/>
      <c r="B46" s="312" t="s">
        <v>99</v>
      </c>
      <c r="C46" s="294" t="s">
        <v>271</v>
      </c>
      <c r="D46" s="313">
        <v>19768</v>
      </c>
      <c r="E46" s="313"/>
      <c r="F46" s="313">
        <v>19768</v>
      </c>
      <c r="G46" s="313"/>
      <c r="H46" s="313">
        <v>19768</v>
      </c>
      <c r="I46" s="313"/>
    </row>
    <row r="47" spans="1:9" s="287" customFormat="1" ht="12" customHeight="1">
      <c r="A47" s="277" t="s">
        <v>235</v>
      </c>
      <c r="B47" s="283"/>
      <c r="C47" s="286" t="s">
        <v>102</v>
      </c>
      <c r="D47" s="285">
        <f>+D48+D49</f>
        <v>0</v>
      </c>
      <c r="E47" s="285">
        <f>+E48+E49</f>
        <v>0</v>
      </c>
      <c r="F47" s="285">
        <f>+F48+F49</f>
        <v>0</v>
      </c>
      <c r="G47" s="285"/>
      <c r="H47" s="285"/>
      <c r="I47" s="285">
        <f>+I48+I49</f>
        <v>0</v>
      </c>
    </row>
    <row r="48" spans="1:9" s="292" customFormat="1" ht="12" customHeight="1">
      <c r="A48" s="288"/>
      <c r="B48" s="308" t="s">
        <v>103</v>
      </c>
      <c r="C48" s="290" t="s">
        <v>359</v>
      </c>
      <c r="D48" s="291"/>
      <c r="E48" s="291"/>
      <c r="F48" s="291"/>
      <c r="G48" s="291"/>
      <c r="H48" s="291"/>
      <c r="I48" s="291"/>
    </row>
    <row r="49" spans="1:9" s="292" customFormat="1" ht="12" customHeight="1">
      <c r="A49" s="288"/>
      <c r="B49" s="308" t="s">
        <v>105</v>
      </c>
      <c r="C49" s="294" t="s">
        <v>360</v>
      </c>
      <c r="D49" s="291"/>
      <c r="E49" s="291"/>
      <c r="F49" s="291"/>
      <c r="G49" s="291"/>
      <c r="H49" s="291"/>
      <c r="I49" s="291"/>
    </row>
    <row r="50" spans="1:9" s="292" customFormat="1" ht="12" customHeight="1">
      <c r="A50" s="277" t="s">
        <v>107</v>
      </c>
      <c r="B50" s="283"/>
      <c r="C50" s="286" t="s">
        <v>361</v>
      </c>
      <c r="D50" s="285">
        <f>+D51+D52+D53</f>
        <v>19198</v>
      </c>
      <c r="E50" s="285">
        <f>+E51+E52+E53</f>
        <v>5975</v>
      </c>
      <c r="F50" s="285">
        <f>+F51+F52+F53</f>
        <v>25173</v>
      </c>
      <c r="G50" s="285"/>
      <c r="H50" s="285">
        <f>+H51+H52+H53</f>
        <v>25173</v>
      </c>
      <c r="I50" s="285">
        <f>+I51+I52+I53</f>
        <v>20064</v>
      </c>
    </row>
    <row r="51" spans="1:9" s="292" customFormat="1" ht="12" customHeight="1">
      <c r="A51" s="314"/>
      <c r="B51" s="308" t="s">
        <v>109</v>
      </c>
      <c r="C51" s="290" t="s">
        <v>110</v>
      </c>
      <c r="D51" s="315"/>
      <c r="E51" s="315"/>
      <c r="F51" s="315"/>
      <c r="G51" s="315"/>
      <c r="H51" s="315"/>
      <c r="I51" s="315"/>
    </row>
    <row r="52" spans="1:9" s="292" customFormat="1" ht="12" customHeight="1">
      <c r="A52" s="314"/>
      <c r="B52" s="308" t="s">
        <v>111</v>
      </c>
      <c r="C52" s="293" t="s">
        <v>272</v>
      </c>
      <c r="D52" s="315"/>
      <c r="E52" s="315">
        <v>5975</v>
      </c>
      <c r="F52" s="315">
        <v>5975</v>
      </c>
      <c r="G52" s="315"/>
      <c r="H52" s="315">
        <v>5975</v>
      </c>
      <c r="I52" s="315">
        <v>6003</v>
      </c>
    </row>
    <row r="53" spans="1:9" s="292" customFormat="1" ht="12" customHeight="1">
      <c r="A53" s="288"/>
      <c r="B53" s="308" t="s">
        <v>114</v>
      </c>
      <c r="C53" s="304" t="s">
        <v>115</v>
      </c>
      <c r="D53" s="291">
        <v>19198</v>
      </c>
      <c r="E53" s="291"/>
      <c r="F53" s="291">
        <v>19198</v>
      </c>
      <c r="G53" s="291"/>
      <c r="H53" s="291">
        <v>19198</v>
      </c>
      <c r="I53" s="291">
        <v>14061</v>
      </c>
    </row>
    <row r="54" spans="1:9" s="292" customFormat="1" ht="12" customHeight="1">
      <c r="A54" s="277" t="s">
        <v>238</v>
      </c>
      <c r="B54" s="316"/>
      <c r="C54" s="284" t="s">
        <v>117</v>
      </c>
      <c r="D54" s="317"/>
      <c r="E54" s="317"/>
      <c r="F54" s="317"/>
      <c r="G54" s="317"/>
      <c r="H54" s="317"/>
      <c r="I54" s="317">
        <v>1063</v>
      </c>
    </row>
    <row r="55" spans="1:9" s="287" customFormat="1" ht="12" customHeight="1">
      <c r="A55" s="318" t="s">
        <v>118</v>
      </c>
      <c r="B55" s="319"/>
      <c r="C55" s="284" t="s">
        <v>362</v>
      </c>
      <c r="D55" s="320">
        <f aca="true" t="shared" si="6" ref="D55:I55">+D9+D14+D23+D24+D33+D47+D50+D54</f>
        <v>877355</v>
      </c>
      <c r="E55" s="320">
        <f t="shared" si="6"/>
        <v>43636</v>
      </c>
      <c r="F55" s="320">
        <f t="shared" si="6"/>
        <v>920991</v>
      </c>
      <c r="G55" s="320">
        <f t="shared" si="6"/>
        <v>-3868</v>
      </c>
      <c r="H55" s="320">
        <f t="shared" si="6"/>
        <v>917123</v>
      </c>
      <c r="I55" s="320">
        <f t="shared" si="6"/>
        <v>521083</v>
      </c>
    </row>
    <row r="56" spans="1:9" s="287" customFormat="1" ht="12" customHeight="1">
      <c r="A56" s="277" t="s">
        <v>120</v>
      </c>
      <c r="B56" s="321"/>
      <c r="C56" s="284" t="s">
        <v>121</v>
      </c>
      <c r="D56" s="322">
        <f aca="true" t="shared" si="7" ref="D56:I56">+D57+D58</f>
        <v>496552</v>
      </c>
      <c r="E56" s="322">
        <f t="shared" si="7"/>
        <v>20241</v>
      </c>
      <c r="F56" s="322">
        <f t="shared" si="7"/>
        <v>516793</v>
      </c>
      <c r="G56" s="322">
        <f t="shared" si="7"/>
        <v>0</v>
      </c>
      <c r="H56" s="322">
        <f t="shared" si="7"/>
        <v>516793</v>
      </c>
      <c r="I56" s="322">
        <f t="shared" si="7"/>
        <v>516793</v>
      </c>
    </row>
    <row r="57" spans="1:9" s="287" customFormat="1" ht="12" customHeight="1">
      <c r="A57" s="295"/>
      <c r="B57" s="305" t="s">
        <v>122</v>
      </c>
      <c r="C57" s="323" t="s">
        <v>363</v>
      </c>
      <c r="D57" s="324">
        <v>106992</v>
      </c>
      <c r="E57" s="324"/>
      <c r="F57" s="324">
        <v>106992</v>
      </c>
      <c r="G57" s="324"/>
      <c r="H57" s="324">
        <v>106992</v>
      </c>
      <c r="I57" s="324">
        <v>106992</v>
      </c>
    </row>
    <row r="58" spans="1:9" s="287" customFormat="1" ht="12" customHeight="1">
      <c r="A58" s="311"/>
      <c r="B58" s="312" t="s">
        <v>134</v>
      </c>
      <c r="C58" s="325" t="s">
        <v>364</v>
      </c>
      <c r="D58" s="313">
        <f>56303+1784+323583+7890</f>
        <v>389560</v>
      </c>
      <c r="E58" s="313">
        <v>20241</v>
      </c>
      <c r="F58" s="313">
        <f>D58+E58</f>
        <v>409801</v>
      </c>
      <c r="G58" s="313"/>
      <c r="H58" s="313">
        <v>409801</v>
      </c>
      <c r="I58" s="313">
        <v>409801</v>
      </c>
    </row>
    <row r="59" spans="1:9" s="292" customFormat="1" ht="12" customHeight="1">
      <c r="A59" s="326" t="s">
        <v>146</v>
      </c>
      <c r="B59" s="327"/>
      <c r="C59" s="328" t="s">
        <v>365</v>
      </c>
      <c r="D59" s="285">
        <f aca="true" t="shared" si="8" ref="D59:I59">+D55+D56</f>
        <v>1373907</v>
      </c>
      <c r="E59" s="285">
        <f t="shared" si="8"/>
        <v>63877</v>
      </c>
      <c r="F59" s="285">
        <f t="shared" si="8"/>
        <v>1437784</v>
      </c>
      <c r="G59" s="285">
        <f t="shared" si="8"/>
        <v>-3868</v>
      </c>
      <c r="H59" s="285">
        <f t="shared" si="8"/>
        <v>1433916</v>
      </c>
      <c r="I59" s="285">
        <f t="shared" si="8"/>
        <v>1037876</v>
      </c>
    </row>
    <row r="60" spans="1:9" s="292" customFormat="1" ht="15" customHeight="1">
      <c r="A60" s="329"/>
      <c r="B60" s="329"/>
      <c r="C60" s="330"/>
      <c r="D60" s="331"/>
      <c r="E60" s="331"/>
      <c r="F60" s="331"/>
      <c r="G60" s="331"/>
      <c r="H60" s="331"/>
      <c r="I60" s="331"/>
    </row>
    <row r="61" spans="1:9" ht="15.75">
      <c r="A61" s="332"/>
      <c r="B61" s="333"/>
      <c r="C61" s="333"/>
      <c r="D61" s="334"/>
      <c r="E61" s="334"/>
      <c r="F61" s="334"/>
      <c r="G61" s="334"/>
      <c r="H61" s="334"/>
      <c r="I61" s="334"/>
    </row>
    <row r="62" spans="1:9" s="279" customFormat="1" ht="16.5" customHeight="1">
      <c r="A62" s="335"/>
      <c r="B62" s="336"/>
      <c r="C62" s="337" t="s">
        <v>287</v>
      </c>
      <c r="D62" s="322"/>
      <c r="E62" s="322"/>
      <c r="F62" s="322"/>
      <c r="G62" s="322"/>
      <c r="H62" s="322"/>
      <c r="I62" s="322"/>
    </row>
    <row r="63" spans="1:9" s="338" customFormat="1" ht="12" customHeight="1">
      <c r="A63" s="277" t="s">
        <v>11</v>
      </c>
      <c r="B63" s="149"/>
      <c r="C63" s="149" t="s">
        <v>366</v>
      </c>
      <c r="D63" s="285">
        <f aca="true" t="shared" si="9" ref="D63:I63">SUM(D64:D68)</f>
        <v>309540</v>
      </c>
      <c r="E63" s="285">
        <f t="shared" si="9"/>
        <v>14168</v>
      </c>
      <c r="F63" s="285">
        <f t="shared" si="9"/>
        <v>323708</v>
      </c>
      <c r="G63" s="285">
        <f t="shared" si="9"/>
        <v>-11028</v>
      </c>
      <c r="H63" s="285">
        <f t="shared" si="9"/>
        <v>312680</v>
      </c>
      <c r="I63" s="285">
        <f t="shared" si="9"/>
        <v>233333</v>
      </c>
    </row>
    <row r="64" spans="1:9" ht="12" customHeight="1">
      <c r="A64" s="314"/>
      <c r="B64" s="339" t="s">
        <v>158</v>
      </c>
      <c r="C64" s="340" t="s">
        <v>159</v>
      </c>
      <c r="D64" s="341">
        <f>12793+7184+95497+12607</f>
        <v>128081</v>
      </c>
      <c r="E64" s="341">
        <v>3976</v>
      </c>
      <c r="F64" s="341">
        <v>132057</v>
      </c>
      <c r="G64" s="341">
        <v>-4199</v>
      </c>
      <c r="H64" s="341">
        <f>F64+G64</f>
        <v>127858</v>
      </c>
      <c r="I64" s="341">
        <v>90430</v>
      </c>
    </row>
    <row r="65" spans="1:9" ht="12" customHeight="1">
      <c r="A65" s="288"/>
      <c r="B65" s="308" t="s">
        <v>162</v>
      </c>
      <c r="C65" s="342" t="s">
        <v>163</v>
      </c>
      <c r="D65" s="343">
        <v>21000</v>
      </c>
      <c r="E65" s="343">
        <v>1379</v>
      </c>
      <c r="F65" s="343">
        <v>22379</v>
      </c>
      <c r="G65" s="343">
        <v>-1139</v>
      </c>
      <c r="H65" s="343">
        <f>F65+G65</f>
        <v>21240</v>
      </c>
      <c r="I65" s="343">
        <v>21954</v>
      </c>
    </row>
    <row r="66" spans="1:9" ht="12" customHeight="1">
      <c r="A66" s="288"/>
      <c r="B66" s="308" t="s">
        <v>164</v>
      </c>
      <c r="C66" s="342" t="s">
        <v>165</v>
      </c>
      <c r="D66" s="343">
        <f>141459+12250</f>
        <v>153709</v>
      </c>
      <c r="E66" s="343">
        <v>6313</v>
      </c>
      <c r="F66" s="343">
        <v>160022</v>
      </c>
      <c r="G66" s="343">
        <v>-5690</v>
      </c>
      <c r="H66" s="343">
        <f>F66+G66</f>
        <v>154332</v>
      </c>
      <c r="I66" s="343">
        <v>109007</v>
      </c>
    </row>
    <row r="67" spans="1:9" ht="12" customHeight="1">
      <c r="A67" s="288"/>
      <c r="B67" s="308" t="s">
        <v>168</v>
      </c>
      <c r="C67" s="342" t="s">
        <v>169</v>
      </c>
      <c r="D67" s="343">
        <v>2660</v>
      </c>
      <c r="E67" s="343"/>
      <c r="F67" s="343">
        <v>2660</v>
      </c>
      <c r="G67" s="343"/>
      <c r="H67" s="343">
        <v>2660</v>
      </c>
      <c r="I67" s="343">
        <v>1312</v>
      </c>
    </row>
    <row r="68" spans="1:9" ht="12" customHeight="1">
      <c r="A68" s="288"/>
      <c r="B68" s="308" t="s">
        <v>171</v>
      </c>
      <c r="C68" s="342" t="s">
        <v>172</v>
      </c>
      <c r="D68" s="343">
        <v>4090</v>
      </c>
      <c r="E68" s="343">
        <v>2500</v>
      </c>
      <c r="F68" s="343">
        <v>6590</v>
      </c>
      <c r="G68" s="343"/>
      <c r="H68" s="343">
        <v>6590</v>
      </c>
      <c r="I68" s="343">
        <f>SUM(I71:I72)</f>
        <v>10630</v>
      </c>
    </row>
    <row r="69" spans="1:9" ht="12" customHeight="1">
      <c r="A69" s="288"/>
      <c r="B69" s="308" t="s">
        <v>173</v>
      </c>
      <c r="C69" s="342" t="s">
        <v>174</v>
      </c>
      <c r="D69" s="343"/>
      <c r="E69" s="343"/>
      <c r="F69" s="343"/>
      <c r="G69" s="343"/>
      <c r="H69" s="343"/>
      <c r="I69" s="343"/>
    </row>
    <row r="70" spans="1:9" ht="12" customHeight="1">
      <c r="A70" s="288"/>
      <c r="B70" s="308" t="s">
        <v>175</v>
      </c>
      <c r="C70" s="344" t="s">
        <v>367</v>
      </c>
      <c r="D70" s="343"/>
      <c r="E70" s="343"/>
      <c r="F70" s="343"/>
      <c r="G70" s="343"/>
      <c r="H70" s="343"/>
      <c r="I70" s="343"/>
    </row>
    <row r="71" spans="1:9" ht="12" customHeight="1">
      <c r="A71" s="288"/>
      <c r="B71" s="308" t="s">
        <v>177</v>
      </c>
      <c r="C71" s="345" t="s">
        <v>368</v>
      </c>
      <c r="D71" s="343"/>
      <c r="E71" s="343"/>
      <c r="F71" s="343"/>
      <c r="G71" s="343"/>
      <c r="H71" s="343"/>
      <c r="I71" s="343">
        <f>2554+1978+21</f>
        <v>4553</v>
      </c>
    </row>
    <row r="72" spans="1:9" ht="12" customHeight="1">
      <c r="A72" s="288"/>
      <c r="B72" s="308" t="s">
        <v>179</v>
      </c>
      <c r="C72" s="345" t="s">
        <v>369</v>
      </c>
      <c r="D72" s="343">
        <v>4090</v>
      </c>
      <c r="E72" s="343">
        <v>2500</v>
      </c>
      <c r="F72" s="343">
        <v>6590</v>
      </c>
      <c r="G72" s="343"/>
      <c r="H72" s="343">
        <v>6590</v>
      </c>
      <c r="I72" s="343">
        <v>6077</v>
      </c>
    </row>
    <row r="73" spans="1:9" ht="12" customHeight="1">
      <c r="A73" s="288"/>
      <c r="B73" s="308" t="s">
        <v>181</v>
      </c>
      <c r="C73" s="345" t="s">
        <v>370</v>
      </c>
      <c r="D73" s="343"/>
      <c r="E73" s="343"/>
      <c r="F73" s="343"/>
      <c r="G73" s="343"/>
      <c r="H73" s="343"/>
      <c r="I73" s="343"/>
    </row>
    <row r="74" spans="1:9" ht="12" customHeight="1">
      <c r="A74" s="288"/>
      <c r="B74" s="308" t="s">
        <v>183</v>
      </c>
      <c r="C74" s="346" t="s">
        <v>371</v>
      </c>
      <c r="D74" s="343"/>
      <c r="E74" s="343"/>
      <c r="F74" s="343"/>
      <c r="G74" s="343"/>
      <c r="H74" s="343"/>
      <c r="I74" s="343"/>
    </row>
    <row r="75" spans="1:9" ht="12" customHeight="1">
      <c r="A75" s="288"/>
      <c r="B75" s="308" t="s">
        <v>185</v>
      </c>
      <c r="C75" s="347" t="s">
        <v>372</v>
      </c>
      <c r="D75" s="343"/>
      <c r="E75" s="343"/>
      <c r="F75" s="343"/>
      <c r="G75" s="343"/>
      <c r="H75" s="343"/>
      <c r="I75" s="343"/>
    </row>
    <row r="76" spans="1:9" ht="12" customHeight="1">
      <c r="A76" s="299"/>
      <c r="B76" s="348" t="s">
        <v>373</v>
      </c>
      <c r="C76" s="349" t="s">
        <v>374</v>
      </c>
      <c r="D76" s="350"/>
      <c r="E76" s="350"/>
      <c r="F76" s="350"/>
      <c r="G76" s="350"/>
      <c r="H76" s="350"/>
      <c r="I76" s="350"/>
    </row>
    <row r="77" spans="1:9" ht="12" customHeight="1">
      <c r="A77" s="277" t="s">
        <v>13</v>
      </c>
      <c r="B77" s="149"/>
      <c r="C77" s="351" t="s">
        <v>375</v>
      </c>
      <c r="D77" s="322">
        <f>SUM(D78:D80)</f>
        <v>342713</v>
      </c>
      <c r="E77" s="322">
        <f>SUM(E78:E80)</f>
        <v>9246</v>
      </c>
      <c r="F77" s="322">
        <f>SUM(F78:F80)</f>
        <v>351959</v>
      </c>
      <c r="G77" s="322"/>
      <c r="H77" s="322">
        <f>SUM(H78:H80)</f>
        <v>351959</v>
      </c>
      <c r="I77" s="322">
        <f>SUM(I78:I80)</f>
        <v>182401</v>
      </c>
    </row>
    <row r="78" spans="1:9" s="338" customFormat="1" ht="12" customHeight="1">
      <c r="A78" s="314"/>
      <c r="B78" s="339" t="s">
        <v>15</v>
      </c>
      <c r="C78" s="323" t="s">
        <v>376</v>
      </c>
      <c r="D78" s="315">
        <v>133810</v>
      </c>
      <c r="E78" s="315">
        <v>9246</v>
      </c>
      <c r="F78" s="315">
        <v>143056</v>
      </c>
      <c r="G78" s="315"/>
      <c r="H78" s="315">
        <v>143056</v>
      </c>
      <c r="I78" s="315">
        <v>84367</v>
      </c>
    </row>
    <row r="79" spans="1:9" ht="12" customHeight="1">
      <c r="A79" s="288"/>
      <c r="B79" s="308" t="s">
        <v>19</v>
      </c>
      <c r="C79" s="293" t="s">
        <v>192</v>
      </c>
      <c r="D79" s="291">
        <v>207119</v>
      </c>
      <c r="E79" s="291"/>
      <c r="F79" s="291">
        <v>207119</v>
      </c>
      <c r="G79" s="291"/>
      <c r="H79" s="291">
        <v>207119</v>
      </c>
      <c r="I79" s="291">
        <v>97914</v>
      </c>
    </row>
    <row r="80" spans="1:9" ht="12" customHeight="1">
      <c r="A80" s="288"/>
      <c r="B80" s="308" t="s">
        <v>21</v>
      </c>
      <c r="C80" s="293" t="s">
        <v>377</v>
      </c>
      <c r="D80" s="291">
        <v>1784</v>
      </c>
      <c r="E80" s="291"/>
      <c r="F80" s="291">
        <v>1784</v>
      </c>
      <c r="G80" s="291"/>
      <c r="H80" s="291">
        <v>1784</v>
      </c>
      <c r="I80" s="291">
        <v>120</v>
      </c>
    </row>
    <row r="81" spans="1:9" ht="12" customHeight="1">
      <c r="A81" s="288"/>
      <c r="B81" s="308" t="s">
        <v>23</v>
      </c>
      <c r="C81" s="293" t="s">
        <v>378</v>
      </c>
      <c r="D81" s="291"/>
      <c r="E81" s="291"/>
      <c r="F81" s="291"/>
      <c r="G81" s="291"/>
      <c r="H81" s="291"/>
      <c r="I81" s="291"/>
    </row>
    <row r="82" spans="1:9" ht="12" customHeight="1">
      <c r="A82" s="288"/>
      <c r="B82" s="308" t="s">
        <v>195</v>
      </c>
      <c r="C82" s="345" t="s">
        <v>379</v>
      </c>
      <c r="D82" s="291"/>
      <c r="E82" s="291"/>
      <c r="F82" s="291"/>
      <c r="G82" s="291"/>
      <c r="H82" s="291"/>
      <c r="I82" s="291"/>
    </row>
    <row r="83" spans="1:9" ht="12" customHeight="1">
      <c r="A83" s="288"/>
      <c r="B83" s="308" t="s">
        <v>197</v>
      </c>
      <c r="C83" s="345" t="s">
        <v>380</v>
      </c>
      <c r="D83" s="291"/>
      <c r="E83" s="291"/>
      <c r="F83" s="291"/>
      <c r="G83" s="291"/>
      <c r="H83" s="291"/>
      <c r="I83" s="291"/>
    </row>
    <row r="84" spans="1:9" ht="12" customHeight="1">
      <c r="A84" s="288"/>
      <c r="B84" s="308" t="s">
        <v>199</v>
      </c>
      <c r="C84" s="345" t="s">
        <v>381</v>
      </c>
      <c r="D84" s="291">
        <v>1784</v>
      </c>
      <c r="E84" s="291"/>
      <c r="F84" s="291">
        <v>1784</v>
      </c>
      <c r="G84" s="291"/>
      <c r="H84" s="291">
        <v>1784</v>
      </c>
      <c r="I84" s="291">
        <v>120</v>
      </c>
    </row>
    <row r="85" spans="1:9" s="338" customFormat="1" ht="12" customHeight="1">
      <c r="A85" s="288"/>
      <c r="B85" s="308" t="s">
        <v>201</v>
      </c>
      <c r="C85" s="345" t="s">
        <v>382</v>
      </c>
      <c r="D85" s="291"/>
      <c r="E85" s="291"/>
      <c r="F85" s="291"/>
      <c r="G85" s="291"/>
      <c r="H85" s="291"/>
      <c r="I85" s="291"/>
    </row>
    <row r="86" spans="1:14" ht="12" customHeight="1">
      <c r="A86" s="288"/>
      <c r="B86" s="308" t="s">
        <v>203</v>
      </c>
      <c r="C86" s="345" t="s">
        <v>383</v>
      </c>
      <c r="D86" s="291"/>
      <c r="E86" s="291"/>
      <c r="F86" s="291"/>
      <c r="G86" s="291"/>
      <c r="H86" s="291"/>
      <c r="I86" s="291"/>
      <c r="N86" s="352"/>
    </row>
    <row r="87" spans="1:9" ht="21" customHeight="1">
      <c r="A87" s="288"/>
      <c r="B87" s="308" t="s">
        <v>205</v>
      </c>
      <c r="C87" s="353" t="s">
        <v>384</v>
      </c>
      <c r="D87" s="291"/>
      <c r="E87" s="291"/>
      <c r="F87" s="291"/>
      <c r="G87" s="291"/>
      <c r="H87" s="291"/>
      <c r="I87" s="291"/>
    </row>
    <row r="88" spans="1:9" ht="12" customHeight="1">
      <c r="A88" s="318" t="s">
        <v>25</v>
      </c>
      <c r="B88" s="354"/>
      <c r="C88" s="355" t="s">
        <v>385</v>
      </c>
      <c r="D88" s="356">
        <f aca="true" t="shared" si="10" ref="D88:I88">+D89+D90</f>
        <v>509716</v>
      </c>
      <c r="E88" s="356">
        <f t="shared" si="10"/>
        <v>19637</v>
      </c>
      <c r="F88" s="356">
        <f t="shared" si="10"/>
        <v>529353</v>
      </c>
      <c r="G88" s="356">
        <f t="shared" si="10"/>
        <v>0</v>
      </c>
      <c r="H88" s="356">
        <f t="shared" si="10"/>
        <v>529353</v>
      </c>
      <c r="I88" s="356">
        <f t="shared" si="10"/>
        <v>0</v>
      </c>
    </row>
    <row r="89" spans="1:9" s="338" customFormat="1" ht="12" customHeight="1">
      <c r="A89" s="295"/>
      <c r="B89" s="305" t="s">
        <v>27</v>
      </c>
      <c r="C89" s="357" t="s">
        <v>208</v>
      </c>
      <c r="D89" s="296">
        <v>166876</v>
      </c>
      <c r="E89" s="296">
        <v>236</v>
      </c>
      <c r="F89" s="296">
        <v>167112</v>
      </c>
      <c r="G89" s="296"/>
      <c r="H89" s="296">
        <v>167112</v>
      </c>
      <c r="I89" s="296"/>
    </row>
    <row r="90" spans="1:9" s="338" customFormat="1" ht="12" customHeight="1">
      <c r="A90" s="311"/>
      <c r="B90" s="312" t="s">
        <v>29</v>
      </c>
      <c r="C90" s="358" t="s">
        <v>210</v>
      </c>
      <c r="D90" s="313">
        <v>342840</v>
      </c>
      <c r="E90" s="313">
        <v>19401</v>
      </c>
      <c r="F90" s="313">
        <v>362241</v>
      </c>
      <c r="G90" s="313"/>
      <c r="H90" s="313">
        <v>362241</v>
      </c>
      <c r="I90" s="313"/>
    </row>
    <row r="91" spans="1:9" s="338" customFormat="1" ht="12" customHeight="1">
      <c r="A91" s="359" t="s">
        <v>213</v>
      </c>
      <c r="B91" s="360"/>
      <c r="C91" s="286" t="s">
        <v>214</v>
      </c>
      <c r="D91" s="361"/>
      <c r="E91" s="361"/>
      <c r="F91" s="361"/>
      <c r="G91" s="361"/>
      <c r="H91" s="361"/>
      <c r="I91" s="361">
        <v>245</v>
      </c>
    </row>
    <row r="92" spans="1:9" s="338" customFormat="1" ht="12" customHeight="1">
      <c r="A92" s="277" t="s">
        <v>47</v>
      </c>
      <c r="B92" s="362"/>
      <c r="C92" s="363" t="s">
        <v>386</v>
      </c>
      <c r="D92" s="303">
        <f>84730+9382+49812-10800+35379</f>
        <v>168503</v>
      </c>
      <c r="E92" s="303">
        <v>64261</v>
      </c>
      <c r="F92" s="303">
        <v>232764</v>
      </c>
      <c r="G92" s="303">
        <f>3465+3695</f>
        <v>7160</v>
      </c>
      <c r="H92" s="303">
        <f>F92+G92</f>
        <v>239924</v>
      </c>
      <c r="I92" s="303">
        <v>185596</v>
      </c>
    </row>
    <row r="93" spans="1:9" s="338" customFormat="1" ht="12" customHeight="1">
      <c r="A93" s="277" t="s">
        <v>77</v>
      </c>
      <c r="B93" s="149"/>
      <c r="C93" s="284" t="s">
        <v>387</v>
      </c>
      <c r="D93" s="364">
        <f>+D63+D77+D88+D91+D92</f>
        <v>1330472</v>
      </c>
      <c r="E93" s="364">
        <f>+E63+E77+E88+E91+E92</f>
        <v>107312</v>
      </c>
      <c r="F93" s="364">
        <f>+F63+F77+F88+F91+F92</f>
        <v>1437784</v>
      </c>
      <c r="G93" s="364">
        <f>+G63+G77+G88+G91+G92</f>
        <v>-3868</v>
      </c>
      <c r="H93" s="364">
        <f>+H63+H77+H88+H91+H92</f>
        <v>1433916</v>
      </c>
      <c r="I93" s="364">
        <f>I63+I77+I88+I91+I92</f>
        <v>601575</v>
      </c>
    </row>
    <row r="94" spans="1:9" s="338" customFormat="1" ht="12" customHeight="1">
      <c r="A94" s="277" t="s">
        <v>235</v>
      </c>
      <c r="B94" s="149"/>
      <c r="C94" s="284" t="s">
        <v>388</v>
      </c>
      <c r="D94" s="285">
        <f>+D95+D96</f>
        <v>0</v>
      </c>
      <c r="E94" s="285">
        <f>+E95+E96</f>
        <v>0</v>
      </c>
      <c r="F94" s="285">
        <f>+F95+F96</f>
        <v>0</v>
      </c>
      <c r="G94" s="285"/>
      <c r="H94" s="285"/>
      <c r="I94" s="285">
        <f>+I95+I96</f>
        <v>0</v>
      </c>
    </row>
    <row r="95" spans="1:9" ht="12.75" customHeight="1">
      <c r="A95" s="314"/>
      <c r="B95" s="308" t="s">
        <v>389</v>
      </c>
      <c r="C95" s="323" t="s">
        <v>390</v>
      </c>
      <c r="D95" s="315"/>
      <c r="E95" s="315"/>
      <c r="F95" s="315"/>
      <c r="G95" s="315"/>
      <c r="H95" s="315"/>
      <c r="I95" s="315"/>
    </row>
    <row r="96" spans="1:9" ht="12" customHeight="1">
      <c r="A96" s="299"/>
      <c r="B96" s="348" t="s">
        <v>105</v>
      </c>
      <c r="C96" s="325" t="s">
        <v>391</v>
      </c>
      <c r="D96" s="301"/>
      <c r="E96" s="301"/>
      <c r="F96" s="301"/>
      <c r="G96" s="301"/>
      <c r="H96" s="301"/>
      <c r="I96" s="301"/>
    </row>
    <row r="97" spans="1:9" ht="15" customHeight="1">
      <c r="A97" s="277" t="s">
        <v>107</v>
      </c>
      <c r="B97" s="316"/>
      <c r="C97" s="284" t="s">
        <v>392</v>
      </c>
      <c r="D97" s="285">
        <f aca="true" t="shared" si="11" ref="D97:I97">+D93+D94</f>
        <v>1330472</v>
      </c>
      <c r="E97" s="285">
        <f t="shared" si="11"/>
        <v>107312</v>
      </c>
      <c r="F97" s="285">
        <f t="shared" si="11"/>
        <v>1437784</v>
      </c>
      <c r="G97" s="285">
        <f t="shared" si="11"/>
        <v>-3868</v>
      </c>
      <c r="H97" s="285">
        <f t="shared" si="11"/>
        <v>1433916</v>
      </c>
      <c r="I97" s="285">
        <f t="shared" si="11"/>
        <v>601575</v>
      </c>
    </row>
    <row r="98" spans="4:9" ht="15.75">
      <c r="D98" s="334"/>
      <c r="E98" s="334"/>
      <c r="F98" s="334"/>
      <c r="G98" s="334"/>
      <c r="H98" s="334"/>
      <c r="I98" s="334"/>
    </row>
    <row r="99" spans="1:9" ht="15" customHeight="1">
      <c r="A99" s="365" t="s">
        <v>393</v>
      </c>
      <c r="B99" s="366"/>
      <c r="C99" s="367"/>
      <c r="D99" s="368">
        <v>10</v>
      </c>
      <c r="E99" s="368"/>
      <c r="F99" s="368">
        <v>10</v>
      </c>
      <c r="G99" s="368">
        <v>10</v>
      </c>
      <c r="H99" s="368">
        <v>10</v>
      </c>
      <c r="I99" s="368">
        <v>4</v>
      </c>
    </row>
    <row r="100" spans="1:9" ht="14.25" customHeight="1">
      <c r="A100" s="365" t="s">
        <v>394</v>
      </c>
      <c r="B100" s="366"/>
      <c r="C100" s="367"/>
      <c r="D100" s="368">
        <v>100</v>
      </c>
      <c r="E100" s="368">
        <v>38</v>
      </c>
      <c r="F100" s="368">
        <v>138</v>
      </c>
      <c r="G100" s="368">
        <v>138</v>
      </c>
      <c r="H100" s="368">
        <v>138</v>
      </c>
      <c r="I100" s="368">
        <v>158</v>
      </c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2" r:id="rId1"/>
  <headerFooter alignWithMargins="0">
    <oddHeader xml:space="preserve">&amp;R7.melléklet a 14/2013.(XI.15.) önkormányzati rendelethez </oddHeader>
  </headerFooter>
  <rowBreaks count="1" manualBreakCount="1">
    <brk id="6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I51"/>
  <sheetViews>
    <sheetView view="pageBreakPreview" zoomScaleSheetLayoutView="100" workbookViewId="0" topLeftCell="B1">
      <selection activeCell="D1" sqref="D1"/>
    </sheetView>
  </sheetViews>
  <sheetFormatPr defaultColWidth="9.00390625" defaultRowHeight="12.75"/>
  <cols>
    <col min="1" max="1" width="9.625" style="369" customWidth="1"/>
    <col min="2" max="2" width="9.625" style="260" customWidth="1"/>
    <col min="3" max="3" width="72.00390625" style="260" customWidth="1"/>
    <col min="4" max="4" width="11.00390625" style="260" customWidth="1"/>
    <col min="5" max="8" width="11.375" style="260" customWidth="1"/>
    <col min="9" max="9" width="0" style="260" hidden="1" customWidth="1"/>
    <col min="10" max="16384" width="9.375" style="260" customWidth="1"/>
  </cols>
  <sheetData>
    <row r="1" spans="1:9" s="265" customFormat="1" ht="21" customHeight="1">
      <c r="A1" s="261"/>
      <c r="B1" s="262"/>
      <c r="C1" s="370"/>
      <c r="D1" s="371"/>
      <c r="E1" s="371"/>
      <c r="F1" s="371"/>
      <c r="G1" s="371"/>
      <c r="H1" s="371"/>
      <c r="I1"/>
    </row>
    <row r="2" spans="1:9" s="268" customFormat="1" ht="25.5" customHeight="1">
      <c r="A2" s="447" t="s">
        <v>395</v>
      </c>
      <c r="B2" s="447"/>
      <c r="C2" s="372" t="s">
        <v>396</v>
      </c>
      <c r="D2" s="373"/>
      <c r="E2" s="373"/>
      <c r="F2" s="373"/>
      <c r="G2" s="373"/>
      <c r="H2" s="373"/>
      <c r="I2" s="373" t="s">
        <v>344</v>
      </c>
    </row>
    <row r="3" spans="1:9" s="268" customFormat="1" ht="15.75">
      <c r="A3" s="269" t="s">
        <v>345</v>
      </c>
      <c r="B3" s="270"/>
      <c r="C3" s="374" t="s">
        <v>397</v>
      </c>
      <c r="D3" s="375"/>
      <c r="E3" s="375"/>
      <c r="F3" s="375"/>
      <c r="G3" s="375"/>
      <c r="H3" s="375"/>
      <c r="I3" s="375" t="s">
        <v>344</v>
      </c>
    </row>
    <row r="4" spans="1:9" s="275" customFormat="1" ht="15.75" customHeight="1">
      <c r="A4" s="273"/>
      <c r="B4" s="273"/>
      <c r="C4" s="273"/>
      <c r="D4" s="274"/>
      <c r="E4" s="274"/>
      <c r="F4" s="274"/>
      <c r="G4" s="274"/>
      <c r="H4" s="274"/>
      <c r="I4" s="274" t="s">
        <v>348</v>
      </c>
    </row>
    <row r="5" spans="1:9" ht="44.25" customHeight="1">
      <c r="A5" s="448" t="s">
        <v>349</v>
      </c>
      <c r="B5" s="448"/>
      <c r="C5" s="276" t="s">
        <v>350</v>
      </c>
      <c r="D5" s="8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</row>
    <row r="6" spans="1:9" s="279" customFormat="1" ht="12.75" customHeight="1">
      <c r="A6" s="277">
        <v>1</v>
      </c>
      <c r="B6" s="278">
        <v>2</v>
      </c>
      <c r="C6" s="278">
        <v>3</v>
      </c>
      <c r="D6" s="11">
        <v>3</v>
      </c>
      <c r="E6" s="9">
        <v>4</v>
      </c>
      <c r="F6" s="10">
        <v>5</v>
      </c>
      <c r="G6" s="9">
        <v>6</v>
      </c>
      <c r="H6" s="10">
        <v>7</v>
      </c>
      <c r="I6" s="9">
        <v>8</v>
      </c>
    </row>
    <row r="7" spans="1:9" s="279" customFormat="1" ht="15.75" customHeight="1">
      <c r="A7" s="280"/>
      <c r="B7" s="281"/>
      <c r="C7" s="281" t="s">
        <v>286</v>
      </c>
      <c r="D7" s="376"/>
      <c r="E7" s="376"/>
      <c r="F7" s="376"/>
      <c r="G7" s="376"/>
      <c r="H7" s="376"/>
      <c r="I7" s="376"/>
    </row>
    <row r="8" spans="1:9" s="287" customFormat="1" ht="12" customHeight="1">
      <c r="A8" s="277" t="s">
        <v>11</v>
      </c>
      <c r="B8" s="283"/>
      <c r="C8" s="377" t="s">
        <v>398</v>
      </c>
      <c r="D8" s="378">
        <f>SUM(D9:D16)</f>
        <v>0</v>
      </c>
      <c r="E8" s="378">
        <f>SUM(E9:E16)</f>
        <v>0</v>
      </c>
      <c r="F8" s="378">
        <f>SUM(F9:F16)</f>
        <v>0</v>
      </c>
      <c r="G8" s="378"/>
      <c r="H8" s="378"/>
      <c r="I8" s="378">
        <f>SUM(I9:I16)</f>
        <v>0</v>
      </c>
    </row>
    <row r="9" spans="1:9" s="287" customFormat="1" ht="12" customHeight="1">
      <c r="A9" s="295"/>
      <c r="B9" s="379" t="s">
        <v>158</v>
      </c>
      <c r="C9" s="380" t="s">
        <v>28</v>
      </c>
      <c r="D9" s="296"/>
      <c r="E9" s="296"/>
      <c r="F9" s="296"/>
      <c r="G9" s="296"/>
      <c r="H9" s="296"/>
      <c r="I9" s="296"/>
    </row>
    <row r="10" spans="1:9" s="287" customFormat="1" ht="12" customHeight="1">
      <c r="A10" s="288"/>
      <c r="B10" s="379" t="s">
        <v>162</v>
      </c>
      <c r="C10" s="381" t="s">
        <v>30</v>
      </c>
      <c r="D10" s="291"/>
      <c r="E10" s="291"/>
      <c r="F10" s="291"/>
      <c r="G10" s="291"/>
      <c r="H10" s="291"/>
      <c r="I10" s="291"/>
    </row>
    <row r="11" spans="1:9" s="287" customFormat="1" ht="12" customHeight="1">
      <c r="A11" s="288"/>
      <c r="B11" s="379" t="s">
        <v>164</v>
      </c>
      <c r="C11" s="381" t="s">
        <v>32</v>
      </c>
      <c r="D11" s="291"/>
      <c r="E11" s="291"/>
      <c r="F11" s="291"/>
      <c r="G11" s="291"/>
      <c r="H11" s="291"/>
      <c r="I11" s="291"/>
    </row>
    <row r="12" spans="1:9" s="287" customFormat="1" ht="12" customHeight="1">
      <c r="A12" s="288"/>
      <c r="B12" s="379" t="s">
        <v>168</v>
      </c>
      <c r="C12" s="381" t="s">
        <v>34</v>
      </c>
      <c r="D12" s="291"/>
      <c r="E12" s="291"/>
      <c r="F12" s="291"/>
      <c r="G12" s="291"/>
      <c r="H12" s="291"/>
      <c r="I12" s="291"/>
    </row>
    <row r="13" spans="1:9" s="287" customFormat="1" ht="12" customHeight="1">
      <c r="A13" s="288"/>
      <c r="B13" s="379" t="s">
        <v>399</v>
      </c>
      <c r="C13" s="382" t="s">
        <v>36</v>
      </c>
      <c r="D13" s="291"/>
      <c r="E13" s="291"/>
      <c r="F13" s="291"/>
      <c r="G13" s="291"/>
      <c r="H13" s="291"/>
      <c r="I13" s="291"/>
    </row>
    <row r="14" spans="1:9" s="287" customFormat="1" ht="12" customHeight="1">
      <c r="A14" s="297"/>
      <c r="B14" s="379" t="s">
        <v>173</v>
      </c>
      <c r="C14" s="381" t="s">
        <v>400</v>
      </c>
      <c r="D14" s="298"/>
      <c r="E14" s="298"/>
      <c r="F14" s="298"/>
      <c r="G14" s="298"/>
      <c r="H14" s="298"/>
      <c r="I14" s="298"/>
    </row>
    <row r="15" spans="1:9" s="292" customFormat="1" ht="12" customHeight="1">
      <c r="A15" s="288"/>
      <c r="B15" s="379" t="s">
        <v>175</v>
      </c>
      <c r="C15" s="381" t="s">
        <v>401</v>
      </c>
      <c r="D15" s="291"/>
      <c r="E15" s="291"/>
      <c r="F15" s="291"/>
      <c r="G15" s="291"/>
      <c r="H15" s="291"/>
      <c r="I15" s="291"/>
    </row>
    <row r="16" spans="1:9" s="292" customFormat="1" ht="12" customHeight="1">
      <c r="A16" s="299"/>
      <c r="B16" s="383" t="s">
        <v>177</v>
      </c>
      <c r="C16" s="382" t="s">
        <v>402</v>
      </c>
      <c r="D16" s="301"/>
      <c r="E16" s="301"/>
      <c r="F16" s="301"/>
      <c r="G16" s="301"/>
      <c r="H16" s="301"/>
      <c r="I16" s="301"/>
    </row>
    <row r="17" spans="1:9" s="287" customFormat="1" ht="12" customHeight="1">
      <c r="A17" s="277" t="s">
        <v>13</v>
      </c>
      <c r="B17" s="384"/>
      <c r="C17" s="385" t="s">
        <v>403</v>
      </c>
      <c r="D17" s="285">
        <f aca="true" t="shared" si="0" ref="D17:I17">SUM(D18:D21)</f>
        <v>27333</v>
      </c>
      <c r="E17" s="285">
        <f t="shared" si="0"/>
        <v>1092</v>
      </c>
      <c r="F17" s="285">
        <f t="shared" si="0"/>
        <v>28425</v>
      </c>
      <c r="G17" s="285">
        <f t="shared" si="0"/>
        <v>-7333</v>
      </c>
      <c r="H17" s="285">
        <f t="shared" si="0"/>
        <v>21092</v>
      </c>
      <c r="I17" s="285">
        <f t="shared" si="0"/>
        <v>13199</v>
      </c>
    </row>
    <row r="18" spans="1:9" s="292" customFormat="1" ht="12" customHeight="1">
      <c r="A18" s="288"/>
      <c r="B18" s="379" t="s">
        <v>15</v>
      </c>
      <c r="C18" s="386" t="s">
        <v>404</v>
      </c>
      <c r="D18" s="291">
        <v>20423</v>
      </c>
      <c r="E18" s="291">
        <v>1370</v>
      </c>
      <c r="F18" s="291">
        <v>21793</v>
      </c>
      <c r="G18" s="291">
        <v>-7333</v>
      </c>
      <c r="H18" s="291">
        <f>F18+G18</f>
        <v>14460</v>
      </c>
      <c r="I18" s="291">
        <v>13199</v>
      </c>
    </row>
    <row r="19" spans="1:9" s="292" customFormat="1" ht="12" customHeight="1">
      <c r="A19" s="288"/>
      <c r="B19" s="379" t="s">
        <v>19</v>
      </c>
      <c r="C19" s="381" t="s">
        <v>405</v>
      </c>
      <c r="D19" s="291">
        <v>6910</v>
      </c>
      <c r="E19" s="291">
        <v>-278</v>
      </c>
      <c r="F19" s="291">
        <v>6632</v>
      </c>
      <c r="G19" s="291"/>
      <c r="H19" s="291">
        <v>6632</v>
      </c>
      <c r="I19" s="291"/>
    </row>
    <row r="20" spans="1:9" s="292" customFormat="1" ht="12" customHeight="1">
      <c r="A20" s="288"/>
      <c r="B20" s="379" t="s">
        <v>21</v>
      </c>
      <c r="C20" s="381" t="s">
        <v>406</v>
      </c>
      <c r="D20" s="291"/>
      <c r="E20" s="291"/>
      <c r="F20" s="291"/>
      <c r="G20" s="291"/>
      <c r="H20" s="291"/>
      <c r="I20" s="291"/>
    </row>
    <row r="21" spans="1:9" s="292" customFormat="1" ht="12" customHeight="1">
      <c r="A21" s="288"/>
      <c r="B21" s="379" t="s">
        <v>23</v>
      </c>
      <c r="C21" s="381" t="s">
        <v>407</v>
      </c>
      <c r="D21" s="291"/>
      <c r="E21" s="291"/>
      <c r="F21" s="291"/>
      <c r="G21" s="291"/>
      <c r="H21" s="291"/>
      <c r="I21" s="291"/>
    </row>
    <row r="22" spans="1:9" s="292" customFormat="1" ht="12" customHeight="1">
      <c r="A22" s="277" t="s">
        <v>25</v>
      </c>
      <c r="B22" s="387"/>
      <c r="C22" s="387" t="s">
        <v>408</v>
      </c>
      <c r="D22" s="285">
        <f>+D23+D24</f>
        <v>0</v>
      </c>
      <c r="E22" s="285">
        <f>+E23+E24</f>
        <v>0</v>
      </c>
      <c r="F22" s="285">
        <f>+F23+F24</f>
        <v>0</v>
      </c>
      <c r="G22" s="285"/>
      <c r="H22" s="285"/>
      <c r="I22" s="285">
        <f>+I23+I24</f>
        <v>0</v>
      </c>
    </row>
    <row r="23" spans="1:9" s="287" customFormat="1" ht="12" customHeight="1">
      <c r="A23" s="295"/>
      <c r="B23" s="388" t="s">
        <v>27</v>
      </c>
      <c r="C23" s="380" t="s">
        <v>104</v>
      </c>
      <c r="D23" s="296"/>
      <c r="E23" s="296"/>
      <c r="F23" s="296"/>
      <c r="G23" s="296"/>
      <c r="H23" s="296"/>
      <c r="I23" s="296"/>
    </row>
    <row r="24" spans="1:9" s="287" customFormat="1" ht="12" customHeight="1">
      <c r="A24" s="389"/>
      <c r="B24" s="390" t="s">
        <v>29</v>
      </c>
      <c r="C24" s="391" t="s">
        <v>106</v>
      </c>
      <c r="D24" s="392"/>
      <c r="E24" s="392"/>
      <c r="F24" s="392"/>
      <c r="G24" s="392"/>
      <c r="H24" s="392"/>
      <c r="I24" s="392"/>
    </row>
    <row r="25" spans="1:9" s="287" customFormat="1" ht="12" customHeight="1">
      <c r="A25" s="277" t="s">
        <v>213</v>
      </c>
      <c r="B25" s="384"/>
      <c r="C25" s="387" t="s">
        <v>409</v>
      </c>
      <c r="D25" s="303">
        <v>9382</v>
      </c>
      <c r="E25" s="303">
        <v>-1092</v>
      </c>
      <c r="F25" s="303">
        <v>8290</v>
      </c>
      <c r="G25" s="303">
        <v>-3694</v>
      </c>
      <c r="H25" s="303">
        <f>F25+G25</f>
        <v>4596</v>
      </c>
      <c r="I25" s="303">
        <v>6826</v>
      </c>
    </row>
    <row r="26" spans="1:9" s="287" customFormat="1" ht="12" customHeight="1">
      <c r="A26" s="277" t="s">
        <v>47</v>
      </c>
      <c r="B26" s="393"/>
      <c r="C26" s="387" t="s">
        <v>410</v>
      </c>
      <c r="D26" s="322">
        <f aca="true" t="shared" si="1" ref="D26:I26">D17+D25</f>
        <v>36715</v>
      </c>
      <c r="E26" s="322">
        <f t="shared" si="1"/>
        <v>0</v>
      </c>
      <c r="F26" s="322">
        <f t="shared" si="1"/>
        <v>36715</v>
      </c>
      <c r="G26" s="322">
        <f t="shared" si="1"/>
        <v>-11027</v>
      </c>
      <c r="H26" s="322">
        <f t="shared" si="1"/>
        <v>25688</v>
      </c>
      <c r="I26" s="322">
        <f t="shared" si="1"/>
        <v>20025</v>
      </c>
    </row>
    <row r="27" spans="1:9" s="292" customFormat="1" ht="12" customHeight="1">
      <c r="A27" s="394" t="s">
        <v>77</v>
      </c>
      <c r="B27" s="395"/>
      <c r="C27" s="396" t="s">
        <v>411</v>
      </c>
      <c r="D27" s="397">
        <f>+D28+D29</f>
        <v>0</v>
      </c>
      <c r="E27" s="397">
        <f>+E28+E29</f>
        <v>0</v>
      </c>
      <c r="F27" s="397">
        <f>+F28+F29</f>
        <v>0</v>
      </c>
      <c r="G27" s="397"/>
      <c r="H27" s="397"/>
      <c r="I27" s="397">
        <f>+I28+I29</f>
        <v>0</v>
      </c>
    </row>
    <row r="28" spans="1:9" s="292" customFormat="1" ht="15" customHeight="1">
      <c r="A28" s="295"/>
      <c r="B28" s="398" t="s">
        <v>79</v>
      </c>
      <c r="C28" s="380" t="s">
        <v>412</v>
      </c>
      <c r="D28" s="296"/>
      <c r="E28" s="296"/>
      <c r="F28" s="296"/>
      <c r="G28" s="296"/>
      <c r="H28" s="296"/>
      <c r="I28" s="296"/>
    </row>
    <row r="29" spans="1:9" s="292" customFormat="1" ht="15" customHeight="1">
      <c r="A29" s="399"/>
      <c r="B29" s="400" t="s">
        <v>91</v>
      </c>
      <c r="C29" s="401" t="s">
        <v>413</v>
      </c>
      <c r="D29" s="313"/>
      <c r="E29" s="313"/>
      <c r="F29" s="313"/>
      <c r="G29" s="313"/>
      <c r="H29" s="313"/>
      <c r="I29" s="313"/>
    </row>
    <row r="30" spans="1:9" ht="15.75">
      <c r="A30" s="326" t="s">
        <v>235</v>
      </c>
      <c r="B30" s="402"/>
      <c r="C30" s="403" t="s">
        <v>414</v>
      </c>
      <c r="D30" s="317"/>
      <c r="E30" s="317"/>
      <c r="F30" s="317"/>
      <c r="G30" s="317"/>
      <c r="H30" s="317"/>
      <c r="I30" s="317"/>
    </row>
    <row r="31" spans="1:9" s="279" customFormat="1" ht="16.5" customHeight="1">
      <c r="A31" s="326" t="s">
        <v>107</v>
      </c>
      <c r="B31" s="404"/>
      <c r="C31" s="405" t="s">
        <v>415</v>
      </c>
      <c r="D31" s="322">
        <f aca="true" t="shared" si="2" ref="D31:I31">+D26+D27+D30</f>
        <v>36715</v>
      </c>
      <c r="E31" s="322">
        <f t="shared" si="2"/>
        <v>0</v>
      </c>
      <c r="F31" s="322">
        <f t="shared" si="2"/>
        <v>36715</v>
      </c>
      <c r="G31" s="322">
        <f t="shared" si="2"/>
        <v>-11027</v>
      </c>
      <c r="H31" s="322">
        <f t="shared" si="2"/>
        <v>25688</v>
      </c>
      <c r="I31" s="322">
        <f t="shared" si="2"/>
        <v>20025</v>
      </c>
    </row>
    <row r="32" spans="1:9" s="338" customFormat="1" ht="12" customHeight="1">
      <c r="A32" s="329"/>
      <c r="B32" s="406"/>
      <c r="C32" s="407"/>
      <c r="D32" s="331"/>
      <c r="E32" s="331"/>
      <c r="F32" s="331"/>
      <c r="G32" s="331"/>
      <c r="H32" s="331"/>
      <c r="I32" s="331"/>
    </row>
    <row r="33" spans="1:9" ht="12" customHeight="1">
      <c r="A33" s="332"/>
      <c r="B33" s="408"/>
      <c r="C33" s="408"/>
      <c r="D33" s="334"/>
      <c r="E33" s="334"/>
      <c r="F33" s="334"/>
      <c r="G33" s="334"/>
      <c r="H33" s="334"/>
      <c r="I33" s="334"/>
    </row>
    <row r="34" spans="1:9" ht="12" customHeight="1">
      <c r="A34" s="335"/>
      <c r="B34" s="409"/>
      <c r="C34" s="409" t="s">
        <v>287</v>
      </c>
      <c r="D34" s="322"/>
      <c r="E34" s="322"/>
      <c r="F34" s="322"/>
      <c r="G34" s="322"/>
      <c r="H34" s="322"/>
      <c r="I34" s="322"/>
    </row>
    <row r="35" spans="1:9" ht="12" customHeight="1">
      <c r="A35" s="277" t="s">
        <v>11</v>
      </c>
      <c r="B35" s="387"/>
      <c r="C35" s="387" t="s">
        <v>366</v>
      </c>
      <c r="D35" s="285">
        <f aca="true" t="shared" si="3" ref="D35:I35">SUM(D36:D40)</f>
        <v>36715</v>
      </c>
      <c r="E35" s="285">
        <f t="shared" si="3"/>
        <v>0</v>
      </c>
      <c r="F35" s="285">
        <f t="shared" si="3"/>
        <v>36715</v>
      </c>
      <c r="G35" s="285">
        <f t="shared" si="3"/>
        <v>-11027</v>
      </c>
      <c r="H35" s="285">
        <f t="shared" si="3"/>
        <v>25688</v>
      </c>
      <c r="I35" s="285">
        <f t="shared" si="3"/>
        <v>20025</v>
      </c>
    </row>
    <row r="36" spans="1:9" ht="12" customHeight="1">
      <c r="A36" s="314"/>
      <c r="B36" s="410" t="s">
        <v>158</v>
      </c>
      <c r="C36" s="386" t="s">
        <v>159</v>
      </c>
      <c r="D36" s="315">
        <v>12607</v>
      </c>
      <c r="E36" s="315"/>
      <c r="F36" s="315">
        <v>12607</v>
      </c>
      <c r="G36" s="315">
        <v>-4198</v>
      </c>
      <c r="H36" s="315">
        <f>F36+G36</f>
        <v>8409</v>
      </c>
      <c r="I36" s="315">
        <v>7467</v>
      </c>
    </row>
    <row r="37" spans="1:9" ht="12" customHeight="1">
      <c r="A37" s="288"/>
      <c r="B37" s="411" t="s">
        <v>162</v>
      </c>
      <c r="C37" s="381" t="s">
        <v>163</v>
      </c>
      <c r="D37" s="291">
        <v>3335</v>
      </c>
      <c r="E37" s="291"/>
      <c r="F37" s="291">
        <v>3335</v>
      </c>
      <c r="G37" s="291">
        <v>-1139</v>
      </c>
      <c r="H37" s="291">
        <f>F37+G37</f>
        <v>2196</v>
      </c>
      <c r="I37" s="291">
        <v>1759</v>
      </c>
    </row>
    <row r="38" spans="1:9" ht="12" customHeight="1">
      <c r="A38" s="288"/>
      <c r="B38" s="411" t="s">
        <v>164</v>
      </c>
      <c r="C38" s="381" t="s">
        <v>165</v>
      </c>
      <c r="D38" s="291">
        <v>20773</v>
      </c>
      <c r="E38" s="291"/>
      <c r="F38" s="291">
        <v>20773</v>
      </c>
      <c r="G38" s="291">
        <v>-5690</v>
      </c>
      <c r="H38" s="291">
        <f>F38+G38</f>
        <v>15083</v>
      </c>
      <c r="I38" s="291">
        <v>10799</v>
      </c>
    </row>
    <row r="39" spans="1:9" s="338" customFormat="1" ht="12" customHeight="1">
      <c r="A39" s="288"/>
      <c r="B39" s="411" t="s">
        <v>168</v>
      </c>
      <c r="C39" s="381" t="s">
        <v>169</v>
      </c>
      <c r="D39" s="291"/>
      <c r="E39" s="291"/>
      <c r="F39" s="291"/>
      <c r="G39" s="291"/>
      <c r="H39" s="291"/>
      <c r="I39" s="291"/>
    </row>
    <row r="40" spans="1:9" ht="12" customHeight="1">
      <c r="A40" s="288"/>
      <c r="B40" s="411" t="s">
        <v>171</v>
      </c>
      <c r="C40" s="381" t="s">
        <v>172</v>
      </c>
      <c r="D40" s="291"/>
      <c r="E40" s="291"/>
      <c r="F40" s="291"/>
      <c r="G40" s="291"/>
      <c r="H40" s="291"/>
      <c r="I40" s="291"/>
    </row>
    <row r="41" spans="1:9" ht="12" customHeight="1">
      <c r="A41" s="277" t="s">
        <v>13</v>
      </c>
      <c r="B41" s="387"/>
      <c r="C41" s="387" t="s">
        <v>416</v>
      </c>
      <c r="D41" s="285">
        <f>SUM(D42:D45)</f>
        <v>0</v>
      </c>
      <c r="E41" s="285">
        <f>SUM(E42:E45)</f>
        <v>0</v>
      </c>
      <c r="F41" s="285">
        <f>SUM(F42:F45)</f>
        <v>0</v>
      </c>
      <c r="G41" s="285"/>
      <c r="H41" s="285"/>
      <c r="I41" s="285">
        <f>SUM(I42:I45)</f>
        <v>0</v>
      </c>
    </row>
    <row r="42" spans="1:9" ht="12" customHeight="1">
      <c r="A42" s="314"/>
      <c r="B42" s="410" t="s">
        <v>15</v>
      </c>
      <c r="C42" s="386" t="s">
        <v>188</v>
      </c>
      <c r="D42" s="315"/>
      <c r="E42" s="315"/>
      <c r="F42" s="315"/>
      <c r="G42" s="315"/>
      <c r="H42" s="315"/>
      <c r="I42" s="315"/>
    </row>
    <row r="43" spans="1:9" ht="12" customHeight="1">
      <c r="A43" s="288"/>
      <c r="B43" s="411" t="s">
        <v>19</v>
      </c>
      <c r="C43" s="381" t="s">
        <v>192</v>
      </c>
      <c r="D43" s="291"/>
      <c r="E43" s="291"/>
      <c r="F43" s="291"/>
      <c r="G43" s="291"/>
      <c r="H43" s="291"/>
      <c r="I43" s="291"/>
    </row>
    <row r="44" spans="1:9" ht="15" customHeight="1">
      <c r="A44" s="288"/>
      <c r="B44" s="411" t="s">
        <v>195</v>
      </c>
      <c r="C44" s="381" t="s">
        <v>417</v>
      </c>
      <c r="D44" s="291"/>
      <c r="E44" s="291"/>
      <c r="F44" s="291"/>
      <c r="G44" s="291"/>
      <c r="H44" s="291"/>
      <c r="I44" s="291"/>
    </row>
    <row r="45" spans="1:9" ht="27">
      <c r="A45" s="288"/>
      <c r="B45" s="411" t="s">
        <v>199</v>
      </c>
      <c r="C45" s="381" t="s">
        <v>418</v>
      </c>
      <c r="D45" s="291"/>
      <c r="E45" s="291"/>
      <c r="F45" s="291"/>
      <c r="G45" s="291"/>
      <c r="H45" s="291"/>
      <c r="I45" s="291"/>
    </row>
    <row r="46" spans="1:9" ht="15" customHeight="1">
      <c r="A46" s="277" t="s">
        <v>25</v>
      </c>
      <c r="B46" s="387"/>
      <c r="C46" s="387" t="s">
        <v>419</v>
      </c>
      <c r="D46" s="303"/>
      <c r="E46" s="303"/>
      <c r="F46" s="303"/>
      <c r="G46" s="303"/>
      <c r="H46" s="303"/>
      <c r="I46" s="303"/>
    </row>
    <row r="47" spans="1:9" ht="14.25" customHeight="1">
      <c r="A47" s="326" t="s">
        <v>213</v>
      </c>
      <c r="B47" s="402"/>
      <c r="C47" s="403" t="s">
        <v>420</v>
      </c>
      <c r="D47" s="317"/>
      <c r="E47" s="317"/>
      <c r="F47" s="317"/>
      <c r="G47" s="317"/>
      <c r="H47" s="317"/>
      <c r="I47" s="317"/>
    </row>
    <row r="48" spans="1:9" ht="15.75">
      <c r="A48" s="277" t="s">
        <v>47</v>
      </c>
      <c r="B48" s="412"/>
      <c r="C48" s="385" t="s">
        <v>421</v>
      </c>
      <c r="D48" s="285">
        <f aca="true" t="shared" si="4" ref="D48:I48">+D35+D41+D46+D47</f>
        <v>36715</v>
      </c>
      <c r="E48" s="285">
        <f t="shared" si="4"/>
        <v>0</v>
      </c>
      <c r="F48" s="285">
        <f t="shared" si="4"/>
        <v>36715</v>
      </c>
      <c r="G48" s="285">
        <f t="shared" si="4"/>
        <v>-11027</v>
      </c>
      <c r="H48" s="285">
        <f t="shared" si="4"/>
        <v>25688</v>
      </c>
      <c r="I48" s="285">
        <f t="shared" si="4"/>
        <v>20025</v>
      </c>
    </row>
    <row r="49" spans="1:9" ht="15.75">
      <c r="A49" s="413"/>
      <c r="B49" s="408"/>
      <c r="C49" s="408"/>
      <c r="D49" s="334"/>
      <c r="E49" s="334"/>
      <c r="F49" s="334"/>
      <c r="G49" s="334"/>
      <c r="H49" s="334"/>
      <c r="I49" s="334"/>
    </row>
    <row r="50" spans="1:9" ht="15.75">
      <c r="A50" s="365" t="s">
        <v>393</v>
      </c>
      <c r="B50" s="414"/>
      <c r="C50" s="415"/>
      <c r="D50" s="368">
        <v>5</v>
      </c>
      <c r="E50" s="368"/>
      <c r="F50" s="368">
        <v>5</v>
      </c>
      <c r="G50" s="368">
        <v>-1</v>
      </c>
      <c r="H50" s="368">
        <v>4</v>
      </c>
      <c r="I50" s="368">
        <v>3</v>
      </c>
    </row>
    <row r="51" spans="1:9" ht="15.75">
      <c r="A51" s="365" t="s">
        <v>394</v>
      </c>
      <c r="B51" s="414"/>
      <c r="C51" s="415"/>
      <c r="D51" s="368"/>
      <c r="E51" s="368"/>
      <c r="F51" s="368"/>
      <c r="G51" s="368"/>
      <c r="H51" s="368"/>
      <c r="I51" s="368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4" r:id="rId1"/>
  <headerFooter alignWithMargins="0">
    <oddHeader xml:space="preserve">&amp;R7.1 melléklet a 14/2013.(XI.15.) önkormányzati rendelethez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34">
      <selection activeCell="A8" sqref="A8"/>
    </sheetView>
  </sheetViews>
  <sheetFormatPr defaultColWidth="9.00390625" defaultRowHeight="12.75"/>
  <cols>
    <col min="1" max="1" width="16.875" style="0" customWidth="1"/>
    <col min="2" max="2" width="26.50390625" style="0" customWidth="1"/>
    <col min="3" max="3" width="12.875" style="0" customWidth="1"/>
    <col min="4" max="4" width="14.125" style="0" customWidth="1"/>
    <col min="5" max="5" width="15.625" style="0" customWidth="1"/>
    <col min="6" max="6" width="18.375" style="0" customWidth="1"/>
  </cols>
  <sheetData>
    <row r="1" spans="1:6" ht="16.5" thickBot="1">
      <c r="A1" s="261"/>
      <c r="B1" s="262"/>
      <c r="C1" s="263"/>
      <c r="D1" s="371"/>
      <c r="E1" s="371"/>
      <c r="F1" s="371"/>
    </row>
    <row r="2" spans="1:6" ht="12.75">
      <c r="A2" s="447" t="s">
        <v>395</v>
      </c>
      <c r="B2" s="447"/>
      <c r="C2" s="577" t="s">
        <v>542</v>
      </c>
      <c r="D2" s="578"/>
      <c r="E2" s="578"/>
      <c r="F2" s="578"/>
    </row>
    <row r="3" spans="1:6" ht="13.5" thickBot="1">
      <c r="A3" s="269" t="s">
        <v>345</v>
      </c>
      <c r="B3" s="270"/>
      <c r="C3" s="579" t="s">
        <v>543</v>
      </c>
      <c r="D3" s="580"/>
      <c r="E3" s="580"/>
      <c r="F3" s="580"/>
    </row>
    <row r="4" spans="1:6" ht="14.25" thickBot="1">
      <c r="A4" s="273"/>
      <c r="B4" s="273"/>
      <c r="C4" s="273"/>
      <c r="D4" s="274"/>
      <c r="E4" s="274"/>
      <c r="F4" s="274"/>
    </row>
    <row r="5" spans="1:6" ht="60.75" thickBot="1">
      <c r="A5" s="448" t="s">
        <v>349</v>
      </c>
      <c r="B5" s="448"/>
      <c r="C5" s="276" t="s">
        <v>350</v>
      </c>
      <c r="D5" s="8" t="s">
        <v>5</v>
      </c>
      <c r="E5" s="8" t="s">
        <v>6</v>
      </c>
      <c r="F5" s="8" t="s">
        <v>7</v>
      </c>
    </row>
    <row r="6" spans="1:6" ht="13.5" thickBot="1">
      <c r="A6" s="277">
        <v>1</v>
      </c>
      <c r="B6" s="278">
        <v>2</v>
      </c>
      <c r="C6" s="278">
        <v>3</v>
      </c>
      <c r="D6" s="11">
        <v>3</v>
      </c>
      <c r="E6" s="9">
        <v>4</v>
      </c>
      <c r="F6" s="10">
        <v>5</v>
      </c>
    </row>
    <row r="7" spans="1:6" ht="24.75" thickBot="1">
      <c r="A7" s="280"/>
      <c r="B7" s="281"/>
      <c r="C7" s="281" t="s">
        <v>286</v>
      </c>
      <c r="D7" s="376"/>
      <c r="E7" s="376"/>
      <c r="F7" s="376"/>
    </row>
    <row r="8" spans="1:6" ht="63.75" thickBot="1">
      <c r="A8" s="277" t="s">
        <v>11</v>
      </c>
      <c r="B8" s="283"/>
      <c r="C8" s="377" t="s">
        <v>398</v>
      </c>
      <c r="D8" s="378">
        <f>SUM(D9:D16)</f>
        <v>0</v>
      </c>
      <c r="E8" s="378">
        <f>SUM(E9:E16)</f>
        <v>0</v>
      </c>
      <c r="F8" s="378">
        <f>SUM(F9:F16)</f>
        <v>0</v>
      </c>
    </row>
    <row r="9" spans="1:6" ht="33.75">
      <c r="A9" s="295"/>
      <c r="B9" s="289" t="s">
        <v>158</v>
      </c>
      <c r="C9" s="157" t="s">
        <v>28</v>
      </c>
      <c r="D9" s="581"/>
      <c r="E9" s="581"/>
      <c r="F9" s="581"/>
    </row>
    <row r="10" spans="1:6" ht="33.75">
      <c r="A10" s="288"/>
      <c r="B10" s="289" t="s">
        <v>162</v>
      </c>
      <c r="C10" s="107" t="s">
        <v>30</v>
      </c>
      <c r="D10" s="582"/>
      <c r="E10" s="582"/>
      <c r="F10" s="582"/>
    </row>
    <row r="11" spans="1:6" ht="22.5">
      <c r="A11" s="288"/>
      <c r="B11" s="289" t="s">
        <v>164</v>
      </c>
      <c r="C11" s="107" t="s">
        <v>32</v>
      </c>
      <c r="D11" s="582"/>
      <c r="E11" s="582"/>
      <c r="F11" s="582"/>
    </row>
    <row r="12" spans="1:6" ht="45">
      <c r="A12" s="288"/>
      <c r="B12" s="289" t="s">
        <v>168</v>
      </c>
      <c r="C12" s="107" t="s">
        <v>34</v>
      </c>
      <c r="D12" s="582"/>
      <c r="E12" s="582"/>
      <c r="F12" s="582"/>
    </row>
    <row r="13" spans="1:6" ht="33.75">
      <c r="A13" s="288"/>
      <c r="B13" s="289" t="s">
        <v>399</v>
      </c>
      <c r="C13" s="159" t="s">
        <v>36</v>
      </c>
      <c r="D13" s="582"/>
      <c r="E13" s="582"/>
      <c r="F13" s="582"/>
    </row>
    <row r="14" spans="1:6" ht="33.75">
      <c r="A14" s="297"/>
      <c r="B14" s="289" t="s">
        <v>173</v>
      </c>
      <c r="C14" s="107" t="s">
        <v>400</v>
      </c>
      <c r="D14" s="583"/>
      <c r="E14" s="583"/>
      <c r="F14" s="583"/>
    </row>
    <row r="15" spans="1:6" ht="22.5">
      <c r="A15" s="288"/>
      <c r="B15" s="289" t="s">
        <v>175</v>
      </c>
      <c r="C15" s="107" t="s">
        <v>544</v>
      </c>
      <c r="D15" s="582"/>
      <c r="E15" s="582"/>
      <c r="F15" s="582"/>
    </row>
    <row r="16" spans="1:6" ht="23.25" thickBot="1">
      <c r="A16" s="299"/>
      <c r="B16" s="300" t="s">
        <v>177</v>
      </c>
      <c r="C16" s="159" t="s">
        <v>402</v>
      </c>
      <c r="D16" s="584"/>
      <c r="E16" s="584"/>
      <c r="F16" s="584"/>
    </row>
    <row r="17" spans="1:6" ht="74.25" thickBot="1">
      <c r="A17" s="277" t="s">
        <v>13</v>
      </c>
      <c r="B17" s="283"/>
      <c r="C17" s="377" t="s">
        <v>403</v>
      </c>
      <c r="D17" s="378">
        <f>SUM(D18:D21)</f>
        <v>0</v>
      </c>
      <c r="E17" s="378">
        <f>SUM(E18:E21)</f>
        <v>0</v>
      </c>
      <c r="F17" s="378">
        <f>SUM(F18:F21)</f>
        <v>0</v>
      </c>
    </row>
    <row r="18" spans="1:6" ht="45">
      <c r="A18" s="288"/>
      <c r="B18" s="289" t="s">
        <v>15</v>
      </c>
      <c r="C18" s="202" t="s">
        <v>545</v>
      </c>
      <c r="D18" s="582"/>
      <c r="E18" s="582"/>
      <c r="F18" s="582"/>
    </row>
    <row r="19" spans="1:6" ht="45">
      <c r="A19" s="288"/>
      <c r="B19" s="289" t="s">
        <v>19</v>
      </c>
      <c r="C19" s="107" t="s">
        <v>407</v>
      </c>
      <c r="D19" s="582"/>
      <c r="E19" s="582"/>
      <c r="F19" s="582"/>
    </row>
    <row r="20" spans="1:6" ht="45">
      <c r="A20" s="288"/>
      <c r="B20" s="289" t="s">
        <v>21</v>
      </c>
      <c r="C20" s="107" t="s">
        <v>406</v>
      </c>
      <c r="D20" s="582"/>
      <c r="E20" s="582"/>
      <c r="F20" s="582"/>
    </row>
    <row r="21" spans="1:6" ht="45.75" thickBot="1">
      <c r="A21" s="288"/>
      <c r="B21" s="289" t="s">
        <v>23</v>
      </c>
      <c r="C21" s="107" t="s">
        <v>407</v>
      </c>
      <c r="D21" s="582"/>
      <c r="E21" s="582"/>
      <c r="F21" s="582"/>
    </row>
    <row r="22" spans="1:6" ht="63.75" thickBot="1">
      <c r="A22" s="277" t="s">
        <v>25</v>
      </c>
      <c r="B22" s="149"/>
      <c r="C22" s="149" t="s">
        <v>408</v>
      </c>
      <c r="D22" s="378">
        <f>+D23+D24</f>
        <v>0</v>
      </c>
      <c r="E22" s="378">
        <f>+E23+E24</f>
        <v>0</v>
      </c>
      <c r="F22" s="378">
        <f>+F23+F24</f>
        <v>0</v>
      </c>
    </row>
    <row r="23" spans="1:6" ht="67.5">
      <c r="A23" s="295"/>
      <c r="B23" s="419" t="s">
        <v>27</v>
      </c>
      <c r="C23" s="157" t="s">
        <v>104</v>
      </c>
      <c r="D23" s="581"/>
      <c r="E23" s="581"/>
      <c r="F23" s="581"/>
    </row>
    <row r="24" spans="1:6" ht="68.25" thickBot="1">
      <c r="A24" s="389"/>
      <c r="B24" s="420" t="s">
        <v>29</v>
      </c>
      <c r="C24" s="161" t="s">
        <v>106</v>
      </c>
      <c r="D24" s="585"/>
      <c r="E24" s="585"/>
      <c r="F24" s="585"/>
    </row>
    <row r="25" spans="1:6" ht="53.25" thickBot="1">
      <c r="A25" s="277" t="s">
        <v>213</v>
      </c>
      <c r="B25" s="149"/>
      <c r="C25" s="149" t="s">
        <v>546</v>
      </c>
      <c r="D25" s="586"/>
      <c r="E25" s="586"/>
      <c r="F25" s="586"/>
    </row>
    <row r="26" spans="1:6" ht="63.75" thickBot="1">
      <c r="A26" s="277" t="s">
        <v>47</v>
      </c>
      <c r="B26" s="283"/>
      <c r="C26" s="149" t="s">
        <v>547</v>
      </c>
      <c r="D26" s="586">
        <v>84730</v>
      </c>
      <c r="E26" s="586">
        <v>446</v>
      </c>
      <c r="F26" s="586">
        <v>84730</v>
      </c>
    </row>
    <row r="27" spans="1:6" ht="84.75" thickBot="1">
      <c r="A27" s="277" t="s">
        <v>77</v>
      </c>
      <c r="B27" s="321"/>
      <c r="C27" s="149" t="s">
        <v>548</v>
      </c>
      <c r="D27" s="587">
        <f>+D8+D17+D22+D25+D26</f>
        <v>84730</v>
      </c>
      <c r="E27" s="587">
        <f>+E8+E17+E22+E25+E26</f>
        <v>446</v>
      </c>
      <c r="F27" s="587">
        <f>+F8+F17+F22+F25+F26</f>
        <v>84730</v>
      </c>
    </row>
    <row r="28" spans="1:6" ht="53.25" thickBot="1">
      <c r="A28" s="394" t="s">
        <v>235</v>
      </c>
      <c r="B28" s="421"/>
      <c r="C28" s="354" t="s">
        <v>549</v>
      </c>
      <c r="D28" s="588">
        <f>+D29+D30</f>
        <v>0</v>
      </c>
      <c r="E28" s="588">
        <f>+E29+E30</f>
        <v>0</v>
      </c>
      <c r="F28" s="588">
        <f>+F29+F30</f>
        <v>0</v>
      </c>
    </row>
    <row r="29" spans="1:6" ht="45">
      <c r="A29" s="295"/>
      <c r="B29" s="305" t="s">
        <v>103</v>
      </c>
      <c r="C29" s="157" t="s">
        <v>412</v>
      </c>
      <c r="D29" s="581"/>
      <c r="E29" s="581"/>
      <c r="F29" s="581"/>
    </row>
    <row r="30" spans="1:6" ht="45.75" thickBot="1">
      <c r="A30" s="399"/>
      <c r="B30" s="312" t="s">
        <v>105</v>
      </c>
      <c r="C30" s="422" t="s">
        <v>413</v>
      </c>
      <c r="D30" s="589"/>
      <c r="E30" s="589"/>
      <c r="F30" s="589"/>
    </row>
    <row r="31" spans="1:6" ht="42.75" thickBot="1">
      <c r="A31" s="326" t="s">
        <v>107</v>
      </c>
      <c r="B31" s="423"/>
      <c r="C31" s="424" t="s">
        <v>550</v>
      </c>
      <c r="D31" s="590"/>
      <c r="E31" s="590"/>
      <c r="F31" s="590"/>
    </row>
    <row r="32" spans="1:6" ht="48.75" thickBot="1">
      <c r="A32" s="326" t="s">
        <v>238</v>
      </c>
      <c r="B32" s="425"/>
      <c r="C32" s="426" t="s">
        <v>551</v>
      </c>
      <c r="D32" s="587">
        <f>+D27+D28+D31</f>
        <v>84730</v>
      </c>
      <c r="E32" s="587">
        <f>+E27+E28+E31</f>
        <v>446</v>
      </c>
      <c r="F32" s="587">
        <f>+F27+F28+F31</f>
        <v>84730</v>
      </c>
    </row>
    <row r="33" spans="1:6" ht="12.75">
      <c r="A33" s="329"/>
      <c r="B33" s="329"/>
      <c r="C33" s="330"/>
      <c r="D33" s="591"/>
      <c r="E33" s="591"/>
      <c r="F33" s="591"/>
    </row>
    <row r="34" spans="1:6" ht="13.5" thickBot="1">
      <c r="A34" s="332"/>
      <c r="B34" s="333"/>
      <c r="C34" s="333"/>
      <c r="D34" s="592"/>
      <c r="E34" s="592"/>
      <c r="F34" s="592"/>
    </row>
    <row r="35" spans="1:6" ht="13.5" thickBot="1">
      <c r="A35" s="335"/>
      <c r="B35" s="336"/>
      <c r="C35" s="337" t="s">
        <v>287</v>
      </c>
      <c r="D35" s="587"/>
      <c r="E35" s="587"/>
      <c r="F35" s="587"/>
    </row>
    <row r="36" spans="1:6" ht="53.25" thickBot="1">
      <c r="A36" s="277" t="s">
        <v>11</v>
      </c>
      <c r="B36" s="149"/>
      <c r="C36" s="149" t="s">
        <v>366</v>
      </c>
      <c r="D36" s="378">
        <f>SUM(D37:D41)</f>
        <v>84730</v>
      </c>
      <c r="E36" s="378">
        <f>SUM(E37:E41)</f>
        <v>446</v>
      </c>
      <c r="F36" s="378">
        <f>SUM(F37:F41)</f>
        <v>85176</v>
      </c>
    </row>
    <row r="37" spans="1:6" ht="45">
      <c r="A37" s="314"/>
      <c r="B37" s="339" t="s">
        <v>158</v>
      </c>
      <c r="C37" s="202" t="s">
        <v>159</v>
      </c>
      <c r="D37" s="593">
        <v>32634</v>
      </c>
      <c r="E37" s="593">
        <v>351</v>
      </c>
      <c r="F37" s="593">
        <v>32985</v>
      </c>
    </row>
    <row r="38" spans="1:6" ht="67.5">
      <c r="A38" s="288"/>
      <c r="B38" s="308" t="s">
        <v>162</v>
      </c>
      <c r="C38" s="107" t="s">
        <v>163</v>
      </c>
      <c r="D38" s="582">
        <v>7968</v>
      </c>
      <c r="E38" s="582">
        <v>95</v>
      </c>
      <c r="F38" s="582">
        <v>8063</v>
      </c>
    </row>
    <row r="39" spans="1:6" ht="22.5">
      <c r="A39" s="288"/>
      <c r="B39" s="308" t="s">
        <v>164</v>
      </c>
      <c r="C39" s="107" t="s">
        <v>165</v>
      </c>
      <c r="D39" s="582">
        <v>18960</v>
      </c>
      <c r="E39" s="582"/>
      <c r="F39" s="582">
        <v>18960</v>
      </c>
    </row>
    <row r="40" spans="1:6" ht="33.75">
      <c r="A40" s="288"/>
      <c r="B40" s="308" t="s">
        <v>168</v>
      </c>
      <c r="C40" s="107" t="s">
        <v>169</v>
      </c>
      <c r="D40" s="582"/>
      <c r="E40" s="582"/>
      <c r="F40" s="582"/>
    </row>
    <row r="41" spans="1:6" ht="45.75" thickBot="1">
      <c r="A41" s="288"/>
      <c r="B41" s="308" t="s">
        <v>171</v>
      </c>
      <c r="C41" s="107" t="s">
        <v>172</v>
      </c>
      <c r="D41" s="582">
        <v>25168</v>
      </c>
      <c r="E41" s="582"/>
      <c r="F41" s="582">
        <v>25168</v>
      </c>
    </row>
    <row r="42" spans="1:6" ht="63.75" thickBot="1">
      <c r="A42" s="277" t="s">
        <v>13</v>
      </c>
      <c r="B42" s="149"/>
      <c r="C42" s="149" t="s">
        <v>416</v>
      </c>
      <c r="D42" s="378">
        <f>SUM(D43:D46)</f>
        <v>0</v>
      </c>
      <c r="E42" s="378">
        <f>SUM(E43:E46)</f>
        <v>0</v>
      </c>
      <c r="F42" s="378">
        <f>SUM(F43:F46)</f>
        <v>0</v>
      </c>
    </row>
    <row r="43" spans="1:6" ht="22.5">
      <c r="A43" s="314"/>
      <c r="B43" s="339" t="s">
        <v>15</v>
      </c>
      <c r="C43" s="202" t="s">
        <v>188</v>
      </c>
      <c r="D43" s="593"/>
      <c r="E43" s="593"/>
      <c r="F43" s="593"/>
    </row>
    <row r="44" spans="1:6" ht="22.5">
      <c r="A44" s="288"/>
      <c r="B44" s="308" t="s">
        <v>19</v>
      </c>
      <c r="C44" s="107" t="s">
        <v>192</v>
      </c>
      <c r="D44" s="582"/>
      <c r="E44" s="582"/>
      <c r="F44" s="582"/>
    </row>
    <row r="45" spans="1:6" ht="45">
      <c r="A45" s="288"/>
      <c r="B45" s="308" t="s">
        <v>195</v>
      </c>
      <c r="C45" s="107" t="s">
        <v>417</v>
      </c>
      <c r="D45" s="582"/>
      <c r="E45" s="582"/>
      <c r="F45" s="582"/>
    </row>
    <row r="46" spans="1:6" ht="79.5" thickBot="1">
      <c r="A46" s="288"/>
      <c r="B46" s="308" t="s">
        <v>199</v>
      </c>
      <c r="C46" s="107" t="s">
        <v>418</v>
      </c>
      <c r="D46" s="582"/>
      <c r="E46" s="582"/>
      <c r="F46" s="582"/>
    </row>
    <row r="47" spans="1:6" ht="53.25" thickBot="1">
      <c r="A47" s="277" t="s">
        <v>25</v>
      </c>
      <c r="B47" s="149"/>
      <c r="C47" s="149" t="s">
        <v>419</v>
      </c>
      <c r="D47" s="586"/>
      <c r="E47" s="586"/>
      <c r="F47" s="586"/>
    </row>
    <row r="48" spans="1:6" ht="74.25" thickBot="1">
      <c r="A48" s="326" t="s">
        <v>213</v>
      </c>
      <c r="B48" s="423"/>
      <c r="C48" s="424" t="s">
        <v>420</v>
      </c>
      <c r="D48" s="590"/>
      <c r="E48" s="590"/>
      <c r="F48" s="590"/>
    </row>
    <row r="49" spans="1:6" ht="72.75" thickBot="1">
      <c r="A49" s="277" t="s">
        <v>47</v>
      </c>
      <c r="B49" s="316"/>
      <c r="C49" s="427" t="s">
        <v>421</v>
      </c>
      <c r="D49" s="378">
        <f>+D36+D42+D47+D48</f>
        <v>84730</v>
      </c>
      <c r="E49" s="378">
        <f>+E36+E42+E47+E48</f>
        <v>446</v>
      </c>
      <c r="F49" s="378">
        <f>+F36+F42+F47+F48</f>
        <v>85176</v>
      </c>
    </row>
    <row r="50" spans="1:6" ht="13.5" thickBot="1">
      <c r="A50" s="413"/>
      <c r="B50" s="428"/>
      <c r="C50" s="428"/>
      <c r="D50" s="594"/>
      <c r="E50" s="594"/>
      <c r="F50" s="594"/>
    </row>
    <row r="51" spans="1:6" ht="13.5" thickBot="1">
      <c r="A51" s="365" t="s">
        <v>393</v>
      </c>
      <c r="B51" s="366"/>
      <c r="C51" s="367"/>
      <c r="D51" s="595">
        <v>12</v>
      </c>
      <c r="E51" s="595"/>
      <c r="F51" s="595">
        <v>12</v>
      </c>
    </row>
    <row r="52" spans="1:6" ht="13.5" thickBot="1">
      <c r="A52" s="365" t="s">
        <v>394</v>
      </c>
      <c r="B52" s="366"/>
      <c r="C52" s="367"/>
      <c r="D52" s="595"/>
      <c r="E52" s="595"/>
      <c r="F52" s="595"/>
    </row>
  </sheetData>
  <mergeCells count="2">
    <mergeCell ref="A2:B2"/>
    <mergeCell ref="A5:B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I51"/>
  <sheetViews>
    <sheetView view="pageBreakPreview" zoomScaleSheetLayoutView="100" workbookViewId="0" topLeftCell="D1">
      <selection activeCell="H1" sqref="H1"/>
    </sheetView>
  </sheetViews>
  <sheetFormatPr defaultColWidth="9.00390625" defaultRowHeight="12.75"/>
  <cols>
    <col min="1" max="1" width="9.625" style="369" customWidth="1"/>
    <col min="2" max="2" width="9.625" style="260" customWidth="1"/>
    <col min="3" max="3" width="72.00390625" style="260" customWidth="1"/>
    <col min="4" max="6" width="14.50390625" style="260" customWidth="1"/>
    <col min="7" max="8" width="17.00390625" style="260" customWidth="1"/>
    <col min="9" max="9" width="0" style="260" hidden="1" customWidth="1"/>
    <col min="10" max="16384" width="9.375" style="260" customWidth="1"/>
  </cols>
  <sheetData>
    <row r="1" spans="1:9" s="265" customFormat="1" ht="21" customHeight="1">
      <c r="A1" s="261"/>
      <c r="B1" s="262"/>
      <c r="C1" s="370"/>
      <c r="D1" s="371"/>
      <c r="E1" s="371"/>
      <c r="F1" s="371"/>
      <c r="G1" s="371"/>
      <c r="H1" s="371"/>
      <c r="I1"/>
    </row>
    <row r="2" spans="1:9" s="268" customFormat="1" ht="25.5" customHeight="1">
      <c r="A2" s="447" t="s">
        <v>395</v>
      </c>
      <c r="B2" s="447"/>
      <c r="C2" s="416" t="s">
        <v>422</v>
      </c>
      <c r="D2" s="373"/>
      <c r="E2" s="373"/>
      <c r="F2" s="373"/>
      <c r="G2" s="373"/>
      <c r="H2" s="373"/>
      <c r="I2" s="373" t="s">
        <v>423</v>
      </c>
    </row>
    <row r="3" spans="1:9" s="268" customFormat="1" ht="15.75">
      <c r="A3" s="269" t="s">
        <v>345</v>
      </c>
      <c r="B3" s="270"/>
      <c r="C3" s="417" t="s">
        <v>424</v>
      </c>
      <c r="D3" s="375"/>
      <c r="E3" s="375"/>
      <c r="F3" s="375"/>
      <c r="G3" s="375"/>
      <c r="H3" s="375"/>
      <c r="I3" s="375"/>
    </row>
    <row r="4" spans="1:9" s="275" customFormat="1" ht="15.75" customHeight="1">
      <c r="A4" s="273"/>
      <c r="B4" s="273"/>
      <c r="C4" s="273"/>
      <c r="D4" s="274"/>
      <c r="E4" s="274"/>
      <c r="F4" s="274"/>
      <c r="G4" s="274"/>
      <c r="H4" s="274"/>
      <c r="I4" s="274" t="s">
        <v>348</v>
      </c>
    </row>
    <row r="5" spans="1:9" ht="37.5" customHeight="1">
      <c r="A5" s="448" t="s">
        <v>349</v>
      </c>
      <c r="B5" s="448"/>
      <c r="C5" s="276" t="s">
        <v>350</v>
      </c>
      <c r="D5" s="8" t="s">
        <v>5</v>
      </c>
      <c r="E5" s="8" t="s">
        <v>6</v>
      </c>
      <c r="F5" s="8" t="s">
        <v>7</v>
      </c>
      <c r="G5" s="8" t="s">
        <v>261</v>
      </c>
      <c r="H5" s="8" t="s">
        <v>425</v>
      </c>
      <c r="I5" s="8" t="s">
        <v>10</v>
      </c>
    </row>
    <row r="6" spans="1:9" s="279" customFormat="1" ht="12.75" customHeight="1">
      <c r="A6" s="277">
        <v>1</v>
      </c>
      <c r="B6" s="278">
        <v>2</v>
      </c>
      <c r="C6" s="278">
        <v>3</v>
      </c>
      <c r="D6" s="11">
        <v>3</v>
      </c>
      <c r="E6" s="9">
        <v>4</v>
      </c>
      <c r="F6" s="10">
        <v>5</v>
      </c>
      <c r="G6" s="9">
        <v>6</v>
      </c>
      <c r="H6" s="10">
        <v>7</v>
      </c>
      <c r="I6" s="9">
        <v>8</v>
      </c>
    </row>
    <row r="7" spans="1:9" s="279" customFormat="1" ht="15.75" customHeight="1">
      <c r="A7" s="280"/>
      <c r="B7" s="281"/>
      <c r="C7" s="281" t="s">
        <v>286</v>
      </c>
      <c r="D7" s="418"/>
      <c r="E7" s="418"/>
      <c r="F7" s="418"/>
      <c r="G7" s="418"/>
      <c r="H7" s="418"/>
      <c r="I7" s="418"/>
    </row>
    <row r="8" spans="1:9" s="287" customFormat="1" ht="12" customHeight="1">
      <c r="A8" s="277" t="s">
        <v>11</v>
      </c>
      <c r="B8" s="283"/>
      <c r="C8" s="377" t="s">
        <v>398</v>
      </c>
      <c r="D8" s="285">
        <f aca="true" t="shared" si="0" ref="D8:I8">SUM(D9:D16)</f>
        <v>15257</v>
      </c>
      <c r="E8" s="285">
        <f t="shared" si="0"/>
        <v>0</v>
      </c>
      <c r="F8" s="285">
        <f t="shared" si="0"/>
        <v>15257</v>
      </c>
      <c r="G8" s="285">
        <f t="shared" si="0"/>
        <v>0</v>
      </c>
      <c r="H8" s="285">
        <f t="shared" si="0"/>
        <v>15257</v>
      </c>
      <c r="I8" s="285">
        <f t="shared" si="0"/>
        <v>13236</v>
      </c>
    </row>
    <row r="9" spans="1:9" s="287" customFormat="1" ht="12" customHeight="1">
      <c r="A9" s="295"/>
      <c r="B9" s="289" t="s">
        <v>158</v>
      </c>
      <c r="C9" s="157" t="s">
        <v>28</v>
      </c>
      <c r="D9" s="296"/>
      <c r="E9" s="296"/>
      <c r="F9" s="296"/>
      <c r="G9" s="296"/>
      <c r="H9" s="296"/>
      <c r="I9" s="296"/>
    </row>
    <row r="10" spans="1:9" s="287" customFormat="1" ht="12" customHeight="1">
      <c r="A10" s="288"/>
      <c r="B10" s="289" t="s">
        <v>162</v>
      </c>
      <c r="C10" s="107" t="s">
        <v>30</v>
      </c>
      <c r="D10" s="291"/>
      <c r="E10" s="291"/>
      <c r="F10" s="291"/>
      <c r="G10" s="291"/>
      <c r="H10" s="291"/>
      <c r="I10" s="291"/>
    </row>
    <row r="11" spans="1:9" s="287" customFormat="1" ht="12" customHeight="1">
      <c r="A11" s="288"/>
      <c r="B11" s="289" t="s">
        <v>164</v>
      </c>
      <c r="C11" s="107" t="s">
        <v>32</v>
      </c>
      <c r="D11" s="291"/>
      <c r="E11" s="291"/>
      <c r="F11" s="291"/>
      <c r="G11" s="291"/>
      <c r="H11" s="291"/>
      <c r="I11" s="291"/>
    </row>
    <row r="12" spans="1:9" s="287" customFormat="1" ht="12" customHeight="1">
      <c r="A12" s="288"/>
      <c r="B12" s="289" t="s">
        <v>168</v>
      </c>
      <c r="C12" s="107" t="s">
        <v>34</v>
      </c>
      <c r="D12" s="291">
        <v>12013</v>
      </c>
      <c r="E12" s="291"/>
      <c r="F12" s="291">
        <v>12013</v>
      </c>
      <c r="G12" s="291"/>
      <c r="H12" s="291">
        <v>12013</v>
      </c>
      <c r="I12" s="291">
        <v>9498</v>
      </c>
    </row>
    <row r="13" spans="1:9" s="287" customFormat="1" ht="12" customHeight="1">
      <c r="A13" s="288"/>
      <c r="B13" s="289" t="s">
        <v>399</v>
      </c>
      <c r="C13" s="159" t="s">
        <v>36</v>
      </c>
      <c r="D13" s="291"/>
      <c r="E13" s="291"/>
      <c r="F13" s="291"/>
      <c r="G13" s="291"/>
      <c r="H13" s="291"/>
      <c r="I13" s="291"/>
    </row>
    <row r="14" spans="1:9" s="287" customFormat="1" ht="12" customHeight="1">
      <c r="A14" s="297"/>
      <c r="B14" s="289" t="s">
        <v>173</v>
      </c>
      <c r="C14" s="107" t="s">
        <v>400</v>
      </c>
      <c r="D14" s="298">
        <v>3244</v>
      </c>
      <c r="E14" s="298"/>
      <c r="F14" s="298">
        <v>3244</v>
      </c>
      <c r="G14" s="298"/>
      <c r="H14" s="298">
        <v>3244</v>
      </c>
      <c r="I14" s="298">
        <v>3738</v>
      </c>
    </row>
    <row r="15" spans="1:9" s="292" customFormat="1" ht="12" customHeight="1">
      <c r="A15" s="288"/>
      <c r="B15" s="289" t="s">
        <v>175</v>
      </c>
      <c r="C15" s="107" t="s">
        <v>401</v>
      </c>
      <c r="D15" s="291"/>
      <c r="E15" s="291"/>
      <c r="F15" s="291"/>
      <c r="G15" s="291"/>
      <c r="H15" s="291"/>
      <c r="I15" s="291"/>
    </row>
    <row r="16" spans="1:9" s="292" customFormat="1" ht="12" customHeight="1">
      <c r="A16" s="299"/>
      <c r="B16" s="300" t="s">
        <v>177</v>
      </c>
      <c r="C16" s="159" t="s">
        <v>402</v>
      </c>
      <c r="D16" s="301"/>
      <c r="E16" s="301"/>
      <c r="F16" s="301"/>
      <c r="G16" s="301"/>
      <c r="H16" s="301"/>
      <c r="I16" s="301"/>
    </row>
    <row r="17" spans="1:9" s="287" customFormat="1" ht="12" customHeight="1">
      <c r="A17" s="277" t="s">
        <v>13</v>
      </c>
      <c r="B17" s="283"/>
      <c r="C17" s="377" t="s">
        <v>403</v>
      </c>
      <c r="D17" s="285">
        <f aca="true" t="shared" si="1" ref="D17:I17">SUM(D18:D21)</f>
        <v>12080</v>
      </c>
      <c r="E17" s="285">
        <f t="shared" si="1"/>
        <v>0</v>
      </c>
      <c r="F17" s="285">
        <f t="shared" si="1"/>
        <v>12080</v>
      </c>
      <c r="G17" s="285">
        <f t="shared" si="1"/>
        <v>0</v>
      </c>
      <c r="H17" s="285">
        <f t="shared" si="1"/>
        <v>12080</v>
      </c>
      <c r="I17" s="285">
        <f t="shared" si="1"/>
        <v>0</v>
      </c>
    </row>
    <row r="18" spans="1:9" s="292" customFormat="1" ht="12" customHeight="1">
      <c r="A18" s="288"/>
      <c r="B18" s="289" t="s">
        <v>15</v>
      </c>
      <c r="C18" s="202" t="s">
        <v>426</v>
      </c>
      <c r="D18" s="291">
        <v>12080</v>
      </c>
      <c r="E18" s="291"/>
      <c r="F18" s="291">
        <v>12080</v>
      </c>
      <c r="G18" s="291"/>
      <c r="H18" s="291">
        <v>12080</v>
      </c>
      <c r="I18" s="291"/>
    </row>
    <row r="19" spans="1:9" s="292" customFormat="1" ht="12" customHeight="1">
      <c r="A19" s="288"/>
      <c r="B19" s="289" t="s">
        <v>19</v>
      </c>
      <c r="C19" s="107" t="s">
        <v>407</v>
      </c>
      <c r="D19" s="291"/>
      <c r="E19" s="291"/>
      <c r="F19" s="291"/>
      <c r="G19" s="291"/>
      <c r="H19" s="291"/>
      <c r="I19" s="291"/>
    </row>
    <row r="20" spans="1:9" s="292" customFormat="1" ht="12" customHeight="1">
      <c r="A20" s="288"/>
      <c r="B20" s="289" t="s">
        <v>21</v>
      </c>
      <c r="C20" s="107" t="s">
        <v>406</v>
      </c>
      <c r="D20" s="291"/>
      <c r="E20" s="291"/>
      <c r="F20" s="291"/>
      <c r="G20" s="291"/>
      <c r="H20" s="291"/>
      <c r="I20" s="291"/>
    </row>
    <row r="21" spans="1:9" s="292" customFormat="1" ht="12" customHeight="1">
      <c r="A21" s="288"/>
      <c r="B21" s="289" t="s">
        <v>23</v>
      </c>
      <c r="C21" s="107" t="s">
        <v>407</v>
      </c>
      <c r="D21" s="291"/>
      <c r="E21" s="291"/>
      <c r="F21" s="291"/>
      <c r="G21" s="291"/>
      <c r="H21" s="291"/>
      <c r="I21" s="291"/>
    </row>
    <row r="22" spans="1:9" s="292" customFormat="1" ht="12" customHeight="1">
      <c r="A22" s="277" t="s">
        <v>25</v>
      </c>
      <c r="B22" s="149"/>
      <c r="C22" s="149" t="s">
        <v>408</v>
      </c>
      <c r="D22" s="285">
        <f>+D23+D24</f>
        <v>0</v>
      </c>
      <c r="E22" s="285">
        <f>+E23+E24</f>
        <v>0</v>
      </c>
      <c r="F22" s="285">
        <f>+F23+F24</f>
        <v>0</v>
      </c>
      <c r="G22" s="285"/>
      <c r="H22" s="285"/>
      <c r="I22" s="285">
        <f>+I23+I24</f>
        <v>0</v>
      </c>
    </row>
    <row r="23" spans="1:9" s="287" customFormat="1" ht="12" customHeight="1">
      <c r="A23" s="295"/>
      <c r="B23" s="419" t="s">
        <v>27</v>
      </c>
      <c r="C23" s="157" t="s">
        <v>104</v>
      </c>
      <c r="D23" s="296"/>
      <c r="E23" s="296"/>
      <c r="F23" s="296"/>
      <c r="G23" s="296"/>
      <c r="H23" s="296"/>
      <c r="I23" s="296"/>
    </row>
    <row r="24" spans="1:9" s="287" customFormat="1" ht="12" customHeight="1">
      <c r="A24" s="389"/>
      <c r="B24" s="420" t="s">
        <v>29</v>
      </c>
      <c r="C24" s="161" t="s">
        <v>106</v>
      </c>
      <c r="D24" s="392"/>
      <c r="E24" s="392"/>
      <c r="F24" s="392"/>
      <c r="G24" s="392"/>
      <c r="H24" s="392"/>
      <c r="I24" s="392"/>
    </row>
    <row r="25" spans="1:9" s="287" customFormat="1" ht="12" customHeight="1">
      <c r="A25" s="277" t="s">
        <v>213</v>
      </c>
      <c r="B25" s="283"/>
      <c r="C25" s="149" t="s">
        <v>409</v>
      </c>
      <c r="D25" s="303">
        <f>48853+959</f>
        <v>49812</v>
      </c>
      <c r="E25" s="303">
        <v>1274</v>
      </c>
      <c r="F25" s="303">
        <f>D25+E25</f>
        <v>51086</v>
      </c>
      <c r="G25" s="303">
        <v>3215</v>
      </c>
      <c r="H25" s="303">
        <f>F25+G25</f>
        <v>54301</v>
      </c>
      <c r="I25" s="303">
        <v>36507</v>
      </c>
    </row>
    <row r="26" spans="1:9" s="287" customFormat="1" ht="12" customHeight="1">
      <c r="A26" s="277" t="s">
        <v>47</v>
      </c>
      <c r="B26" s="321"/>
      <c r="C26" s="149" t="s">
        <v>410</v>
      </c>
      <c r="D26" s="322">
        <f aca="true" t="shared" si="2" ref="D26:I26">+D8+D17+D22+D25</f>
        <v>77149</v>
      </c>
      <c r="E26" s="322">
        <f t="shared" si="2"/>
        <v>1274</v>
      </c>
      <c r="F26" s="322">
        <f t="shared" si="2"/>
        <v>78423</v>
      </c>
      <c r="G26" s="322">
        <f t="shared" si="2"/>
        <v>3215</v>
      </c>
      <c r="H26" s="322">
        <f t="shared" si="2"/>
        <v>81638</v>
      </c>
      <c r="I26" s="322">
        <f t="shared" si="2"/>
        <v>49743</v>
      </c>
    </row>
    <row r="27" spans="1:9" s="292" customFormat="1" ht="12" customHeight="1">
      <c r="A27" s="394" t="s">
        <v>77</v>
      </c>
      <c r="B27" s="421"/>
      <c r="C27" s="354" t="s">
        <v>411</v>
      </c>
      <c r="D27" s="397">
        <f>+D28+D29</f>
        <v>0</v>
      </c>
      <c r="E27" s="397">
        <f>+E28+E29</f>
        <v>0</v>
      </c>
      <c r="F27" s="397">
        <f>+F28+F29</f>
        <v>0</v>
      </c>
      <c r="G27" s="397"/>
      <c r="H27" s="397"/>
      <c r="I27" s="397">
        <f>+I28+I29</f>
        <v>0</v>
      </c>
    </row>
    <row r="28" spans="1:9" s="292" customFormat="1" ht="15" customHeight="1">
      <c r="A28" s="295"/>
      <c r="B28" s="305" t="s">
        <v>79</v>
      </c>
      <c r="C28" s="157" t="s">
        <v>412</v>
      </c>
      <c r="D28" s="296"/>
      <c r="E28" s="296"/>
      <c r="F28" s="296"/>
      <c r="G28" s="296"/>
      <c r="H28" s="296"/>
      <c r="I28" s="296"/>
    </row>
    <row r="29" spans="1:9" s="292" customFormat="1" ht="15" customHeight="1">
      <c r="A29" s="399"/>
      <c r="B29" s="312" t="s">
        <v>91</v>
      </c>
      <c r="C29" s="422" t="s">
        <v>413</v>
      </c>
      <c r="D29" s="313"/>
      <c r="E29" s="313"/>
      <c r="F29" s="313"/>
      <c r="G29" s="313"/>
      <c r="H29" s="313"/>
      <c r="I29" s="313"/>
    </row>
    <row r="30" spans="1:9" ht="15.75">
      <c r="A30" s="326" t="s">
        <v>235</v>
      </c>
      <c r="B30" s="423"/>
      <c r="C30" s="424" t="s">
        <v>414</v>
      </c>
      <c r="D30" s="317"/>
      <c r="E30" s="317"/>
      <c r="F30" s="317"/>
      <c r="G30" s="317"/>
      <c r="H30" s="317"/>
      <c r="I30" s="317"/>
    </row>
    <row r="31" spans="1:9" s="279" customFormat="1" ht="16.5" customHeight="1">
      <c r="A31" s="326" t="s">
        <v>107</v>
      </c>
      <c r="B31" s="425"/>
      <c r="C31" s="426" t="s">
        <v>415</v>
      </c>
      <c r="D31" s="322">
        <f aca="true" t="shared" si="3" ref="D31:I31">+D26+D27+D30</f>
        <v>77149</v>
      </c>
      <c r="E31" s="322">
        <f t="shared" si="3"/>
        <v>1274</v>
      </c>
      <c r="F31" s="322">
        <f t="shared" si="3"/>
        <v>78423</v>
      </c>
      <c r="G31" s="322">
        <f t="shared" si="3"/>
        <v>3215</v>
      </c>
      <c r="H31" s="322">
        <f t="shared" si="3"/>
        <v>81638</v>
      </c>
      <c r="I31" s="322">
        <f t="shared" si="3"/>
        <v>49743</v>
      </c>
    </row>
    <row r="32" spans="1:9" s="338" customFormat="1" ht="12" customHeight="1">
      <c r="A32" s="329"/>
      <c r="B32" s="329"/>
      <c r="C32" s="330"/>
      <c r="D32" s="331"/>
      <c r="E32" s="331"/>
      <c r="F32" s="331"/>
      <c r="G32" s="331"/>
      <c r="H32" s="331"/>
      <c r="I32" s="331"/>
    </row>
    <row r="33" spans="1:9" ht="12" customHeight="1">
      <c r="A33" s="332"/>
      <c r="B33" s="333"/>
      <c r="C33" s="333"/>
      <c r="D33" s="334"/>
      <c r="E33" s="334"/>
      <c r="F33" s="334"/>
      <c r="G33" s="334"/>
      <c r="H33" s="334"/>
      <c r="I33" s="334"/>
    </row>
    <row r="34" spans="1:9" ht="12" customHeight="1">
      <c r="A34" s="335"/>
      <c r="B34" s="336"/>
      <c r="C34" s="337" t="s">
        <v>287</v>
      </c>
      <c r="D34" s="322"/>
      <c r="E34" s="322"/>
      <c r="F34" s="322"/>
      <c r="G34" s="322"/>
      <c r="H34" s="322"/>
      <c r="I34" s="322"/>
    </row>
    <row r="35" spans="1:9" ht="12" customHeight="1">
      <c r="A35" s="277" t="s">
        <v>11</v>
      </c>
      <c r="B35" s="149"/>
      <c r="C35" s="149" t="s">
        <v>366</v>
      </c>
      <c r="D35" s="285">
        <f aca="true" t="shared" si="4" ref="D35:I35">SUM(D36:D40)</f>
        <v>77149</v>
      </c>
      <c r="E35" s="285">
        <f t="shared" si="4"/>
        <v>1274</v>
      </c>
      <c r="F35" s="285">
        <f t="shared" si="4"/>
        <v>78423</v>
      </c>
      <c r="G35" s="285">
        <f t="shared" si="4"/>
        <v>3215</v>
      </c>
      <c r="H35" s="285">
        <f t="shared" si="4"/>
        <v>81638</v>
      </c>
      <c r="I35" s="285">
        <f t="shared" si="4"/>
        <v>51401</v>
      </c>
    </row>
    <row r="36" spans="1:9" ht="12" customHeight="1">
      <c r="A36" s="314"/>
      <c r="B36" s="339" t="s">
        <v>158</v>
      </c>
      <c r="C36" s="202" t="s">
        <v>159</v>
      </c>
      <c r="D36" s="315">
        <v>27471</v>
      </c>
      <c r="E36" s="315">
        <v>383</v>
      </c>
      <c r="F36" s="315">
        <f>D36+E36</f>
        <v>27854</v>
      </c>
      <c r="G36" s="315"/>
      <c r="H36" s="315">
        <v>27854</v>
      </c>
      <c r="I36" s="315">
        <v>19508</v>
      </c>
    </row>
    <row r="37" spans="1:9" ht="12" customHeight="1">
      <c r="A37" s="288"/>
      <c r="B37" s="308" t="s">
        <v>162</v>
      </c>
      <c r="C37" s="107" t="s">
        <v>163</v>
      </c>
      <c r="D37" s="291">
        <v>7103</v>
      </c>
      <c r="E37" s="291">
        <v>127</v>
      </c>
      <c r="F37" s="291">
        <f>D37+E37</f>
        <v>7230</v>
      </c>
      <c r="G37" s="291"/>
      <c r="H37" s="291">
        <v>7230</v>
      </c>
      <c r="I37" s="291">
        <v>4861</v>
      </c>
    </row>
    <row r="38" spans="1:9" ht="12" customHeight="1">
      <c r="A38" s="288"/>
      <c r="B38" s="308" t="s">
        <v>164</v>
      </c>
      <c r="C38" s="107" t="s">
        <v>165</v>
      </c>
      <c r="D38" s="291">
        <v>42575</v>
      </c>
      <c r="E38" s="291">
        <v>764</v>
      </c>
      <c r="F38" s="291">
        <f>D38+E38</f>
        <v>43339</v>
      </c>
      <c r="G38" s="291">
        <v>3215</v>
      </c>
      <c r="H38" s="291">
        <f>F38+G38</f>
        <v>46554</v>
      </c>
      <c r="I38" s="291">
        <v>27032</v>
      </c>
    </row>
    <row r="39" spans="1:9" s="338" customFormat="1" ht="12" customHeight="1">
      <c r="A39" s="288"/>
      <c r="B39" s="308" t="s">
        <v>168</v>
      </c>
      <c r="C39" s="107" t="s">
        <v>169</v>
      </c>
      <c r="D39" s="291"/>
      <c r="E39" s="291"/>
      <c r="F39" s="291"/>
      <c r="G39" s="291"/>
      <c r="H39" s="291"/>
      <c r="I39" s="291"/>
    </row>
    <row r="40" spans="1:9" ht="12" customHeight="1">
      <c r="A40" s="288"/>
      <c r="B40" s="308" t="s">
        <v>171</v>
      </c>
      <c r="C40" s="107" t="s">
        <v>172</v>
      </c>
      <c r="D40" s="291"/>
      <c r="E40" s="291"/>
      <c r="F40" s="291"/>
      <c r="G40" s="291"/>
      <c r="H40" s="291"/>
      <c r="I40" s="291"/>
    </row>
    <row r="41" spans="1:9" ht="12" customHeight="1">
      <c r="A41" s="277" t="s">
        <v>13</v>
      </c>
      <c r="B41" s="149"/>
      <c r="C41" s="149" t="s">
        <v>416</v>
      </c>
      <c r="D41" s="285">
        <f>SUM(D42:D45)</f>
        <v>0</v>
      </c>
      <c r="E41" s="285">
        <f>SUM(E42:E45)</f>
        <v>0</v>
      </c>
      <c r="F41" s="285">
        <f>SUM(F42:F45)</f>
        <v>0</v>
      </c>
      <c r="G41" s="285"/>
      <c r="H41" s="285"/>
      <c r="I41" s="285">
        <f>SUM(I42:I45)</f>
        <v>0</v>
      </c>
    </row>
    <row r="42" spans="1:9" ht="12" customHeight="1">
      <c r="A42" s="314"/>
      <c r="B42" s="339" t="s">
        <v>15</v>
      </c>
      <c r="C42" s="202" t="s">
        <v>188</v>
      </c>
      <c r="D42" s="315"/>
      <c r="E42" s="315"/>
      <c r="F42" s="315"/>
      <c r="G42" s="315"/>
      <c r="H42" s="315"/>
      <c r="I42" s="315"/>
    </row>
    <row r="43" spans="1:9" ht="12" customHeight="1">
      <c r="A43" s="288"/>
      <c r="B43" s="308" t="s">
        <v>19</v>
      </c>
      <c r="C43" s="107" t="s">
        <v>192</v>
      </c>
      <c r="D43" s="291"/>
      <c r="E43" s="291"/>
      <c r="F43" s="291"/>
      <c r="G43" s="291"/>
      <c r="H43" s="291"/>
      <c r="I43" s="291"/>
    </row>
    <row r="44" spans="1:9" ht="15" customHeight="1">
      <c r="A44" s="288"/>
      <c r="B44" s="308" t="s">
        <v>195</v>
      </c>
      <c r="C44" s="107" t="s">
        <v>417</v>
      </c>
      <c r="D44" s="291"/>
      <c r="E44" s="291"/>
      <c r="F44" s="291"/>
      <c r="G44" s="291"/>
      <c r="H44" s="291"/>
      <c r="I44" s="291"/>
    </row>
    <row r="45" spans="1:9" ht="15.75">
      <c r="A45" s="288"/>
      <c r="B45" s="308" t="s">
        <v>199</v>
      </c>
      <c r="C45" s="107" t="s">
        <v>418</v>
      </c>
      <c r="D45" s="291"/>
      <c r="E45" s="291"/>
      <c r="F45" s="291"/>
      <c r="G45" s="291"/>
      <c r="H45" s="291"/>
      <c r="I45" s="291"/>
    </row>
    <row r="46" spans="1:9" ht="15" customHeight="1">
      <c r="A46" s="277" t="s">
        <v>25</v>
      </c>
      <c r="B46" s="149"/>
      <c r="C46" s="149" t="s">
        <v>419</v>
      </c>
      <c r="D46" s="303"/>
      <c r="E46" s="303"/>
      <c r="F46" s="303"/>
      <c r="G46" s="303"/>
      <c r="H46" s="303"/>
      <c r="I46" s="303"/>
    </row>
    <row r="47" spans="1:9" ht="14.25" customHeight="1">
      <c r="A47" s="326" t="s">
        <v>213</v>
      </c>
      <c r="B47" s="423"/>
      <c r="C47" s="424" t="s">
        <v>420</v>
      </c>
      <c r="D47" s="317"/>
      <c r="E47" s="317"/>
      <c r="F47" s="317"/>
      <c r="G47" s="317"/>
      <c r="H47" s="317"/>
      <c r="I47" s="317">
        <v>-1121</v>
      </c>
    </row>
    <row r="48" spans="1:9" ht="15.75">
      <c r="A48" s="277" t="s">
        <v>47</v>
      </c>
      <c r="B48" s="316"/>
      <c r="C48" s="427" t="s">
        <v>421</v>
      </c>
      <c r="D48" s="285">
        <f aca="true" t="shared" si="5" ref="D48:I48">+D35+D41+D46+D47</f>
        <v>77149</v>
      </c>
      <c r="E48" s="285">
        <f t="shared" si="5"/>
        <v>1274</v>
      </c>
      <c r="F48" s="285">
        <f t="shared" si="5"/>
        <v>78423</v>
      </c>
      <c r="G48" s="285">
        <f t="shared" si="5"/>
        <v>3215</v>
      </c>
      <c r="H48" s="285">
        <f t="shared" si="5"/>
        <v>81638</v>
      </c>
      <c r="I48" s="285">
        <f t="shared" si="5"/>
        <v>50280</v>
      </c>
    </row>
    <row r="49" spans="1:9" ht="15.75">
      <c r="A49" s="413"/>
      <c r="B49" s="428"/>
      <c r="C49" s="428"/>
      <c r="D49" s="334"/>
      <c r="E49" s="334"/>
      <c r="F49" s="334"/>
      <c r="G49" s="334"/>
      <c r="H49" s="334"/>
      <c r="I49" s="334"/>
    </row>
    <row r="50" spans="1:9" ht="15.75">
      <c r="A50" s="365" t="s">
        <v>393</v>
      </c>
      <c r="B50" s="366"/>
      <c r="C50" s="367"/>
      <c r="D50" s="368">
        <v>17</v>
      </c>
      <c r="E50" s="368"/>
      <c r="F50" s="368">
        <v>17</v>
      </c>
      <c r="G50" s="368"/>
      <c r="H50" s="368">
        <v>17</v>
      </c>
      <c r="I50" s="368">
        <v>13</v>
      </c>
    </row>
    <row r="51" spans="1:9" ht="15.75">
      <c r="A51" s="365" t="s">
        <v>394</v>
      </c>
      <c r="B51" s="366"/>
      <c r="C51" s="367"/>
      <c r="D51" s="368"/>
      <c r="E51" s="368"/>
      <c r="F51" s="368"/>
      <c r="G51" s="368"/>
      <c r="H51" s="368"/>
      <c r="I51" s="368">
        <v>3</v>
      </c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63" r:id="rId1"/>
  <headerFooter alignWithMargins="0">
    <oddHeader xml:space="preserve">&amp;R9.melléklet a 14/2013.(XI.15.) önkormányzati rendelethez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5"/>
  </sheetPr>
  <dimension ref="A1:I51"/>
  <sheetViews>
    <sheetView view="pageBreakPreview" zoomScaleSheetLayoutView="100" workbookViewId="0" topLeftCell="A1">
      <selection activeCell="G1" sqref="G1"/>
    </sheetView>
  </sheetViews>
  <sheetFormatPr defaultColWidth="9.00390625" defaultRowHeight="12.75"/>
  <cols>
    <col min="1" max="1" width="9.625" style="369" customWidth="1"/>
    <col min="2" max="2" width="9.625" style="260" customWidth="1"/>
    <col min="3" max="3" width="72.00390625" style="260" customWidth="1"/>
    <col min="4" max="8" width="14.50390625" style="260" customWidth="1"/>
    <col min="9" max="9" width="0" style="260" hidden="1" customWidth="1"/>
    <col min="10" max="16384" width="9.375" style="260" customWidth="1"/>
  </cols>
  <sheetData>
    <row r="1" spans="1:9" s="265" customFormat="1" ht="21" customHeight="1">
      <c r="A1" s="261"/>
      <c r="B1" s="262"/>
      <c r="C1" s="370"/>
      <c r="D1" s="371"/>
      <c r="E1" s="371"/>
      <c r="F1" s="371"/>
      <c r="G1" s="371"/>
      <c r="H1" s="371"/>
      <c r="I1" s="371"/>
    </row>
    <row r="2" spans="1:9" s="268" customFormat="1" ht="25.5" customHeight="1">
      <c r="A2" s="447" t="s">
        <v>395</v>
      </c>
      <c r="B2" s="447"/>
      <c r="C2" s="416" t="s">
        <v>427</v>
      </c>
      <c r="D2" s="373"/>
      <c r="E2" s="373"/>
      <c r="F2" s="373"/>
      <c r="G2" s="373"/>
      <c r="H2" s="373" t="s">
        <v>428</v>
      </c>
      <c r="I2" s="373"/>
    </row>
    <row r="3" spans="1:9" s="268" customFormat="1" ht="15.75">
      <c r="A3" s="269" t="s">
        <v>345</v>
      </c>
      <c r="B3" s="270"/>
      <c r="C3" s="417" t="s">
        <v>429</v>
      </c>
      <c r="D3" s="375"/>
      <c r="E3" s="375"/>
      <c r="F3" s="375"/>
      <c r="G3" s="375"/>
      <c r="H3" s="375"/>
      <c r="I3" s="375"/>
    </row>
    <row r="4" spans="1:9" s="275" customFormat="1" ht="15.75" customHeight="1">
      <c r="A4" s="273"/>
      <c r="B4" s="273"/>
      <c r="C4" s="273"/>
      <c r="D4" s="274"/>
      <c r="E4" s="274"/>
      <c r="F4" s="274"/>
      <c r="G4" s="274"/>
      <c r="H4" s="274" t="s">
        <v>348</v>
      </c>
      <c r="I4" s="274"/>
    </row>
    <row r="5" spans="1:9" ht="44.25" customHeight="1">
      <c r="A5" s="448" t="s">
        <v>349</v>
      </c>
      <c r="B5" s="448"/>
      <c r="C5" s="276" t="s">
        <v>350</v>
      </c>
      <c r="D5" s="8" t="s">
        <v>5</v>
      </c>
      <c r="E5" s="8" t="s">
        <v>6</v>
      </c>
      <c r="F5" s="8" t="s">
        <v>7</v>
      </c>
      <c r="G5" s="8" t="s">
        <v>430</v>
      </c>
      <c r="H5" s="8" t="s">
        <v>9</v>
      </c>
      <c r="I5" s="8" t="s">
        <v>431</v>
      </c>
    </row>
    <row r="6" spans="1:9" s="279" customFormat="1" ht="12.75" customHeight="1">
      <c r="A6" s="277">
        <v>1</v>
      </c>
      <c r="B6" s="278">
        <v>2</v>
      </c>
      <c r="C6" s="278">
        <v>3</v>
      </c>
      <c r="D6" s="11">
        <v>3</v>
      </c>
      <c r="E6" s="9">
        <v>4</v>
      </c>
      <c r="F6" s="10">
        <v>5</v>
      </c>
      <c r="G6" s="9">
        <v>6</v>
      </c>
      <c r="H6" s="10">
        <v>7</v>
      </c>
      <c r="I6" s="9">
        <v>8</v>
      </c>
    </row>
    <row r="7" spans="1:9" s="279" customFormat="1" ht="15.75" customHeight="1">
      <c r="A7" s="280"/>
      <c r="B7" s="281"/>
      <c r="C7" s="281" t="s">
        <v>286</v>
      </c>
      <c r="D7" s="376"/>
      <c r="E7" s="376"/>
      <c r="F7" s="376"/>
      <c r="G7" s="376"/>
      <c r="H7" s="376"/>
      <c r="I7" s="376"/>
    </row>
    <row r="8" spans="1:9" s="287" customFormat="1" ht="12" customHeight="1">
      <c r="A8" s="277" t="s">
        <v>11</v>
      </c>
      <c r="B8" s="283"/>
      <c r="C8" s="377" t="s">
        <v>398</v>
      </c>
      <c r="D8" s="285">
        <f aca="true" t="shared" si="0" ref="D8:I8">SUM(D9:D16)</f>
        <v>350</v>
      </c>
      <c r="E8" s="285">
        <f t="shared" si="0"/>
        <v>0</v>
      </c>
      <c r="F8" s="285">
        <f t="shared" si="0"/>
        <v>350</v>
      </c>
      <c r="G8" s="285">
        <f t="shared" si="0"/>
        <v>-131</v>
      </c>
      <c r="H8" s="285">
        <f t="shared" si="0"/>
        <v>219</v>
      </c>
      <c r="I8" s="285">
        <f t="shared" si="0"/>
        <v>0</v>
      </c>
    </row>
    <row r="9" spans="1:9" s="287" customFormat="1" ht="12" customHeight="1">
      <c r="A9" s="295"/>
      <c r="B9" s="289" t="s">
        <v>158</v>
      </c>
      <c r="C9" s="157" t="s">
        <v>28</v>
      </c>
      <c r="D9" s="296"/>
      <c r="E9" s="296"/>
      <c r="F9" s="296"/>
      <c r="G9" s="296"/>
      <c r="H9" s="296"/>
      <c r="I9" s="296"/>
    </row>
    <row r="10" spans="1:9" s="287" customFormat="1" ht="12" customHeight="1">
      <c r="A10" s="288"/>
      <c r="B10" s="289" t="s">
        <v>162</v>
      </c>
      <c r="C10" s="107" t="s">
        <v>30</v>
      </c>
      <c r="D10" s="291">
        <v>200</v>
      </c>
      <c r="E10" s="291"/>
      <c r="F10" s="291">
        <v>200</v>
      </c>
      <c r="G10" s="291">
        <v>-131</v>
      </c>
      <c r="H10" s="291">
        <f>F10+G10</f>
        <v>69</v>
      </c>
      <c r="I10" s="291"/>
    </row>
    <row r="11" spans="1:9" s="287" customFormat="1" ht="12" customHeight="1">
      <c r="A11" s="288"/>
      <c r="B11" s="289" t="s">
        <v>164</v>
      </c>
      <c r="C11" s="107" t="s">
        <v>32</v>
      </c>
      <c r="D11" s="291">
        <v>150</v>
      </c>
      <c r="E11" s="291"/>
      <c r="F11" s="291">
        <v>150</v>
      </c>
      <c r="G11" s="291"/>
      <c r="H11" s="291">
        <v>150</v>
      </c>
      <c r="I11" s="291"/>
    </row>
    <row r="12" spans="1:9" s="287" customFormat="1" ht="12" customHeight="1">
      <c r="A12" s="288"/>
      <c r="B12" s="289" t="s">
        <v>168</v>
      </c>
      <c r="C12" s="107" t="s">
        <v>34</v>
      </c>
      <c r="D12" s="291"/>
      <c r="E12" s="291"/>
      <c r="F12" s="291"/>
      <c r="G12" s="291"/>
      <c r="H12" s="291"/>
      <c r="I12" s="291"/>
    </row>
    <row r="13" spans="1:9" s="287" customFormat="1" ht="12" customHeight="1">
      <c r="A13" s="288"/>
      <c r="B13" s="289" t="s">
        <v>399</v>
      </c>
      <c r="C13" s="159" t="s">
        <v>36</v>
      </c>
      <c r="D13" s="291"/>
      <c r="E13" s="291"/>
      <c r="F13" s="291"/>
      <c r="G13" s="291"/>
      <c r="H13" s="291"/>
      <c r="I13" s="291"/>
    </row>
    <row r="14" spans="1:9" s="287" customFormat="1" ht="12" customHeight="1">
      <c r="A14" s="297"/>
      <c r="B14" s="289" t="s">
        <v>173</v>
      </c>
      <c r="C14" s="107" t="s">
        <v>400</v>
      </c>
      <c r="D14" s="298"/>
      <c r="E14" s="298"/>
      <c r="F14" s="298"/>
      <c r="G14" s="298"/>
      <c r="H14" s="298"/>
      <c r="I14" s="298"/>
    </row>
    <row r="15" spans="1:9" s="292" customFormat="1" ht="12" customHeight="1">
      <c r="A15" s="288"/>
      <c r="B15" s="289" t="s">
        <v>175</v>
      </c>
      <c r="C15" s="107" t="s">
        <v>401</v>
      </c>
      <c r="D15" s="291"/>
      <c r="E15" s="291"/>
      <c r="F15" s="291"/>
      <c r="G15" s="291"/>
      <c r="H15" s="291"/>
      <c r="I15" s="291"/>
    </row>
    <row r="16" spans="1:9" s="292" customFormat="1" ht="12" customHeight="1">
      <c r="A16" s="299"/>
      <c r="B16" s="300" t="s">
        <v>177</v>
      </c>
      <c r="C16" s="159" t="s">
        <v>402</v>
      </c>
      <c r="D16" s="301"/>
      <c r="E16" s="301"/>
      <c r="F16" s="301"/>
      <c r="G16" s="301"/>
      <c r="H16" s="301"/>
      <c r="I16" s="301"/>
    </row>
    <row r="17" spans="1:9" s="287" customFormat="1" ht="12" customHeight="1">
      <c r="A17" s="277" t="s">
        <v>13</v>
      </c>
      <c r="B17" s="283"/>
      <c r="C17" s="377" t="s">
        <v>403</v>
      </c>
      <c r="D17" s="285">
        <f aca="true" t="shared" si="1" ref="D17:I17">SUM(D18:D21)</f>
        <v>13560</v>
      </c>
      <c r="E17" s="285">
        <f t="shared" si="1"/>
        <v>0</v>
      </c>
      <c r="F17" s="285">
        <f t="shared" si="1"/>
        <v>13560</v>
      </c>
      <c r="G17" s="285">
        <f t="shared" si="1"/>
        <v>-13560</v>
      </c>
      <c r="H17" s="285">
        <f t="shared" si="1"/>
        <v>0</v>
      </c>
      <c r="I17" s="285">
        <f t="shared" si="1"/>
        <v>0</v>
      </c>
    </row>
    <row r="18" spans="1:9" s="292" customFormat="1" ht="12" customHeight="1">
      <c r="A18" s="288"/>
      <c r="B18" s="289" t="s">
        <v>15</v>
      </c>
      <c r="C18" s="202" t="s">
        <v>432</v>
      </c>
      <c r="D18" s="291">
        <v>13560</v>
      </c>
      <c r="E18" s="291"/>
      <c r="F18" s="291">
        <v>13560</v>
      </c>
      <c r="G18" s="291">
        <v>-13560</v>
      </c>
      <c r="H18" s="291"/>
      <c r="I18" s="291"/>
    </row>
    <row r="19" spans="1:9" s="292" customFormat="1" ht="12" customHeight="1">
      <c r="A19" s="288"/>
      <c r="B19" s="289" t="s">
        <v>19</v>
      </c>
      <c r="C19" s="107" t="s">
        <v>407</v>
      </c>
      <c r="D19" s="291"/>
      <c r="E19" s="291"/>
      <c r="F19" s="291"/>
      <c r="G19" s="291"/>
      <c r="H19" s="291"/>
      <c r="I19" s="291"/>
    </row>
    <row r="20" spans="1:9" s="292" customFormat="1" ht="12" customHeight="1">
      <c r="A20" s="288"/>
      <c r="B20" s="289" t="s">
        <v>21</v>
      </c>
      <c r="C20" s="107" t="s">
        <v>406</v>
      </c>
      <c r="D20" s="291"/>
      <c r="E20" s="291"/>
      <c r="F20" s="291"/>
      <c r="G20" s="291"/>
      <c r="H20" s="291"/>
      <c r="I20" s="291"/>
    </row>
    <row r="21" spans="1:9" s="292" customFormat="1" ht="12" customHeight="1">
      <c r="A21" s="288"/>
      <c r="B21" s="289" t="s">
        <v>23</v>
      </c>
      <c r="C21" s="107" t="s">
        <v>407</v>
      </c>
      <c r="D21" s="291"/>
      <c r="E21" s="291"/>
      <c r="F21" s="291"/>
      <c r="G21" s="291"/>
      <c r="H21" s="291"/>
      <c r="I21" s="291"/>
    </row>
    <row r="22" spans="1:9" s="292" customFormat="1" ht="12" customHeight="1">
      <c r="A22" s="277" t="s">
        <v>25</v>
      </c>
      <c r="B22" s="149"/>
      <c r="C22" s="149" t="s">
        <v>408</v>
      </c>
      <c r="D22" s="285">
        <f>+D23+D24</f>
        <v>0</v>
      </c>
      <c r="E22" s="285">
        <f>+E23+E24</f>
        <v>0</v>
      </c>
      <c r="F22" s="285">
        <f>+F23+F24</f>
        <v>0</v>
      </c>
      <c r="G22" s="285"/>
      <c r="H22" s="285">
        <f>+H23+H24</f>
        <v>0</v>
      </c>
      <c r="I22" s="285">
        <f>+I23+I24</f>
        <v>0</v>
      </c>
    </row>
    <row r="23" spans="1:9" s="287" customFormat="1" ht="12" customHeight="1">
      <c r="A23" s="295"/>
      <c r="B23" s="419" t="s">
        <v>27</v>
      </c>
      <c r="C23" s="157" t="s">
        <v>104</v>
      </c>
      <c r="D23" s="296"/>
      <c r="E23" s="296"/>
      <c r="F23" s="296"/>
      <c r="G23" s="296"/>
      <c r="H23" s="296"/>
      <c r="I23" s="296"/>
    </row>
    <row r="24" spans="1:9" s="287" customFormat="1" ht="12" customHeight="1">
      <c r="A24" s="389"/>
      <c r="B24" s="420" t="s">
        <v>29</v>
      </c>
      <c r="C24" s="161" t="s">
        <v>106</v>
      </c>
      <c r="D24" s="392"/>
      <c r="E24" s="392"/>
      <c r="F24" s="392"/>
      <c r="G24" s="392"/>
      <c r="H24" s="392"/>
      <c r="I24" s="392"/>
    </row>
    <row r="25" spans="1:9" s="287" customFormat="1" ht="12" customHeight="1">
      <c r="A25" s="277" t="s">
        <v>213</v>
      </c>
      <c r="B25" s="283"/>
      <c r="C25" s="149" t="s">
        <v>409</v>
      </c>
      <c r="D25" s="303">
        <f>31612+3767</f>
        <v>35379</v>
      </c>
      <c r="E25" s="303">
        <v>483</v>
      </c>
      <c r="F25" s="303">
        <f>D25+E25</f>
        <v>35862</v>
      </c>
      <c r="G25" s="303">
        <v>-4933</v>
      </c>
      <c r="H25" s="303">
        <f>F25+G25</f>
        <v>30929</v>
      </c>
      <c r="I25" s="303">
        <f>31612+3767</f>
        <v>35379</v>
      </c>
    </row>
    <row r="26" spans="1:9" s="287" customFormat="1" ht="12" customHeight="1">
      <c r="A26" s="277" t="s">
        <v>47</v>
      </c>
      <c r="B26" s="321"/>
      <c r="C26" s="149" t="s">
        <v>410</v>
      </c>
      <c r="D26" s="322">
        <f aca="true" t="shared" si="2" ref="D26:I26">+D8+D17+D22+D25</f>
        <v>49289</v>
      </c>
      <c r="E26" s="322">
        <f t="shared" si="2"/>
        <v>483</v>
      </c>
      <c r="F26" s="322">
        <f t="shared" si="2"/>
        <v>49772</v>
      </c>
      <c r="G26" s="322">
        <f t="shared" si="2"/>
        <v>-18624</v>
      </c>
      <c r="H26" s="322">
        <f t="shared" si="2"/>
        <v>31148</v>
      </c>
      <c r="I26" s="322">
        <f t="shared" si="2"/>
        <v>35379</v>
      </c>
    </row>
    <row r="27" spans="1:9" s="292" customFormat="1" ht="12" customHeight="1">
      <c r="A27" s="394" t="s">
        <v>77</v>
      </c>
      <c r="B27" s="421"/>
      <c r="C27" s="354" t="s">
        <v>411</v>
      </c>
      <c r="D27" s="397">
        <f>+D28+D29</f>
        <v>0</v>
      </c>
      <c r="E27" s="397">
        <f>+E28+E29</f>
        <v>0</v>
      </c>
      <c r="F27" s="397">
        <f>+F28+F29</f>
        <v>0</v>
      </c>
      <c r="G27" s="397"/>
      <c r="H27" s="397">
        <f>+H28+H29</f>
        <v>0</v>
      </c>
      <c r="I27" s="397">
        <f>+I28+I29</f>
        <v>4892</v>
      </c>
    </row>
    <row r="28" spans="1:9" s="292" customFormat="1" ht="15" customHeight="1">
      <c r="A28" s="295"/>
      <c r="B28" s="305" t="s">
        <v>79</v>
      </c>
      <c r="C28" s="157" t="s">
        <v>412</v>
      </c>
      <c r="D28" s="296"/>
      <c r="E28" s="296"/>
      <c r="F28" s="296"/>
      <c r="G28" s="296"/>
      <c r="H28" s="296"/>
      <c r="I28" s="296">
        <v>4892</v>
      </c>
    </row>
    <row r="29" spans="1:9" s="292" customFormat="1" ht="15" customHeight="1">
      <c r="A29" s="399"/>
      <c r="B29" s="312" t="s">
        <v>91</v>
      </c>
      <c r="C29" s="422" t="s">
        <v>413</v>
      </c>
      <c r="D29" s="313"/>
      <c r="E29" s="313"/>
      <c r="F29" s="313"/>
      <c r="G29" s="313"/>
      <c r="H29" s="313"/>
      <c r="I29" s="313"/>
    </row>
    <row r="30" spans="1:9" ht="15.75">
      <c r="A30" s="326" t="s">
        <v>235</v>
      </c>
      <c r="B30" s="423"/>
      <c r="C30" s="424" t="s">
        <v>414</v>
      </c>
      <c r="D30" s="317"/>
      <c r="E30" s="317"/>
      <c r="F30" s="317"/>
      <c r="G30" s="317"/>
      <c r="H30" s="317"/>
      <c r="I30" s="317"/>
    </row>
    <row r="31" spans="1:9" s="279" customFormat="1" ht="16.5" customHeight="1">
      <c r="A31" s="326" t="s">
        <v>107</v>
      </c>
      <c r="B31" s="425"/>
      <c r="C31" s="426" t="s">
        <v>415</v>
      </c>
      <c r="D31" s="322">
        <f aca="true" t="shared" si="3" ref="D31:I31">+D26+D27+D30</f>
        <v>49289</v>
      </c>
      <c r="E31" s="322">
        <f t="shared" si="3"/>
        <v>483</v>
      </c>
      <c r="F31" s="322">
        <f t="shared" si="3"/>
        <v>49772</v>
      </c>
      <c r="G31" s="322">
        <f t="shared" si="3"/>
        <v>-18624</v>
      </c>
      <c r="H31" s="322">
        <f t="shared" si="3"/>
        <v>31148</v>
      </c>
      <c r="I31" s="322">
        <f t="shared" si="3"/>
        <v>40271</v>
      </c>
    </row>
    <row r="32" spans="1:9" s="338" customFormat="1" ht="12" customHeight="1">
      <c r="A32" s="329"/>
      <c r="B32" s="329"/>
      <c r="C32" s="330"/>
      <c r="D32" s="331"/>
      <c r="E32" s="331"/>
      <c r="F32" s="331"/>
      <c r="G32" s="331"/>
      <c r="H32" s="331"/>
      <c r="I32" s="331"/>
    </row>
    <row r="33" spans="1:9" ht="12" customHeight="1">
      <c r="A33" s="332"/>
      <c r="B33" s="333"/>
      <c r="C33" s="333"/>
      <c r="D33" s="334"/>
      <c r="E33" s="334"/>
      <c r="F33" s="334"/>
      <c r="G33" s="334"/>
      <c r="H33" s="334"/>
      <c r="I33" s="334"/>
    </row>
    <row r="34" spans="1:9" ht="12" customHeight="1">
      <c r="A34" s="335"/>
      <c r="B34" s="336"/>
      <c r="C34" s="337" t="s">
        <v>287</v>
      </c>
      <c r="D34" s="322"/>
      <c r="E34" s="322"/>
      <c r="F34" s="322"/>
      <c r="G34" s="322"/>
      <c r="H34" s="322"/>
      <c r="I34" s="322"/>
    </row>
    <row r="35" spans="1:9" ht="12" customHeight="1">
      <c r="A35" s="277" t="s">
        <v>11</v>
      </c>
      <c r="B35" s="149"/>
      <c r="C35" s="149" t="s">
        <v>366</v>
      </c>
      <c r="D35" s="285">
        <f aca="true" t="shared" si="4" ref="D35:I35">SUM(D36:D40)</f>
        <v>49289</v>
      </c>
      <c r="E35" s="285">
        <f t="shared" si="4"/>
        <v>483</v>
      </c>
      <c r="F35" s="285">
        <f t="shared" si="4"/>
        <v>49772</v>
      </c>
      <c r="G35" s="285">
        <f t="shared" si="4"/>
        <v>-18624</v>
      </c>
      <c r="H35" s="285">
        <f t="shared" si="4"/>
        <v>31148</v>
      </c>
      <c r="I35" s="285">
        <f t="shared" si="4"/>
        <v>37296</v>
      </c>
    </row>
    <row r="36" spans="1:9" ht="12" customHeight="1">
      <c r="A36" s="314"/>
      <c r="B36" s="339" t="s">
        <v>158</v>
      </c>
      <c r="C36" s="202" t="s">
        <v>159</v>
      </c>
      <c r="D36" s="315">
        <f>4920+18418</f>
        <v>23338</v>
      </c>
      <c r="E36" s="315">
        <v>353</v>
      </c>
      <c r="F36" s="315">
        <f>D36+E36</f>
        <v>23691</v>
      </c>
      <c r="G36" s="315">
        <v>-8888</v>
      </c>
      <c r="H36" s="315">
        <f>F36+G36</f>
        <v>14803</v>
      </c>
      <c r="I36" s="315">
        <v>22647</v>
      </c>
    </row>
    <row r="37" spans="1:9" ht="12" customHeight="1">
      <c r="A37" s="288"/>
      <c r="B37" s="308" t="s">
        <v>162</v>
      </c>
      <c r="C37" s="107" t="s">
        <v>163</v>
      </c>
      <c r="D37" s="291">
        <v>6030</v>
      </c>
      <c r="E37" s="291">
        <v>130</v>
      </c>
      <c r="F37" s="291">
        <f>D37+E37</f>
        <v>6160</v>
      </c>
      <c r="G37" s="291">
        <f>3898-6160</f>
        <v>-2262</v>
      </c>
      <c r="H37" s="291">
        <f>F37+G37</f>
        <v>3898</v>
      </c>
      <c r="I37" s="291">
        <v>5771</v>
      </c>
    </row>
    <row r="38" spans="1:9" ht="12" customHeight="1">
      <c r="A38" s="288"/>
      <c r="B38" s="308" t="s">
        <v>164</v>
      </c>
      <c r="C38" s="107" t="s">
        <v>165</v>
      </c>
      <c r="D38" s="291">
        <v>19921</v>
      </c>
      <c r="E38" s="291"/>
      <c r="F38" s="291">
        <v>19921</v>
      </c>
      <c r="G38" s="291">
        <f>12447-F38</f>
        <v>-7474</v>
      </c>
      <c r="H38" s="291">
        <f>F38+G38</f>
        <v>12447</v>
      </c>
      <c r="I38" s="291">
        <v>8878</v>
      </c>
    </row>
    <row r="39" spans="1:9" s="338" customFormat="1" ht="12" customHeight="1">
      <c r="A39" s="288"/>
      <c r="B39" s="308" t="s">
        <v>168</v>
      </c>
      <c r="C39" s="107" t="s">
        <v>169</v>
      </c>
      <c r="D39" s="291"/>
      <c r="E39" s="291"/>
      <c r="F39" s="291"/>
      <c r="G39" s="291"/>
      <c r="H39" s="291"/>
      <c r="I39" s="291"/>
    </row>
    <row r="40" spans="1:9" ht="12" customHeight="1">
      <c r="A40" s="288"/>
      <c r="B40" s="308" t="s">
        <v>171</v>
      </c>
      <c r="C40" s="107" t="s">
        <v>172</v>
      </c>
      <c r="D40" s="291"/>
      <c r="E40" s="291"/>
      <c r="F40" s="291"/>
      <c r="G40" s="291"/>
      <c r="H40" s="291"/>
      <c r="I40" s="291"/>
    </row>
    <row r="41" spans="1:9" ht="12" customHeight="1">
      <c r="A41" s="277" t="s">
        <v>13</v>
      </c>
      <c r="B41" s="149"/>
      <c r="C41" s="149" t="s">
        <v>416</v>
      </c>
      <c r="D41" s="285">
        <f>SUM(D42:D45)</f>
        <v>0</v>
      </c>
      <c r="E41" s="285">
        <f>SUM(E42:E45)</f>
        <v>0</v>
      </c>
      <c r="F41" s="285">
        <f>SUM(F42:F45)</f>
        <v>0</v>
      </c>
      <c r="G41" s="285"/>
      <c r="H41" s="285">
        <f>SUM(H42:H45)</f>
        <v>0</v>
      </c>
      <c r="I41" s="285">
        <f>SUM(I42:I45)</f>
        <v>0</v>
      </c>
    </row>
    <row r="42" spans="1:9" ht="12" customHeight="1">
      <c r="A42" s="314"/>
      <c r="B42" s="339" t="s">
        <v>15</v>
      </c>
      <c r="C42" s="202" t="s">
        <v>188</v>
      </c>
      <c r="D42" s="315"/>
      <c r="E42" s="315"/>
      <c r="F42" s="315"/>
      <c r="G42" s="315"/>
      <c r="H42" s="315"/>
      <c r="I42" s="315"/>
    </row>
    <row r="43" spans="1:9" ht="12" customHeight="1">
      <c r="A43" s="288"/>
      <c r="B43" s="308" t="s">
        <v>19</v>
      </c>
      <c r="C43" s="107" t="s">
        <v>192</v>
      </c>
      <c r="D43" s="291"/>
      <c r="E43" s="291"/>
      <c r="F43" s="291"/>
      <c r="G43" s="291"/>
      <c r="H43" s="291"/>
      <c r="I43" s="291"/>
    </row>
    <row r="44" spans="1:9" ht="15" customHeight="1">
      <c r="A44" s="288"/>
      <c r="B44" s="308" t="s">
        <v>195</v>
      </c>
      <c r="C44" s="107" t="s">
        <v>417</v>
      </c>
      <c r="D44" s="291"/>
      <c r="E44" s="291"/>
      <c r="F44" s="291"/>
      <c r="G44" s="291"/>
      <c r="H44" s="291"/>
      <c r="I44" s="291"/>
    </row>
    <row r="45" spans="1:9" ht="15.75">
      <c r="A45" s="288"/>
      <c r="B45" s="308" t="s">
        <v>199</v>
      </c>
      <c r="C45" s="107" t="s">
        <v>418</v>
      </c>
      <c r="D45" s="291"/>
      <c r="E45" s="291"/>
      <c r="F45" s="291"/>
      <c r="G45" s="291"/>
      <c r="H45" s="291"/>
      <c r="I45" s="291"/>
    </row>
    <row r="46" spans="1:9" ht="15" customHeight="1">
      <c r="A46" s="277" t="s">
        <v>25</v>
      </c>
      <c r="B46" s="149"/>
      <c r="C46" s="149" t="s">
        <v>419</v>
      </c>
      <c r="D46" s="303"/>
      <c r="E46" s="303"/>
      <c r="F46" s="303"/>
      <c r="G46" s="303"/>
      <c r="H46" s="303"/>
      <c r="I46" s="303"/>
    </row>
    <row r="47" spans="1:9" ht="14.25" customHeight="1">
      <c r="A47" s="326" t="s">
        <v>213</v>
      </c>
      <c r="B47" s="423"/>
      <c r="C47" s="424" t="s">
        <v>420</v>
      </c>
      <c r="D47" s="317"/>
      <c r="E47" s="317"/>
      <c r="F47" s="317"/>
      <c r="G47" s="317"/>
      <c r="H47" s="317"/>
      <c r="I47" s="317"/>
    </row>
    <row r="48" spans="1:9" ht="15.75">
      <c r="A48" s="277" t="s">
        <v>47</v>
      </c>
      <c r="B48" s="316"/>
      <c r="C48" s="427" t="s">
        <v>421</v>
      </c>
      <c r="D48" s="285">
        <f aca="true" t="shared" si="5" ref="D48:I48">+D35+D41+D46+D47</f>
        <v>49289</v>
      </c>
      <c r="E48" s="285">
        <f t="shared" si="5"/>
        <v>483</v>
      </c>
      <c r="F48" s="285">
        <f t="shared" si="5"/>
        <v>49772</v>
      </c>
      <c r="G48" s="285">
        <f t="shared" si="5"/>
        <v>-18624</v>
      </c>
      <c r="H48" s="285">
        <f t="shared" si="5"/>
        <v>31148</v>
      </c>
      <c r="I48" s="285">
        <f t="shared" si="5"/>
        <v>37296</v>
      </c>
    </row>
    <row r="49" spans="1:9" ht="15.75">
      <c r="A49" s="413"/>
      <c r="B49" s="428"/>
      <c r="C49" s="428"/>
      <c r="D49" s="334"/>
      <c r="E49" s="334"/>
      <c r="F49" s="334"/>
      <c r="G49" s="334"/>
      <c r="H49" s="334"/>
      <c r="I49" s="334"/>
    </row>
    <row r="50" spans="1:9" ht="15.75">
      <c r="A50" s="365" t="s">
        <v>393</v>
      </c>
      <c r="B50" s="366"/>
      <c r="C50" s="367"/>
      <c r="D50" s="368">
        <v>12</v>
      </c>
      <c r="E50" s="368"/>
      <c r="F50" s="368">
        <v>12</v>
      </c>
      <c r="G50" s="368"/>
      <c r="H50" s="368">
        <v>11</v>
      </c>
      <c r="I50" s="368">
        <v>11</v>
      </c>
    </row>
    <row r="51" spans="1:9" ht="15.75">
      <c r="A51" s="365" t="s">
        <v>394</v>
      </c>
      <c r="B51" s="366"/>
      <c r="C51" s="367"/>
      <c r="D51" s="368"/>
      <c r="E51" s="368"/>
      <c r="F51" s="368"/>
      <c r="G51" s="368"/>
      <c r="H51" s="368"/>
      <c r="I51" s="368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4" r:id="rId1"/>
  <headerFooter alignWithMargins="0">
    <oddHeader xml:space="preserve">&amp;R10.melléklet a 14/2013.(XI.15.) önkormányzati rendelethez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G51"/>
  <sheetViews>
    <sheetView view="pageBreakPreview" zoomScaleSheetLayoutView="100" workbookViewId="0" topLeftCell="A1">
      <selection activeCell="C1" sqref="C1"/>
    </sheetView>
  </sheetViews>
  <sheetFormatPr defaultColWidth="9.00390625" defaultRowHeight="12.75"/>
  <cols>
    <col min="1" max="1" width="9.625" style="369" customWidth="1"/>
    <col min="2" max="2" width="9.625" style="260" customWidth="1"/>
    <col min="3" max="3" width="72.00390625" style="260" customWidth="1"/>
    <col min="4" max="6" width="14.50390625" style="260" customWidth="1"/>
    <col min="7" max="7" width="0" style="260" hidden="1" customWidth="1"/>
    <col min="8" max="254" width="9.375" style="260" customWidth="1"/>
    <col min="255" max="16384" width="12.875" style="0" customWidth="1"/>
  </cols>
  <sheetData>
    <row r="1" spans="1:7" s="265" customFormat="1" ht="21" customHeight="1">
      <c r="A1" s="261"/>
      <c r="B1" s="262"/>
      <c r="C1" s="370"/>
      <c r="D1" s="371"/>
      <c r="E1" s="371"/>
      <c r="F1" s="371"/>
      <c r="G1" s="371"/>
    </row>
    <row r="2" spans="1:7" s="268" customFormat="1" ht="25.5" customHeight="1">
      <c r="A2" s="447" t="s">
        <v>395</v>
      </c>
      <c r="B2" s="447"/>
      <c r="C2" s="372" t="s">
        <v>433</v>
      </c>
      <c r="D2" s="373"/>
      <c r="E2" s="373"/>
      <c r="F2" s="373" t="s">
        <v>428</v>
      </c>
      <c r="G2" s="373" t="s">
        <v>428</v>
      </c>
    </row>
    <row r="3" spans="1:7" s="268" customFormat="1" ht="15.75">
      <c r="A3" s="269" t="s">
        <v>345</v>
      </c>
      <c r="B3" s="270"/>
      <c r="C3" s="374" t="s">
        <v>434</v>
      </c>
      <c r="D3" s="375"/>
      <c r="E3" s="375"/>
      <c r="F3" s="375"/>
      <c r="G3" s="375"/>
    </row>
    <row r="4" spans="1:7" s="275" customFormat="1" ht="15.75" customHeight="1">
      <c r="A4" s="273"/>
      <c r="B4" s="273"/>
      <c r="C4" s="273"/>
      <c r="D4" s="274"/>
      <c r="E4" s="274"/>
      <c r="F4" s="274" t="s">
        <v>348</v>
      </c>
      <c r="G4" s="274"/>
    </row>
    <row r="5" spans="1:7" ht="51" customHeight="1">
      <c r="A5" s="448" t="s">
        <v>349</v>
      </c>
      <c r="B5" s="448"/>
      <c r="C5" s="276" t="s">
        <v>350</v>
      </c>
      <c r="D5" s="8" t="s">
        <v>5</v>
      </c>
      <c r="E5" s="8" t="s">
        <v>8</v>
      </c>
      <c r="F5" s="8" t="s">
        <v>9</v>
      </c>
      <c r="G5" s="8" t="s">
        <v>435</v>
      </c>
    </row>
    <row r="6" spans="1:7" s="279" customFormat="1" ht="12.75" customHeight="1">
      <c r="A6" s="277">
        <v>1</v>
      </c>
      <c r="B6" s="278">
        <v>2</v>
      </c>
      <c r="C6" s="278">
        <v>3</v>
      </c>
      <c r="D6" s="11">
        <v>3</v>
      </c>
      <c r="E6" s="10"/>
      <c r="F6" s="11">
        <v>6</v>
      </c>
      <c r="G6" s="11">
        <v>6</v>
      </c>
    </row>
    <row r="7" spans="1:7" s="279" customFormat="1" ht="15.75" customHeight="1">
      <c r="A7" s="280"/>
      <c r="B7" s="281"/>
      <c r="C7" s="281" t="s">
        <v>286</v>
      </c>
      <c r="D7" s="418"/>
      <c r="E7" s="418"/>
      <c r="F7" s="418"/>
      <c r="G7" s="418"/>
    </row>
    <row r="8" spans="1:7" s="287" customFormat="1" ht="12" customHeight="1">
      <c r="A8" s="277" t="s">
        <v>11</v>
      </c>
      <c r="B8" s="283"/>
      <c r="C8" s="377" t="s">
        <v>398</v>
      </c>
      <c r="D8" s="285">
        <f>SUM(D9:D16)</f>
        <v>0</v>
      </c>
      <c r="E8" s="285"/>
      <c r="F8" s="285">
        <f>SUM(F9:F16)</f>
        <v>0</v>
      </c>
      <c r="G8" s="285">
        <f>SUM(G9:G16)</f>
        <v>0</v>
      </c>
    </row>
    <row r="9" spans="1:7" s="287" customFormat="1" ht="12" customHeight="1">
      <c r="A9" s="295"/>
      <c r="B9" s="289" t="s">
        <v>158</v>
      </c>
      <c r="C9" s="157" t="s">
        <v>28</v>
      </c>
      <c r="D9" s="296"/>
      <c r="E9" s="296"/>
      <c r="F9" s="296"/>
      <c r="G9" s="296"/>
    </row>
    <row r="10" spans="1:7" s="287" customFormat="1" ht="12" customHeight="1">
      <c r="A10" s="288"/>
      <c r="B10" s="289" t="s">
        <v>162</v>
      </c>
      <c r="C10" s="107" t="s">
        <v>30</v>
      </c>
      <c r="D10" s="291"/>
      <c r="E10" s="291"/>
      <c r="F10" s="291"/>
      <c r="G10" s="291"/>
    </row>
    <row r="11" spans="1:7" s="287" customFormat="1" ht="12" customHeight="1">
      <c r="A11" s="288"/>
      <c r="B11" s="289" t="s">
        <v>164</v>
      </c>
      <c r="C11" s="107" t="s">
        <v>32</v>
      </c>
      <c r="D11" s="291"/>
      <c r="E11" s="291"/>
      <c r="F11" s="291"/>
      <c r="G11" s="291"/>
    </row>
    <row r="12" spans="1:7" s="287" customFormat="1" ht="12" customHeight="1">
      <c r="A12" s="288"/>
      <c r="B12" s="289" t="s">
        <v>168</v>
      </c>
      <c r="C12" s="107" t="s">
        <v>34</v>
      </c>
      <c r="D12" s="291"/>
      <c r="E12" s="291"/>
      <c r="F12" s="291"/>
      <c r="G12" s="291"/>
    </row>
    <row r="13" spans="1:7" s="287" customFormat="1" ht="12" customHeight="1">
      <c r="A13" s="288"/>
      <c r="B13" s="289" t="s">
        <v>399</v>
      </c>
      <c r="C13" s="159" t="s">
        <v>36</v>
      </c>
      <c r="D13" s="291"/>
      <c r="E13" s="291"/>
      <c r="F13" s="291"/>
      <c r="G13" s="291"/>
    </row>
    <row r="14" spans="1:7" s="287" customFormat="1" ht="12" customHeight="1">
      <c r="A14" s="297"/>
      <c r="B14" s="289" t="s">
        <v>173</v>
      </c>
      <c r="C14" s="107" t="s">
        <v>400</v>
      </c>
      <c r="D14" s="298"/>
      <c r="E14" s="298"/>
      <c r="F14" s="298"/>
      <c r="G14" s="298"/>
    </row>
    <row r="15" spans="1:7" s="292" customFormat="1" ht="12" customHeight="1">
      <c r="A15" s="288"/>
      <c r="B15" s="289" t="s">
        <v>175</v>
      </c>
      <c r="C15" s="107" t="s">
        <v>401</v>
      </c>
      <c r="D15" s="291"/>
      <c r="E15" s="291"/>
      <c r="F15" s="291"/>
      <c r="G15" s="291"/>
    </row>
    <row r="16" spans="1:7" s="292" customFormat="1" ht="12" customHeight="1">
      <c r="A16" s="299"/>
      <c r="B16" s="300" t="s">
        <v>177</v>
      </c>
      <c r="C16" s="159" t="s">
        <v>402</v>
      </c>
      <c r="D16" s="301"/>
      <c r="E16" s="301"/>
      <c r="F16" s="301"/>
      <c r="G16" s="301"/>
    </row>
    <row r="17" spans="1:7" s="287" customFormat="1" ht="12" customHeight="1">
      <c r="A17" s="277" t="s">
        <v>13</v>
      </c>
      <c r="B17" s="283"/>
      <c r="C17" s="377" t="s">
        <v>403</v>
      </c>
      <c r="D17" s="285">
        <f>SUM(D18:D21)</f>
        <v>0</v>
      </c>
      <c r="E17" s="285"/>
      <c r="F17" s="285">
        <f>SUM(F18:F21)</f>
        <v>0</v>
      </c>
      <c r="G17" s="285">
        <f>SUM(G18:G21)</f>
        <v>0</v>
      </c>
    </row>
    <row r="18" spans="1:7" s="292" customFormat="1" ht="12" customHeight="1">
      <c r="A18" s="288"/>
      <c r="B18" s="289" t="s">
        <v>15</v>
      </c>
      <c r="C18" s="202" t="s">
        <v>432</v>
      </c>
      <c r="D18" s="291"/>
      <c r="E18" s="291"/>
      <c r="F18" s="291"/>
      <c r="G18" s="291"/>
    </row>
    <row r="19" spans="1:7" s="292" customFormat="1" ht="12" customHeight="1">
      <c r="A19" s="288"/>
      <c r="B19" s="289" t="s">
        <v>19</v>
      </c>
      <c r="C19" s="107" t="s">
        <v>407</v>
      </c>
      <c r="D19" s="291"/>
      <c r="E19" s="291"/>
      <c r="F19" s="291"/>
      <c r="G19" s="291"/>
    </row>
    <row r="20" spans="1:7" s="292" customFormat="1" ht="12" customHeight="1">
      <c r="A20" s="288"/>
      <c r="B20" s="289" t="s">
        <v>21</v>
      </c>
      <c r="C20" s="107" t="s">
        <v>406</v>
      </c>
      <c r="D20" s="291"/>
      <c r="E20" s="291"/>
      <c r="F20" s="291"/>
      <c r="G20" s="291"/>
    </row>
    <row r="21" spans="1:7" s="292" customFormat="1" ht="12" customHeight="1">
      <c r="A21" s="288"/>
      <c r="B21" s="289" t="s">
        <v>23</v>
      </c>
      <c r="C21" s="107" t="s">
        <v>407</v>
      </c>
      <c r="D21" s="291"/>
      <c r="E21" s="291"/>
      <c r="F21" s="291"/>
      <c r="G21" s="291"/>
    </row>
    <row r="22" spans="1:7" s="292" customFormat="1" ht="12" customHeight="1">
      <c r="A22" s="277" t="s">
        <v>25</v>
      </c>
      <c r="B22" s="149"/>
      <c r="C22" s="149" t="s">
        <v>408</v>
      </c>
      <c r="D22" s="285">
        <f>+D23+D24</f>
        <v>0</v>
      </c>
      <c r="E22" s="285"/>
      <c r="F22" s="285">
        <f>+F23+F24</f>
        <v>0</v>
      </c>
      <c r="G22" s="285">
        <f>+G23+G24</f>
        <v>0</v>
      </c>
    </row>
    <row r="23" spans="1:7" s="287" customFormat="1" ht="12" customHeight="1">
      <c r="A23" s="295"/>
      <c r="B23" s="419" t="s">
        <v>27</v>
      </c>
      <c r="C23" s="157" t="s">
        <v>104</v>
      </c>
      <c r="D23" s="296"/>
      <c r="E23" s="296"/>
      <c r="F23" s="296"/>
      <c r="G23" s="296"/>
    </row>
    <row r="24" spans="1:7" s="287" customFormat="1" ht="12" customHeight="1">
      <c r="A24" s="389"/>
      <c r="B24" s="420" t="s">
        <v>29</v>
      </c>
      <c r="C24" s="161" t="s">
        <v>106</v>
      </c>
      <c r="D24" s="392"/>
      <c r="E24" s="392"/>
      <c r="F24" s="392"/>
      <c r="G24" s="392"/>
    </row>
    <row r="25" spans="1:7" s="287" customFormat="1" ht="12" customHeight="1">
      <c r="A25" s="277" t="s">
        <v>213</v>
      </c>
      <c r="B25" s="283"/>
      <c r="C25" s="149" t="s">
        <v>409</v>
      </c>
      <c r="D25" s="303"/>
      <c r="E25" s="303">
        <v>12015</v>
      </c>
      <c r="F25" s="303">
        <v>12015</v>
      </c>
      <c r="G25" s="303">
        <v>5016</v>
      </c>
    </row>
    <row r="26" spans="1:7" s="287" customFormat="1" ht="12" customHeight="1">
      <c r="A26" s="277" t="s">
        <v>47</v>
      </c>
      <c r="B26" s="321"/>
      <c r="C26" s="149" t="s">
        <v>410</v>
      </c>
      <c r="D26" s="322">
        <f>+D8+D17+D22+D25</f>
        <v>0</v>
      </c>
      <c r="E26" s="322">
        <f>+E8+E17+E22+E25</f>
        <v>12015</v>
      </c>
      <c r="F26" s="322">
        <f>+F8+F17+F22+F25</f>
        <v>12015</v>
      </c>
      <c r="G26" s="322">
        <f>+G8+G17+G22+G25</f>
        <v>5016</v>
      </c>
    </row>
    <row r="27" spans="1:7" s="292" customFormat="1" ht="12" customHeight="1">
      <c r="A27" s="394" t="s">
        <v>77</v>
      </c>
      <c r="B27" s="421"/>
      <c r="C27" s="354" t="s">
        <v>411</v>
      </c>
      <c r="D27" s="397">
        <f>+D28+D29</f>
        <v>0</v>
      </c>
      <c r="E27" s="397"/>
      <c r="F27" s="397">
        <f>+F28+F29</f>
        <v>0</v>
      </c>
      <c r="G27" s="397">
        <f>+G28+G29</f>
        <v>0</v>
      </c>
    </row>
    <row r="28" spans="1:7" s="292" customFormat="1" ht="15" customHeight="1">
      <c r="A28" s="295"/>
      <c r="B28" s="305" t="s">
        <v>79</v>
      </c>
      <c r="C28" s="157" t="s">
        <v>412</v>
      </c>
      <c r="D28" s="296"/>
      <c r="E28" s="296"/>
      <c r="F28" s="296"/>
      <c r="G28" s="296"/>
    </row>
    <row r="29" spans="1:7" s="292" customFormat="1" ht="15" customHeight="1">
      <c r="A29" s="399"/>
      <c r="B29" s="312" t="s">
        <v>91</v>
      </c>
      <c r="C29" s="422" t="s">
        <v>413</v>
      </c>
      <c r="D29" s="313"/>
      <c r="E29" s="313"/>
      <c r="F29" s="313"/>
      <c r="G29" s="313"/>
    </row>
    <row r="30" spans="1:7" ht="15.75">
      <c r="A30" s="326" t="s">
        <v>235</v>
      </c>
      <c r="B30" s="423"/>
      <c r="C30" s="424" t="s">
        <v>414</v>
      </c>
      <c r="D30" s="317"/>
      <c r="E30" s="317"/>
      <c r="F30" s="317"/>
      <c r="G30" s="317"/>
    </row>
    <row r="31" spans="1:7" s="279" customFormat="1" ht="16.5" customHeight="1">
      <c r="A31" s="326" t="s">
        <v>107</v>
      </c>
      <c r="B31" s="425"/>
      <c r="C31" s="426" t="s">
        <v>415</v>
      </c>
      <c r="D31" s="322">
        <f>+D26+D27+D30</f>
        <v>0</v>
      </c>
      <c r="E31" s="322">
        <f>+E26+E27+E30</f>
        <v>12015</v>
      </c>
      <c r="F31" s="322">
        <f>+F26+F27+F30</f>
        <v>12015</v>
      </c>
      <c r="G31" s="322">
        <f>+G26+G27+G30</f>
        <v>5016</v>
      </c>
    </row>
    <row r="32" spans="1:7" s="338" customFormat="1" ht="12" customHeight="1">
      <c r="A32" s="329"/>
      <c r="B32" s="329"/>
      <c r="C32" s="330"/>
      <c r="D32" s="331"/>
      <c r="E32" s="331"/>
      <c r="F32" s="331"/>
      <c r="G32" s="331"/>
    </row>
    <row r="33" spans="1:7" ht="12" customHeight="1">
      <c r="A33" s="332"/>
      <c r="B33" s="333"/>
      <c r="C33" s="333"/>
      <c r="D33" s="334"/>
      <c r="E33" s="334"/>
      <c r="F33" s="334"/>
      <c r="G33" s="334"/>
    </row>
    <row r="34" spans="1:7" ht="12" customHeight="1">
      <c r="A34" s="335"/>
      <c r="B34" s="336"/>
      <c r="C34" s="337" t="s">
        <v>287</v>
      </c>
      <c r="D34" s="322"/>
      <c r="E34" s="322"/>
      <c r="F34" s="322"/>
      <c r="G34" s="322"/>
    </row>
    <row r="35" spans="1:7" ht="12" customHeight="1">
      <c r="A35" s="277" t="s">
        <v>11</v>
      </c>
      <c r="B35" s="149"/>
      <c r="C35" s="149" t="s">
        <v>366</v>
      </c>
      <c r="D35" s="285">
        <f>SUM(D36:D40)</f>
        <v>0</v>
      </c>
      <c r="E35" s="285">
        <f>SUM(E36:E40)</f>
        <v>12015</v>
      </c>
      <c r="F35" s="285">
        <f>SUM(F36:F40)</f>
        <v>12015</v>
      </c>
      <c r="G35" s="285">
        <f>SUM(G36:G40)</f>
        <v>3436</v>
      </c>
    </row>
    <row r="36" spans="1:7" ht="12" customHeight="1">
      <c r="A36" s="314"/>
      <c r="B36" s="339" t="s">
        <v>158</v>
      </c>
      <c r="C36" s="202" t="s">
        <v>159</v>
      </c>
      <c r="D36" s="315"/>
      <c r="E36" s="315">
        <v>7064</v>
      </c>
      <c r="F36" s="315">
        <v>7064</v>
      </c>
      <c r="G36" s="315">
        <v>2287</v>
      </c>
    </row>
    <row r="37" spans="1:7" ht="12" customHeight="1">
      <c r="A37" s="288"/>
      <c r="B37" s="308" t="s">
        <v>162</v>
      </c>
      <c r="C37" s="107" t="s">
        <v>163</v>
      </c>
      <c r="D37" s="291"/>
      <c r="E37" s="291">
        <v>1785</v>
      </c>
      <c r="F37" s="291">
        <v>1785</v>
      </c>
      <c r="G37" s="291">
        <v>589</v>
      </c>
    </row>
    <row r="38" spans="1:7" ht="12" customHeight="1">
      <c r="A38" s="288"/>
      <c r="B38" s="308" t="s">
        <v>164</v>
      </c>
      <c r="C38" s="107" t="s">
        <v>165</v>
      </c>
      <c r="D38" s="291"/>
      <c r="E38" s="291">
        <v>3166</v>
      </c>
      <c r="F38" s="291">
        <v>3166</v>
      </c>
      <c r="G38" s="291">
        <v>560</v>
      </c>
    </row>
    <row r="39" spans="1:7" s="338" customFormat="1" ht="12" customHeight="1">
      <c r="A39" s="288"/>
      <c r="B39" s="308" t="s">
        <v>168</v>
      </c>
      <c r="C39" s="107" t="s">
        <v>169</v>
      </c>
      <c r="D39" s="291"/>
      <c r="E39" s="291"/>
      <c r="F39" s="291"/>
      <c r="G39" s="291"/>
    </row>
    <row r="40" spans="1:7" ht="12" customHeight="1">
      <c r="A40" s="288"/>
      <c r="B40" s="308" t="s">
        <v>171</v>
      </c>
      <c r="C40" s="107" t="s">
        <v>172</v>
      </c>
      <c r="D40" s="291"/>
      <c r="E40" s="291"/>
      <c r="F40" s="291"/>
      <c r="G40" s="291"/>
    </row>
    <row r="41" spans="1:7" ht="12" customHeight="1">
      <c r="A41" s="277" t="s">
        <v>13</v>
      </c>
      <c r="B41" s="149"/>
      <c r="C41" s="149" t="s">
        <v>416</v>
      </c>
      <c r="D41" s="285">
        <f>SUM(D42:D45)</f>
        <v>0</v>
      </c>
      <c r="E41" s="285"/>
      <c r="F41" s="285">
        <f>SUM(F42:F45)</f>
        <v>0</v>
      </c>
      <c r="G41" s="285">
        <f>SUM(G42:G45)</f>
        <v>0</v>
      </c>
    </row>
    <row r="42" spans="1:7" ht="12" customHeight="1">
      <c r="A42" s="314"/>
      <c r="B42" s="339" t="s">
        <v>15</v>
      </c>
      <c r="C42" s="202" t="s">
        <v>188</v>
      </c>
      <c r="D42" s="315"/>
      <c r="E42" s="315"/>
      <c r="F42" s="315"/>
      <c r="G42" s="315"/>
    </row>
    <row r="43" spans="1:7" ht="12" customHeight="1">
      <c r="A43" s="288"/>
      <c r="B43" s="308" t="s">
        <v>19</v>
      </c>
      <c r="C43" s="107" t="s">
        <v>192</v>
      </c>
      <c r="D43" s="291"/>
      <c r="E43" s="291"/>
      <c r="F43" s="291"/>
      <c r="G43" s="291"/>
    </row>
    <row r="44" spans="1:7" ht="15" customHeight="1">
      <c r="A44" s="288"/>
      <c r="B44" s="308" t="s">
        <v>195</v>
      </c>
      <c r="C44" s="107" t="s">
        <v>417</v>
      </c>
      <c r="D44" s="291"/>
      <c r="E44" s="291"/>
      <c r="F44" s="291"/>
      <c r="G44" s="291"/>
    </row>
    <row r="45" spans="1:7" ht="15.75">
      <c r="A45" s="288"/>
      <c r="B45" s="308" t="s">
        <v>199</v>
      </c>
      <c r="C45" s="107" t="s">
        <v>418</v>
      </c>
      <c r="D45" s="291"/>
      <c r="E45" s="291"/>
      <c r="F45" s="291"/>
      <c r="G45" s="291"/>
    </row>
    <row r="46" spans="1:7" ht="15" customHeight="1">
      <c r="A46" s="277" t="s">
        <v>25</v>
      </c>
      <c r="B46" s="149"/>
      <c r="C46" s="149" t="s">
        <v>419</v>
      </c>
      <c r="D46" s="303"/>
      <c r="E46" s="303"/>
      <c r="F46" s="303"/>
      <c r="G46" s="303"/>
    </row>
    <row r="47" spans="1:7" ht="14.25" customHeight="1">
      <c r="A47" s="326" t="s">
        <v>213</v>
      </c>
      <c r="B47" s="423"/>
      <c r="C47" s="424" t="s">
        <v>420</v>
      </c>
      <c r="D47" s="317"/>
      <c r="E47" s="317"/>
      <c r="F47" s="317"/>
      <c r="G47" s="317">
        <v>1200</v>
      </c>
    </row>
    <row r="48" spans="1:7" ht="15.75">
      <c r="A48" s="277" t="s">
        <v>47</v>
      </c>
      <c r="B48" s="316"/>
      <c r="C48" s="427" t="s">
        <v>421</v>
      </c>
      <c r="D48" s="285">
        <f>+D35+D41+D46+D47</f>
        <v>0</v>
      </c>
      <c r="E48" s="285">
        <f>+E35+E41+E46+E47</f>
        <v>12015</v>
      </c>
      <c r="F48" s="285">
        <f>+F35+F41+F46+F47</f>
        <v>12015</v>
      </c>
      <c r="G48" s="285">
        <f>+G35+G41+G46+G47</f>
        <v>4636</v>
      </c>
    </row>
    <row r="49" spans="1:7" ht="15.75">
      <c r="A49" s="413"/>
      <c r="B49" s="428"/>
      <c r="C49" s="428"/>
      <c r="D49" s="334"/>
      <c r="E49" s="334"/>
      <c r="F49" s="334"/>
      <c r="G49" s="334"/>
    </row>
    <row r="50" spans="1:7" ht="15.75">
      <c r="A50" s="365" t="s">
        <v>393</v>
      </c>
      <c r="B50" s="366"/>
      <c r="C50" s="367"/>
      <c r="D50" s="368"/>
      <c r="E50" s="368"/>
      <c r="F50" s="368">
        <v>11</v>
      </c>
      <c r="G50" s="368">
        <v>10</v>
      </c>
    </row>
    <row r="51" spans="1:7" ht="15.75">
      <c r="A51" s="365" t="s">
        <v>394</v>
      </c>
      <c r="B51" s="366"/>
      <c r="C51" s="367"/>
      <c r="D51" s="368"/>
      <c r="E51" s="368"/>
      <c r="F51" s="368"/>
      <c r="G51" s="368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4" r:id="rId1"/>
  <headerFooter alignWithMargins="0">
    <oddHeader xml:space="preserve">&amp;R10.1 számú melléklet a 14/2013.(XI.15.) önkormányzati rendelethez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H51"/>
  <sheetViews>
    <sheetView view="pageBreakPreview" zoomScaleSheetLayoutView="100" workbookViewId="0" topLeftCell="A1">
      <selection activeCell="E1" sqref="E1"/>
    </sheetView>
  </sheetViews>
  <sheetFormatPr defaultColWidth="9.00390625" defaultRowHeight="12.75"/>
  <cols>
    <col min="1" max="1" width="9.625" style="369" customWidth="1"/>
    <col min="2" max="2" width="9.625" style="260" customWidth="1"/>
    <col min="3" max="3" width="72.00390625" style="260" customWidth="1"/>
    <col min="4" max="5" width="14.50390625" style="260" customWidth="1"/>
    <col min="6" max="6" width="15.875" style="260" customWidth="1"/>
    <col min="7" max="7" width="0" style="260" hidden="1" customWidth="1"/>
    <col min="8" max="255" width="9.375" style="260" customWidth="1"/>
    <col min="256" max="16384" width="12.875" style="0" customWidth="1"/>
  </cols>
  <sheetData>
    <row r="1" spans="1:7" s="265" customFormat="1" ht="21" customHeight="1">
      <c r="A1" s="261"/>
      <c r="B1" s="262"/>
      <c r="C1" s="370"/>
      <c r="D1" s="371"/>
      <c r="E1" s="371"/>
      <c r="F1" s="371"/>
      <c r="G1"/>
    </row>
    <row r="2" spans="1:7" s="268" customFormat="1" ht="25.5" customHeight="1">
      <c r="A2" s="447" t="s">
        <v>395</v>
      </c>
      <c r="B2" s="447"/>
      <c r="C2" s="372" t="s">
        <v>436</v>
      </c>
      <c r="D2" s="373"/>
      <c r="E2" s="373"/>
      <c r="F2" s="373"/>
      <c r="G2" s="373" t="s">
        <v>428</v>
      </c>
    </row>
    <row r="3" spans="1:7" s="268" customFormat="1" ht="15.75">
      <c r="A3" s="269" t="s">
        <v>345</v>
      </c>
      <c r="B3" s="270"/>
      <c r="C3" s="374" t="s">
        <v>437</v>
      </c>
      <c r="D3" s="375"/>
      <c r="E3" s="375"/>
      <c r="F3" s="375"/>
      <c r="G3" s="375"/>
    </row>
    <row r="4" spans="1:7" s="275" customFormat="1" ht="15.75" customHeight="1">
      <c r="A4" s="273"/>
      <c r="B4" s="273"/>
      <c r="C4" s="273"/>
      <c r="D4" s="274"/>
      <c r="E4" s="274"/>
      <c r="F4" s="274"/>
      <c r="G4" s="274" t="s">
        <v>348</v>
      </c>
    </row>
    <row r="5" spans="1:8" ht="42" customHeight="1">
      <c r="A5" s="448" t="s">
        <v>349</v>
      </c>
      <c r="B5" s="448"/>
      <c r="C5" s="276" t="s">
        <v>350</v>
      </c>
      <c r="D5" s="8" t="s">
        <v>5</v>
      </c>
      <c r="E5" s="8" t="s">
        <v>8</v>
      </c>
      <c r="F5" s="8" t="s">
        <v>9</v>
      </c>
      <c r="G5" s="429" t="s">
        <v>435</v>
      </c>
      <c r="H5" s="430"/>
    </row>
    <row r="6" spans="1:7" s="279" customFormat="1" ht="12.75" customHeight="1">
      <c r="A6" s="277">
        <v>1</v>
      </c>
      <c r="B6" s="278">
        <v>2</v>
      </c>
      <c r="C6" s="278">
        <v>3</v>
      </c>
      <c r="D6" s="11">
        <v>3</v>
      </c>
      <c r="E6" s="10">
        <v>5</v>
      </c>
      <c r="F6" s="10"/>
      <c r="G6" s="11">
        <v>6</v>
      </c>
    </row>
    <row r="7" spans="1:7" s="279" customFormat="1" ht="15.75" customHeight="1">
      <c r="A7" s="280"/>
      <c r="B7" s="281"/>
      <c r="C7" s="281" t="s">
        <v>286</v>
      </c>
      <c r="D7" s="418"/>
      <c r="E7" s="418"/>
      <c r="F7" s="418"/>
      <c r="G7" s="418"/>
    </row>
    <row r="8" spans="1:7" s="287" customFormat="1" ht="12" customHeight="1">
      <c r="A8" s="277" t="s">
        <v>11</v>
      </c>
      <c r="B8" s="283"/>
      <c r="C8" s="377" t="s">
        <v>398</v>
      </c>
      <c r="D8" s="285">
        <f>SUM(D9:D16)</f>
        <v>0</v>
      </c>
      <c r="E8" s="285">
        <f>SUM(E9:E16)</f>
        <v>131</v>
      </c>
      <c r="F8" s="285">
        <f>SUM(F9:F16)</f>
        <v>131</v>
      </c>
      <c r="G8" s="285">
        <f>SUM(G9:G16)</f>
        <v>0</v>
      </c>
    </row>
    <row r="9" spans="1:7" s="287" customFormat="1" ht="12" customHeight="1">
      <c r="A9" s="295"/>
      <c r="B9" s="289" t="s">
        <v>158</v>
      </c>
      <c r="C9" s="157" t="s">
        <v>28</v>
      </c>
      <c r="D9" s="296"/>
      <c r="E9" s="296"/>
      <c r="F9" s="296"/>
      <c r="G9" s="296"/>
    </row>
    <row r="10" spans="1:7" s="287" customFormat="1" ht="12" customHeight="1">
      <c r="A10" s="288"/>
      <c r="B10" s="289" t="s">
        <v>162</v>
      </c>
      <c r="C10" s="107" t="s">
        <v>30</v>
      </c>
      <c r="D10" s="291"/>
      <c r="E10" s="291">
        <v>131</v>
      </c>
      <c r="F10" s="291">
        <v>131</v>
      </c>
      <c r="G10" s="291"/>
    </row>
    <row r="11" spans="1:7" s="287" customFormat="1" ht="12" customHeight="1">
      <c r="A11" s="288"/>
      <c r="B11" s="289" t="s">
        <v>164</v>
      </c>
      <c r="C11" s="107" t="s">
        <v>32</v>
      </c>
      <c r="D11" s="291"/>
      <c r="E11" s="291"/>
      <c r="F11" s="291"/>
      <c r="G11" s="291"/>
    </row>
    <row r="12" spans="1:7" s="287" customFormat="1" ht="12" customHeight="1">
      <c r="A12" s="288"/>
      <c r="B12" s="289" t="s">
        <v>168</v>
      </c>
      <c r="C12" s="107" t="s">
        <v>34</v>
      </c>
      <c r="D12" s="291"/>
      <c r="E12" s="291"/>
      <c r="F12" s="291"/>
      <c r="G12" s="291"/>
    </row>
    <row r="13" spans="1:7" s="287" customFormat="1" ht="12" customHeight="1">
      <c r="A13" s="288"/>
      <c r="B13" s="289" t="s">
        <v>399</v>
      </c>
      <c r="C13" s="159" t="s">
        <v>36</v>
      </c>
      <c r="D13" s="291"/>
      <c r="E13" s="291"/>
      <c r="F13" s="291"/>
      <c r="G13" s="291"/>
    </row>
    <row r="14" spans="1:7" s="287" customFormat="1" ht="12" customHeight="1">
      <c r="A14" s="297"/>
      <c r="B14" s="289" t="s">
        <v>173</v>
      </c>
      <c r="C14" s="107" t="s">
        <v>400</v>
      </c>
      <c r="D14" s="298"/>
      <c r="E14" s="298"/>
      <c r="F14" s="298"/>
      <c r="G14" s="298"/>
    </row>
    <row r="15" spans="1:7" s="292" customFormat="1" ht="12" customHeight="1">
      <c r="A15" s="288"/>
      <c r="B15" s="289" t="s">
        <v>175</v>
      </c>
      <c r="C15" s="107" t="s">
        <v>401</v>
      </c>
      <c r="D15" s="291"/>
      <c r="E15" s="291"/>
      <c r="F15" s="291"/>
      <c r="G15" s="291"/>
    </row>
    <row r="16" spans="1:7" s="292" customFormat="1" ht="12" customHeight="1">
      <c r="A16" s="299"/>
      <c r="B16" s="300" t="s">
        <v>177</v>
      </c>
      <c r="C16" s="159" t="s">
        <v>402</v>
      </c>
      <c r="D16" s="301"/>
      <c r="E16" s="301"/>
      <c r="F16" s="301"/>
      <c r="G16" s="301"/>
    </row>
    <row r="17" spans="1:7" s="287" customFormat="1" ht="12" customHeight="1">
      <c r="A17" s="277" t="s">
        <v>13</v>
      </c>
      <c r="B17" s="283"/>
      <c r="C17" s="377" t="s">
        <v>403</v>
      </c>
      <c r="D17" s="285">
        <f>SUM(D18:D21)</f>
        <v>0</v>
      </c>
      <c r="E17" s="285">
        <f>SUM(E18:E21)</f>
        <v>0</v>
      </c>
      <c r="F17" s="285"/>
      <c r="G17" s="285">
        <f>SUM(G18:G21)</f>
        <v>0</v>
      </c>
    </row>
    <row r="18" spans="1:7" s="292" customFormat="1" ht="12" customHeight="1">
      <c r="A18" s="288"/>
      <c r="B18" s="289" t="s">
        <v>15</v>
      </c>
      <c r="C18" s="202" t="s">
        <v>432</v>
      </c>
      <c r="D18" s="291"/>
      <c r="E18" s="291"/>
      <c r="F18" s="291"/>
      <c r="G18" s="291"/>
    </row>
    <row r="19" spans="1:7" s="292" customFormat="1" ht="12" customHeight="1">
      <c r="A19" s="288"/>
      <c r="B19" s="289" t="s">
        <v>19</v>
      </c>
      <c r="C19" s="107" t="s">
        <v>407</v>
      </c>
      <c r="D19" s="291"/>
      <c r="E19" s="291"/>
      <c r="F19" s="291"/>
      <c r="G19" s="291"/>
    </row>
    <row r="20" spans="1:7" s="292" customFormat="1" ht="12" customHeight="1">
      <c r="A20" s="288"/>
      <c r="B20" s="289" t="s">
        <v>21</v>
      </c>
      <c r="C20" s="107" t="s">
        <v>406</v>
      </c>
      <c r="D20" s="291"/>
      <c r="E20" s="291"/>
      <c r="F20" s="291"/>
      <c r="G20" s="291"/>
    </row>
    <row r="21" spans="1:7" s="292" customFormat="1" ht="12" customHeight="1">
      <c r="A21" s="288"/>
      <c r="B21" s="289" t="s">
        <v>23</v>
      </c>
      <c r="C21" s="107" t="s">
        <v>407</v>
      </c>
      <c r="D21" s="291"/>
      <c r="E21" s="291"/>
      <c r="F21" s="291"/>
      <c r="G21" s="291"/>
    </row>
    <row r="22" spans="1:7" s="292" customFormat="1" ht="12" customHeight="1">
      <c r="A22" s="277" t="s">
        <v>25</v>
      </c>
      <c r="B22" s="149"/>
      <c r="C22" s="149" t="s">
        <v>408</v>
      </c>
      <c r="D22" s="285">
        <f>+D23+D24</f>
        <v>0</v>
      </c>
      <c r="E22" s="285">
        <f>+E23+E24</f>
        <v>0</v>
      </c>
      <c r="F22" s="285"/>
      <c r="G22" s="285">
        <f>+G23+G24</f>
        <v>0</v>
      </c>
    </row>
    <row r="23" spans="1:7" s="287" customFormat="1" ht="12" customHeight="1">
      <c r="A23" s="295"/>
      <c r="B23" s="419" t="s">
        <v>27</v>
      </c>
      <c r="C23" s="157" t="s">
        <v>104</v>
      </c>
      <c r="D23" s="296"/>
      <c r="E23" s="296"/>
      <c r="F23" s="296"/>
      <c r="G23" s="296"/>
    </row>
    <row r="24" spans="1:7" s="287" customFormat="1" ht="12" customHeight="1">
      <c r="A24" s="389"/>
      <c r="B24" s="420" t="s">
        <v>29</v>
      </c>
      <c r="C24" s="161" t="s">
        <v>106</v>
      </c>
      <c r="D24" s="392"/>
      <c r="E24" s="392"/>
      <c r="F24" s="392"/>
      <c r="G24" s="392"/>
    </row>
    <row r="25" spans="1:7" s="287" customFormat="1" ht="12" customHeight="1">
      <c r="A25" s="277" t="s">
        <v>213</v>
      </c>
      <c r="B25" s="283"/>
      <c r="C25" s="149" t="s">
        <v>409</v>
      </c>
      <c r="D25" s="303"/>
      <c r="E25" s="303">
        <v>6728</v>
      </c>
      <c r="F25" s="303">
        <v>6728</v>
      </c>
      <c r="G25" s="303">
        <v>2276</v>
      </c>
    </row>
    <row r="26" spans="1:7" s="287" customFormat="1" ht="12" customHeight="1">
      <c r="A26" s="277" t="s">
        <v>47</v>
      </c>
      <c r="B26" s="321"/>
      <c r="C26" s="149" t="s">
        <v>410</v>
      </c>
      <c r="D26" s="322">
        <f>+D8+D17+D22+D25</f>
        <v>0</v>
      </c>
      <c r="E26" s="322">
        <f>+E8+E17+E22+E25</f>
        <v>6859</v>
      </c>
      <c r="F26" s="322">
        <f>+F8+F17+F22+F25</f>
        <v>6859</v>
      </c>
      <c r="G26" s="322">
        <f>+G8+G17+G22+G25</f>
        <v>2276</v>
      </c>
    </row>
    <row r="27" spans="1:7" s="292" customFormat="1" ht="12" customHeight="1">
      <c r="A27" s="394" t="s">
        <v>77</v>
      </c>
      <c r="B27" s="421"/>
      <c r="C27" s="354" t="s">
        <v>411</v>
      </c>
      <c r="D27" s="397">
        <f>+D28+D29</f>
        <v>0</v>
      </c>
      <c r="E27" s="397">
        <f>+E28+E29</f>
        <v>0</v>
      </c>
      <c r="F27" s="397"/>
      <c r="G27" s="397">
        <f>+G28+G29</f>
        <v>0</v>
      </c>
    </row>
    <row r="28" spans="1:7" s="292" customFormat="1" ht="15" customHeight="1">
      <c r="A28" s="295"/>
      <c r="B28" s="305" t="s">
        <v>79</v>
      </c>
      <c r="C28" s="157" t="s">
        <v>412</v>
      </c>
      <c r="D28" s="296"/>
      <c r="E28" s="296"/>
      <c r="F28" s="296"/>
      <c r="G28" s="296"/>
    </row>
    <row r="29" spans="1:7" s="292" customFormat="1" ht="15" customHeight="1">
      <c r="A29" s="399"/>
      <c r="B29" s="312" t="s">
        <v>91</v>
      </c>
      <c r="C29" s="422" t="s">
        <v>413</v>
      </c>
      <c r="D29" s="313"/>
      <c r="E29" s="313"/>
      <c r="F29" s="313"/>
      <c r="G29" s="313"/>
    </row>
    <row r="30" spans="1:7" ht="15.75">
      <c r="A30" s="326" t="s">
        <v>235</v>
      </c>
      <c r="B30" s="423"/>
      <c r="C30" s="424" t="s">
        <v>414</v>
      </c>
      <c r="D30" s="317"/>
      <c r="E30" s="317"/>
      <c r="F30" s="317"/>
      <c r="G30" s="317"/>
    </row>
    <row r="31" spans="1:7" s="279" customFormat="1" ht="16.5" customHeight="1">
      <c r="A31" s="326" t="s">
        <v>107</v>
      </c>
      <c r="B31" s="425"/>
      <c r="C31" s="426" t="s">
        <v>415</v>
      </c>
      <c r="D31" s="322">
        <f>+D26+D27+D30</f>
        <v>0</v>
      </c>
      <c r="E31" s="322">
        <f>+E26+E27+E30</f>
        <v>6859</v>
      </c>
      <c r="F31" s="322">
        <f>+F26+F27+F30</f>
        <v>6859</v>
      </c>
      <c r="G31" s="322">
        <f>+G26+G27+G30</f>
        <v>2276</v>
      </c>
    </row>
    <row r="32" spans="1:7" s="338" customFormat="1" ht="12" customHeight="1">
      <c r="A32" s="329"/>
      <c r="B32" s="329"/>
      <c r="C32" s="330"/>
      <c r="D32" s="331"/>
      <c r="E32" s="331"/>
      <c r="F32" s="331"/>
      <c r="G32" s="331"/>
    </row>
    <row r="33" spans="1:7" ht="12" customHeight="1">
      <c r="A33" s="332"/>
      <c r="B33" s="333"/>
      <c r="C33" s="333"/>
      <c r="D33" s="334"/>
      <c r="E33" s="334"/>
      <c r="F33" s="334"/>
      <c r="G33" s="334"/>
    </row>
    <row r="34" spans="1:7" ht="12" customHeight="1">
      <c r="A34" s="335"/>
      <c r="B34" s="336"/>
      <c r="C34" s="337" t="s">
        <v>287</v>
      </c>
      <c r="D34" s="322"/>
      <c r="E34" s="322"/>
      <c r="F34" s="322"/>
      <c r="G34" s="322"/>
    </row>
    <row r="35" spans="1:7" ht="12" customHeight="1">
      <c r="A35" s="277" t="s">
        <v>11</v>
      </c>
      <c r="B35" s="149"/>
      <c r="C35" s="149" t="s">
        <v>366</v>
      </c>
      <c r="D35" s="285">
        <f>SUM(D36:D40)</f>
        <v>0</v>
      </c>
      <c r="E35" s="285">
        <f>SUM(E36:E40)</f>
        <v>6859</v>
      </c>
      <c r="F35" s="285">
        <f>SUM(F36:F40)</f>
        <v>6859</v>
      </c>
      <c r="G35" s="285">
        <f>SUM(G36:G40)</f>
        <v>1416</v>
      </c>
    </row>
    <row r="36" spans="1:7" ht="12" customHeight="1">
      <c r="A36" s="314"/>
      <c r="B36" s="339" t="s">
        <v>158</v>
      </c>
      <c r="C36" s="202" t="s">
        <v>159</v>
      </c>
      <c r="D36" s="315"/>
      <c r="E36" s="315">
        <v>1824</v>
      </c>
      <c r="F36" s="315">
        <v>1824</v>
      </c>
      <c r="G36" s="315">
        <v>297</v>
      </c>
    </row>
    <row r="37" spans="1:7" ht="12" customHeight="1">
      <c r="A37" s="288"/>
      <c r="B37" s="308" t="s">
        <v>162</v>
      </c>
      <c r="C37" s="107" t="s">
        <v>163</v>
      </c>
      <c r="D37" s="291"/>
      <c r="E37" s="291">
        <v>477</v>
      </c>
      <c r="F37" s="291">
        <v>477</v>
      </c>
      <c r="G37" s="291">
        <v>80</v>
      </c>
    </row>
    <row r="38" spans="1:7" ht="12" customHeight="1">
      <c r="A38" s="288"/>
      <c r="B38" s="308" t="s">
        <v>164</v>
      </c>
      <c r="C38" s="107" t="s">
        <v>165</v>
      </c>
      <c r="D38" s="291"/>
      <c r="E38" s="291">
        <v>4558</v>
      </c>
      <c r="F38" s="291">
        <v>4558</v>
      </c>
      <c r="G38" s="291">
        <v>1039</v>
      </c>
    </row>
    <row r="39" spans="1:7" s="338" customFormat="1" ht="12" customHeight="1">
      <c r="A39" s="288"/>
      <c r="B39" s="308" t="s">
        <v>168</v>
      </c>
      <c r="C39" s="107" t="s">
        <v>169</v>
      </c>
      <c r="D39" s="291"/>
      <c r="E39" s="291"/>
      <c r="F39" s="291"/>
      <c r="G39" s="291"/>
    </row>
    <row r="40" spans="1:7" ht="12" customHeight="1">
      <c r="A40" s="288"/>
      <c r="B40" s="308" t="s">
        <v>171</v>
      </c>
      <c r="C40" s="107" t="s">
        <v>172</v>
      </c>
      <c r="D40" s="291"/>
      <c r="E40" s="291"/>
      <c r="F40" s="291"/>
      <c r="G40" s="291"/>
    </row>
    <row r="41" spans="1:7" ht="12" customHeight="1">
      <c r="A41" s="277" t="s">
        <v>13</v>
      </c>
      <c r="B41" s="149"/>
      <c r="C41" s="149" t="s">
        <v>416</v>
      </c>
      <c r="D41" s="285">
        <f>SUM(D42:D45)</f>
        <v>0</v>
      </c>
      <c r="E41" s="285">
        <f>SUM(E42:E45)</f>
        <v>0</v>
      </c>
      <c r="F41" s="285"/>
      <c r="G41" s="285">
        <f>SUM(G42:G45)</f>
        <v>0</v>
      </c>
    </row>
    <row r="42" spans="1:7" ht="12" customHeight="1">
      <c r="A42" s="314"/>
      <c r="B42" s="339" t="s">
        <v>15</v>
      </c>
      <c r="C42" s="202" t="s">
        <v>188</v>
      </c>
      <c r="D42" s="315"/>
      <c r="E42" s="315"/>
      <c r="F42" s="315"/>
      <c r="G42" s="315"/>
    </row>
    <row r="43" spans="1:7" ht="12" customHeight="1">
      <c r="A43" s="288"/>
      <c r="B43" s="308" t="s">
        <v>19</v>
      </c>
      <c r="C43" s="107" t="s">
        <v>192</v>
      </c>
      <c r="D43" s="291"/>
      <c r="E43" s="291"/>
      <c r="F43" s="291"/>
      <c r="G43" s="291"/>
    </row>
    <row r="44" spans="1:7" ht="15" customHeight="1">
      <c r="A44" s="288"/>
      <c r="B44" s="308" t="s">
        <v>195</v>
      </c>
      <c r="C44" s="107" t="s">
        <v>417</v>
      </c>
      <c r="D44" s="291"/>
      <c r="E44" s="291"/>
      <c r="F44" s="291"/>
      <c r="G44" s="291"/>
    </row>
    <row r="45" spans="1:7" ht="15.75">
      <c r="A45" s="288"/>
      <c r="B45" s="308" t="s">
        <v>199</v>
      </c>
      <c r="C45" s="107" t="s">
        <v>418</v>
      </c>
      <c r="D45" s="291"/>
      <c r="E45" s="291"/>
      <c r="F45" s="291"/>
      <c r="G45" s="291"/>
    </row>
    <row r="46" spans="1:7" ht="15" customHeight="1">
      <c r="A46" s="277" t="s">
        <v>25</v>
      </c>
      <c r="B46" s="149"/>
      <c r="C46" s="149" t="s">
        <v>419</v>
      </c>
      <c r="D46" s="303"/>
      <c r="E46" s="303"/>
      <c r="F46" s="303"/>
      <c r="G46" s="303"/>
    </row>
    <row r="47" spans="1:7" ht="14.25" customHeight="1">
      <c r="A47" s="326" t="s">
        <v>213</v>
      </c>
      <c r="B47" s="423"/>
      <c r="C47" s="424" t="s">
        <v>420</v>
      </c>
      <c r="D47" s="317"/>
      <c r="E47" s="317"/>
      <c r="F47" s="317"/>
      <c r="G47" s="317">
        <v>235</v>
      </c>
    </row>
    <row r="48" spans="1:7" ht="15.75">
      <c r="A48" s="277" t="s">
        <v>47</v>
      </c>
      <c r="B48" s="316"/>
      <c r="C48" s="427" t="s">
        <v>421</v>
      </c>
      <c r="D48" s="285">
        <f>+D35+D41+D46+D47</f>
        <v>0</v>
      </c>
      <c r="E48" s="285">
        <f>+E35+E41+E46+E47</f>
        <v>6859</v>
      </c>
      <c r="F48" s="285">
        <f>+F35+F41+F46+F47</f>
        <v>6859</v>
      </c>
      <c r="G48" s="285">
        <f>+G35+G41+G46+G47</f>
        <v>1651</v>
      </c>
    </row>
    <row r="49" spans="1:7" ht="15.75">
      <c r="A49" s="413"/>
      <c r="B49" s="428"/>
      <c r="C49" s="428"/>
      <c r="D49" s="334"/>
      <c r="E49" s="334"/>
      <c r="F49" s="334"/>
      <c r="G49" s="334"/>
    </row>
    <row r="50" spans="1:7" ht="15.75">
      <c r="A50" s="365" t="s">
        <v>393</v>
      </c>
      <c r="B50" s="366"/>
      <c r="C50" s="367"/>
      <c r="D50" s="368"/>
      <c r="E50" s="368">
        <v>2</v>
      </c>
      <c r="F50" s="368"/>
      <c r="G50" s="368">
        <v>2</v>
      </c>
    </row>
    <row r="51" spans="1:7" ht="15.75">
      <c r="A51" s="365" t="s">
        <v>394</v>
      </c>
      <c r="B51" s="366"/>
      <c r="C51" s="367"/>
      <c r="D51" s="368"/>
      <c r="E51" s="368"/>
      <c r="F51" s="368"/>
      <c r="G51" s="368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4" r:id="rId1"/>
  <headerFooter alignWithMargins="0">
    <oddHeader>&amp;R10.2   melléklet a 14/2013.(XI.15.)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G24"/>
    </sheetView>
  </sheetViews>
  <sheetFormatPr defaultColWidth="9.00390625" defaultRowHeight="12.75"/>
  <cols>
    <col min="1" max="1" width="17.125" style="0" customWidth="1"/>
  </cols>
  <sheetData>
    <row r="1" spans="1:7" ht="15.75">
      <c r="A1" s="596" t="s">
        <v>552</v>
      </c>
      <c r="B1" s="596"/>
      <c r="C1" s="596"/>
      <c r="D1" s="596"/>
      <c r="E1" s="596"/>
      <c r="F1" s="596"/>
      <c r="G1" s="596"/>
    </row>
    <row r="2" spans="1:7" ht="12.75">
      <c r="A2" s="597"/>
      <c r="B2" s="597"/>
      <c r="C2" s="597"/>
      <c r="D2" s="597"/>
      <c r="E2" s="597"/>
      <c r="F2" s="597"/>
      <c r="G2" s="597"/>
    </row>
    <row r="3" spans="1:7" ht="15.75">
      <c r="A3" s="598" t="s">
        <v>553</v>
      </c>
      <c r="B3" s="599"/>
      <c r="C3" s="600" t="s">
        <v>554</v>
      </c>
      <c r="D3" s="600"/>
      <c r="E3" s="600"/>
      <c r="F3" s="600"/>
      <c r="G3" s="600"/>
    </row>
    <row r="4" spans="1:7" ht="15.75">
      <c r="A4" s="599"/>
      <c r="B4" s="599"/>
      <c r="C4" s="599"/>
      <c r="D4" s="599"/>
      <c r="E4" s="599"/>
      <c r="F4" s="599"/>
      <c r="G4" s="599"/>
    </row>
    <row r="5" spans="1:7" ht="15.75">
      <c r="A5" s="598" t="s">
        <v>555</v>
      </c>
      <c r="B5" s="599"/>
      <c r="C5" s="600" t="s">
        <v>554</v>
      </c>
      <c r="D5" s="600"/>
      <c r="E5" s="600"/>
      <c r="F5" s="600"/>
      <c r="G5" s="599"/>
    </row>
    <row r="6" spans="1:7" ht="12.75">
      <c r="A6" s="543"/>
      <c r="B6" s="543"/>
      <c r="C6" s="543"/>
      <c r="D6" s="543"/>
      <c r="E6" s="543"/>
      <c r="F6" s="543"/>
      <c r="G6" s="543"/>
    </row>
    <row r="7" spans="1:7" ht="15">
      <c r="A7" s="601" t="s">
        <v>556</v>
      </c>
      <c r="B7" s="602"/>
      <c r="C7" s="602"/>
      <c r="D7" s="603"/>
      <c r="E7" s="603"/>
      <c r="F7" s="603"/>
      <c r="G7" s="603"/>
    </row>
    <row r="8" spans="1:7" ht="15.75" thickBot="1">
      <c r="A8" s="601" t="s">
        <v>557</v>
      </c>
      <c r="B8" s="603"/>
      <c r="C8" s="603"/>
      <c r="D8" s="603"/>
      <c r="E8" s="603"/>
      <c r="F8" s="603"/>
      <c r="G8" s="603"/>
    </row>
    <row r="9" spans="1:7" ht="48.75" thickBot="1">
      <c r="A9" s="431" t="s">
        <v>154</v>
      </c>
      <c r="B9" s="604" t="s">
        <v>558</v>
      </c>
      <c r="C9" s="604" t="s">
        <v>559</v>
      </c>
      <c r="D9" s="604" t="s">
        <v>560</v>
      </c>
      <c r="E9" s="604" t="s">
        <v>561</v>
      </c>
      <c r="F9" s="604" t="s">
        <v>562</v>
      </c>
      <c r="G9" s="605" t="s">
        <v>535</v>
      </c>
    </row>
    <row r="10" spans="1:7" ht="33.75">
      <c r="A10" s="606" t="s">
        <v>11</v>
      </c>
      <c r="B10" s="607" t="s">
        <v>563</v>
      </c>
      <c r="C10" s="608"/>
      <c r="D10" s="608"/>
      <c r="E10" s="608"/>
      <c r="F10" s="608"/>
      <c r="G10" s="609">
        <f>SUM(C10:F10)</f>
        <v>0</v>
      </c>
    </row>
    <row r="11" spans="1:7" ht="67.5">
      <c r="A11" s="610" t="s">
        <v>13</v>
      </c>
      <c r="B11" s="611" t="s">
        <v>564</v>
      </c>
      <c r="C11" s="612"/>
      <c r="D11" s="612"/>
      <c r="E11" s="612"/>
      <c r="F11" s="612"/>
      <c r="G11" s="613">
        <f aca="true" t="shared" si="0" ref="G11:G16">SUM(C11:F11)</f>
        <v>0</v>
      </c>
    </row>
    <row r="12" spans="1:7" ht="67.5">
      <c r="A12" s="610" t="s">
        <v>25</v>
      </c>
      <c r="B12" s="611" t="s">
        <v>565</v>
      </c>
      <c r="C12" s="612"/>
      <c r="D12" s="612"/>
      <c r="E12" s="612"/>
      <c r="F12" s="612"/>
      <c r="G12" s="613">
        <f t="shared" si="0"/>
        <v>0</v>
      </c>
    </row>
    <row r="13" spans="1:7" ht="45">
      <c r="A13" s="610" t="s">
        <v>213</v>
      </c>
      <c r="B13" s="611" t="s">
        <v>566</v>
      </c>
      <c r="C13" s="612"/>
      <c r="D13" s="612"/>
      <c r="E13" s="612"/>
      <c r="F13" s="612"/>
      <c r="G13" s="613">
        <f t="shared" si="0"/>
        <v>0</v>
      </c>
    </row>
    <row r="14" spans="1:7" ht="67.5">
      <c r="A14" s="610" t="s">
        <v>47</v>
      </c>
      <c r="B14" s="611" t="s">
        <v>567</v>
      </c>
      <c r="C14" s="612"/>
      <c r="D14" s="612"/>
      <c r="E14" s="612"/>
      <c r="F14" s="612"/>
      <c r="G14" s="613">
        <f t="shared" si="0"/>
        <v>0</v>
      </c>
    </row>
    <row r="15" spans="1:7" ht="34.5" thickBot="1">
      <c r="A15" s="614" t="s">
        <v>77</v>
      </c>
      <c r="B15" s="615" t="s">
        <v>568</v>
      </c>
      <c r="C15" s="616"/>
      <c r="D15" s="616"/>
      <c r="E15" s="616"/>
      <c r="F15" s="616"/>
      <c r="G15" s="617">
        <f t="shared" si="0"/>
        <v>0</v>
      </c>
    </row>
    <row r="16" spans="1:7" ht="24.75" thickBot="1">
      <c r="A16" s="618" t="s">
        <v>235</v>
      </c>
      <c r="B16" s="619" t="s">
        <v>535</v>
      </c>
      <c r="C16" s="620">
        <f>SUM(C10:C15)</f>
        <v>0</v>
      </c>
      <c r="D16" s="620">
        <f>SUM(D10:D15)</f>
        <v>0</v>
      </c>
      <c r="E16" s="620">
        <f>SUM(E10:E15)</f>
        <v>0</v>
      </c>
      <c r="F16" s="620">
        <f>SUM(F10:F15)</f>
        <v>0</v>
      </c>
      <c r="G16" s="621">
        <f t="shared" si="0"/>
        <v>0</v>
      </c>
    </row>
    <row r="17" spans="1:7" ht="12.75">
      <c r="A17" s="543"/>
      <c r="B17" s="543"/>
      <c r="C17" s="543"/>
      <c r="D17" s="543"/>
      <c r="E17" s="543"/>
      <c r="F17" s="543"/>
      <c r="G17" s="543"/>
    </row>
    <row r="18" spans="1:7" ht="12.75">
      <c r="A18" s="543"/>
      <c r="B18" s="543"/>
      <c r="C18" s="543"/>
      <c r="D18" s="543"/>
      <c r="E18" s="543"/>
      <c r="F18" s="543"/>
      <c r="G18" s="543"/>
    </row>
    <row r="19" spans="1:7" ht="12.75">
      <c r="A19" s="543"/>
      <c r="B19" s="543"/>
      <c r="C19" s="543"/>
      <c r="D19" s="543"/>
      <c r="E19" s="543"/>
      <c r="F19" s="543"/>
      <c r="G19" s="543"/>
    </row>
    <row r="20" spans="1:7" ht="15.75">
      <c r="A20" s="622" t="s">
        <v>569</v>
      </c>
      <c r="B20" s="543"/>
      <c r="C20" s="543"/>
      <c r="D20" s="543"/>
      <c r="E20" s="543"/>
      <c r="F20" s="543"/>
      <c r="G20" s="543"/>
    </row>
    <row r="21" spans="1:7" ht="12.75">
      <c r="A21" s="543"/>
      <c r="B21" s="543"/>
      <c r="C21" s="543"/>
      <c r="D21" s="543"/>
      <c r="E21" s="543"/>
      <c r="F21" s="543"/>
      <c r="G21" s="543"/>
    </row>
    <row r="22" spans="1:7" ht="12.75">
      <c r="A22" s="543"/>
      <c r="B22" s="543"/>
      <c r="C22" s="543"/>
      <c r="D22" s="543"/>
      <c r="E22" s="543"/>
      <c r="F22" s="543"/>
      <c r="G22" s="543"/>
    </row>
    <row r="23" spans="1:7" ht="12.75">
      <c r="A23" s="543"/>
      <c r="B23" s="543"/>
      <c r="C23" s="623"/>
      <c r="D23" s="623"/>
      <c r="E23" s="623"/>
      <c r="F23" s="623"/>
      <c r="G23" s="543"/>
    </row>
    <row r="24" spans="1:7" ht="13.5">
      <c r="A24" s="543"/>
      <c r="B24" s="543"/>
      <c r="C24" s="624"/>
      <c r="D24" s="625" t="s">
        <v>570</v>
      </c>
      <c r="E24" s="625"/>
      <c r="F24" s="624"/>
      <c r="G24" s="543"/>
    </row>
  </sheetData>
  <mergeCells count="3">
    <mergeCell ref="A1:G1"/>
    <mergeCell ref="C3:G3"/>
    <mergeCell ref="C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129"/>
  <sheetViews>
    <sheetView view="pageBreakPreview" zoomScaleSheetLayoutView="100" workbookViewId="0" topLeftCell="B1">
      <selection activeCell="H1" activeCellId="1" sqref="H16:I17 H1"/>
    </sheetView>
  </sheetViews>
  <sheetFormatPr defaultColWidth="9.00390625" defaultRowHeight="12.75"/>
  <cols>
    <col min="1" max="1" width="9.00390625" style="1" customWidth="1"/>
    <col min="2" max="2" width="66.375" style="1" customWidth="1"/>
    <col min="3" max="3" width="14.00390625" style="2" customWidth="1"/>
    <col min="4" max="6" width="14.50390625" style="2" customWidth="1"/>
    <col min="7" max="7" width="15.00390625" style="2" customWidth="1"/>
    <col min="8" max="8" width="0" style="2" hidden="1" customWidth="1"/>
    <col min="9" max="16384" width="9.375" style="3" customWidth="1"/>
  </cols>
  <sheetData>
    <row r="1" spans="1:8" ht="15.75" customHeight="1">
      <c r="A1" s="437" t="s">
        <v>0</v>
      </c>
      <c r="B1" s="437"/>
      <c r="C1" s="437"/>
      <c r="D1" s="4"/>
      <c r="E1" s="4"/>
      <c r="F1" s="4"/>
      <c r="G1" s="4"/>
      <c r="H1" s="4"/>
    </row>
    <row r="2" spans="1:8" ht="15.75" customHeight="1">
      <c r="A2" s="438" t="s">
        <v>1</v>
      </c>
      <c r="B2" s="438"/>
      <c r="C2" s="5"/>
      <c r="D2" s="5"/>
      <c r="E2" s="5"/>
      <c r="F2" s="5"/>
      <c r="G2" s="5"/>
      <c r="H2" s="5" t="s">
        <v>2</v>
      </c>
    </row>
    <row r="3" spans="1:8" ht="42" customHeight="1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261</v>
      </c>
      <c r="G3" s="8" t="s">
        <v>262</v>
      </c>
      <c r="H3" s="8" t="s">
        <v>10</v>
      </c>
    </row>
    <row r="4" spans="1:8" s="12" customFormat="1" ht="12" customHeight="1">
      <c r="A4" s="9">
        <v>1</v>
      </c>
      <c r="B4" s="10">
        <v>2</v>
      </c>
      <c r="C4" s="90">
        <v>3</v>
      </c>
      <c r="D4" s="91">
        <v>4</v>
      </c>
      <c r="E4" s="92">
        <v>5</v>
      </c>
      <c r="F4" s="91">
        <v>6</v>
      </c>
      <c r="G4" s="92">
        <v>7</v>
      </c>
      <c r="H4" s="91">
        <v>8</v>
      </c>
    </row>
    <row r="5" spans="1:8" s="17" customFormat="1" ht="12" customHeight="1">
      <c r="A5" s="148" t="s">
        <v>11</v>
      </c>
      <c r="B5" s="149" t="s">
        <v>12</v>
      </c>
      <c r="C5" s="15">
        <f aca="true" t="shared" si="0" ref="C5:H5">+C6+C11+C20</f>
        <v>124995</v>
      </c>
      <c r="D5" s="15">
        <f t="shared" si="0"/>
        <v>0</v>
      </c>
      <c r="E5" s="15">
        <f t="shared" si="0"/>
        <v>124995</v>
      </c>
      <c r="F5" s="15">
        <f t="shared" si="0"/>
        <v>0</v>
      </c>
      <c r="G5" s="15">
        <f t="shared" si="0"/>
        <v>124995</v>
      </c>
      <c r="H5" s="15">
        <f t="shared" si="0"/>
        <v>79517</v>
      </c>
    </row>
    <row r="6" spans="1:8" s="17" customFormat="1" ht="12" customHeight="1">
      <c r="A6" s="150" t="s">
        <v>13</v>
      </c>
      <c r="B6" s="151" t="s">
        <v>14</v>
      </c>
      <c r="C6" s="20">
        <f aca="true" t="shared" si="1" ref="C6:H6">+C7+C8+C9+C10</f>
        <v>70908</v>
      </c>
      <c r="D6" s="20">
        <f t="shared" si="1"/>
        <v>0</v>
      </c>
      <c r="E6" s="20">
        <f t="shared" si="1"/>
        <v>70908</v>
      </c>
      <c r="F6" s="20">
        <f t="shared" si="1"/>
        <v>0</v>
      </c>
      <c r="G6" s="20">
        <f t="shared" si="1"/>
        <v>70908</v>
      </c>
      <c r="H6" s="20">
        <f t="shared" si="1"/>
        <v>48495</v>
      </c>
    </row>
    <row r="7" spans="1:8" s="17" customFormat="1" ht="12" customHeight="1">
      <c r="A7" s="152" t="s">
        <v>15</v>
      </c>
      <c r="B7" s="153" t="s">
        <v>263</v>
      </c>
      <c r="C7" s="23">
        <v>70508</v>
      </c>
      <c r="D7" s="23"/>
      <c r="E7" s="23">
        <v>70508</v>
      </c>
      <c r="F7" s="23">
        <f>'1.1.sz.mell.'!F7</f>
        <v>0</v>
      </c>
      <c r="G7" s="23">
        <v>70508</v>
      </c>
      <c r="H7" s="23">
        <f>50569-3023</f>
        <v>47546</v>
      </c>
    </row>
    <row r="8" spans="1:8" s="17" customFormat="1" ht="12" customHeight="1">
      <c r="A8" s="152" t="s">
        <v>19</v>
      </c>
      <c r="B8" s="154" t="s">
        <v>264</v>
      </c>
      <c r="C8" s="23"/>
      <c r="D8" s="23"/>
      <c r="E8" s="23"/>
      <c r="F8" s="23"/>
      <c r="G8" s="23"/>
      <c r="H8" s="23"/>
    </row>
    <row r="9" spans="1:8" s="17" customFormat="1" ht="12" customHeight="1">
      <c r="A9" s="152" t="s">
        <v>21</v>
      </c>
      <c r="B9" s="154" t="s">
        <v>22</v>
      </c>
      <c r="C9" s="23">
        <v>400</v>
      </c>
      <c r="D9" s="23"/>
      <c r="E9" s="23">
        <v>400</v>
      </c>
      <c r="F9" s="23"/>
      <c r="G9" s="23">
        <v>400</v>
      </c>
      <c r="H9" s="23">
        <v>722</v>
      </c>
    </row>
    <row r="10" spans="1:8" s="17" customFormat="1" ht="12" customHeight="1">
      <c r="A10" s="152" t="s">
        <v>23</v>
      </c>
      <c r="B10" s="155" t="s">
        <v>24</v>
      </c>
      <c r="C10" s="23"/>
      <c r="D10" s="23"/>
      <c r="E10" s="23"/>
      <c r="F10" s="23"/>
      <c r="G10" s="23"/>
      <c r="H10" s="23">
        <v>227</v>
      </c>
    </row>
    <row r="11" spans="1:8" s="17" customFormat="1" ht="12" customHeight="1">
      <c r="A11" s="150" t="s">
        <v>25</v>
      </c>
      <c r="B11" s="149" t="s">
        <v>26</v>
      </c>
      <c r="C11" s="28">
        <f aca="true" t="shared" si="2" ref="C11:H11">+C12+C13+C14+C15+C16+C17+C18+C19</f>
        <v>50087</v>
      </c>
      <c r="D11" s="28">
        <f t="shared" si="2"/>
        <v>0</v>
      </c>
      <c r="E11" s="28">
        <f t="shared" si="2"/>
        <v>50087</v>
      </c>
      <c r="F11" s="28">
        <f t="shared" si="2"/>
        <v>0</v>
      </c>
      <c r="G11" s="28">
        <f t="shared" si="2"/>
        <v>50087</v>
      </c>
      <c r="H11" s="28">
        <f t="shared" si="2"/>
        <v>28963</v>
      </c>
    </row>
    <row r="12" spans="1:8" s="17" customFormat="1" ht="12" customHeight="1">
      <c r="A12" s="156" t="s">
        <v>27</v>
      </c>
      <c r="B12" s="157" t="s">
        <v>28</v>
      </c>
      <c r="C12" s="31"/>
      <c r="D12" s="31"/>
      <c r="E12" s="31"/>
      <c r="F12" s="31"/>
      <c r="G12" s="31"/>
      <c r="H12" s="31"/>
    </row>
    <row r="13" spans="1:8" s="17" customFormat="1" ht="12" customHeight="1">
      <c r="A13" s="152" t="s">
        <v>29</v>
      </c>
      <c r="B13" s="107" t="s">
        <v>30</v>
      </c>
      <c r="C13" s="33">
        <v>24200</v>
      </c>
      <c r="D13" s="33"/>
      <c r="E13" s="33">
        <v>24200</v>
      </c>
      <c r="F13" s="33"/>
      <c r="G13" s="33">
        <v>24200</v>
      </c>
      <c r="H13" s="33">
        <v>9449</v>
      </c>
    </row>
    <row r="14" spans="1:8" s="17" customFormat="1" ht="12" customHeight="1">
      <c r="A14" s="152" t="s">
        <v>31</v>
      </c>
      <c r="B14" s="107" t="s">
        <v>32</v>
      </c>
      <c r="C14" s="33">
        <v>4150</v>
      </c>
      <c r="D14" s="33"/>
      <c r="E14" s="33">
        <v>4150</v>
      </c>
      <c r="F14" s="33"/>
      <c r="G14" s="33">
        <v>4150</v>
      </c>
      <c r="H14" s="33">
        <v>3136</v>
      </c>
    </row>
    <row r="15" spans="1:8" s="17" customFormat="1" ht="12" customHeight="1">
      <c r="A15" s="152" t="s">
        <v>33</v>
      </c>
      <c r="B15" s="107" t="s">
        <v>34</v>
      </c>
      <c r="C15" s="33">
        <v>12013</v>
      </c>
      <c r="D15" s="33"/>
      <c r="E15" s="33">
        <v>12013</v>
      </c>
      <c r="F15" s="33"/>
      <c r="G15" s="33">
        <v>12013</v>
      </c>
      <c r="H15" s="33">
        <v>9517</v>
      </c>
    </row>
    <row r="16" spans="1:8" s="17" customFormat="1" ht="12" customHeight="1">
      <c r="A16" s="158" t="s">
        <v>35</v>
      </c>
      <c r="B16" s="159" t="s">
        <v>36</v>
      </c>
      <c r="C16" s="36"/>
      <c r="D16" s="36"/>
      <c r="E16" s="36"/>
      <c r="F16" s="36"/>
      <c r="G16" s="36"/>
      <c r="H16" s="36"/>
    </row>
    <row r="17" spans="1:8" s="17" customFormat="1" ht="12" customHeight="1">
      <c r="A17" s="152" t="s">
        <v>37</v>
      </c>
      <c r="B17" s="107" t="s">
        <v>38</v>
      </c>
      <c r="C17" s="33">
        <v>9724</v>
      </c>
      <c r="D17" s="33"/>
      <c r="E17" s="33">
        <v>9724</v>
      </c>
      <c r="F17" s="33"/>
      <c r="G17" s="33">
        <v>9724</v>
      </c>
      <c r="H17" s="33">
        <v>6525</v>
      </c>
    </row>
    <row r="18" spans="1:8" s="17" customFormat="1" ht="12" customHeight="1">
      <c r="A18" s="152" t="s">
        <v>39</v>
      </c>
      <c r="B18" s="107" t="s">
        <v>42</v>
      </c>
      <c r="C18" s="33"/>
      <c r="D18" s="33"/>
      <c r="E18" s="33"/>
      <c r="F18" s="33"/>
      <c r="G18" s="33"/>
      <c r="H18" s="33">
        <v>336</v>
      </c>
    </row>
    <row r="19" spans="1:8" s="17" customFormat="1" ht="12" customHeight="1">
      <c r="A19" s="160" t="s">
        <v>41</v>
      </c>
      <c r="B19" s="161" t="s">
        <v>44</v>
      </c>
      <c r="C19" s="40"/>
      <c r="D19" s="40"/>
      <c r="E19" s="40"/>
      <c r="F19" s="40"/>
      <c r="G19" s="40"/>
      <c r="H19" s="40"/>
    </row>
    <row r="20" spans="1:8" s="17" customFormat="1" ht="12" customHeight="1">
      <c r="A20" s="150" t="s">
        <v>45</v>
      </c>
      <c r="B20" s="149" t="s">
        <v>265</v>
      </c>
      <c r="C20" s="41">
        <v>4000</v>
      </c>
      <c r="D20" s="41"/>
      <c r="E20" s="41">
        <v>4000</v>
      </c>
      <c r="F20" s="41"/>
      <c r="G20" s="41">
        <v>4000</v>
      </c>
      <c r="H20" s="41">
        <v>2059</v>
      </c>
    </row>
    <row r="21" spans="1:8" s="17" customFormat="1" ht="12" customHeight="1">
      <c r="A21" s="150" t="s">
        <v>47</v>
      </c>
      <c r="B21" s="149" t="s">
        <v>266</v>
      </c>
      <c r="C21" s="28">
        <f aca="true" t="shared" si="3" ref="C21:H21">+C22+C23+C24+C25+C26+C27+C28+C29</f>
        <v>169660</v>
      </c>
      <c r="D21" s="28">
        <f t="shared" si="3"/>
        <v>116154</v>
      </c>
      <c r="E21" s="28">
        <f t="shared" si="3"/>
        <v>333117</v>
      </c>
      <c r="F21" s="28">
        <f t="shared" si="3"/>
        <v>3465</v>
      </c>
      <c r="G21" s="28">
        <f t="shared" si="3"/>
        <v>336582</v>
      </c>
      <c r="H21" s="28">
        <f t="shared" si="3"/>
        <v>214090</v>
      </c>
    </row>
    <row r="22" spans="1:8" s="17" customFormat="1" ht="12" customHeight="1">
      <c r="A22" s="162" t="s">
        <v>49</v>
      </c>
      <c r="B22" s="43" t="s">
        <v>50</v>
      </c>
      <c r="C22" s="44">
        <v>37893</v>
      </c>
      <c r="D22" s="44"/>
      <c r="E22" s="44">
        <v>37893</v>
      </c>
      <c r="F22" s="44"/>
      <c r="G22" s="44">
        <v>37893</v>
      </c>
      <c r="H22" s="44">
        <v>28415</v>
      </c>
    </row>
    <row r="23" spans="1:8" s="17" customFormat="1" ht="12" customHeight="1">
      <c r="A23" s="152" t="s">
        <v>51</v>
      </c>
      <c r="B23" s="32" t="s">
        <v>52</v>
      </c>
      <c r="C23" s="33">
        <f>216497-84730</f>
        <v>131767</v>
      </c>
      <c r="D23" s="33">
        <v>126621</v>
      </c>
      <c r="E23" s="33">
        <v>258388</v>
      </c>
      <c r="F23" s="33"/>
      <c r="G23" s="33">
        <v>258388</v>
      </c>
      <c r="H23" s="33">
        <v>174329</v>
      </c>
    </row>
    <row r="24" spans="1:8" s="17" customFormat="1" ht="12" customHeight="1">
      <c r="A24" s="152" t="s">
        <v>62</v>
      </c>
      <c r="B24" s="107" t="s">
        <v>63</v>
      </c>
      <c r="C24" s="33"/>
      <c r="D24" s="33">
        <v>5425</v>
      </c>
      <c r="E24" s="33">
        <v>5425</v>
      </c>
      <c r="F24" s="33">
        <v>250</v>
      </c>
      <c r="G24" s="33">
        <v>5675</v>
      </c>
      <c r="H24" s="33">
        <v>5723</v>
      </c>
    </row>
    <row r="25" spans="1:8" s="17" customFormat="1" ht="12" customHeight="1">
      <c r="A25" s="163" t="s">
        <v>67</v>
      </c>
      <c r="B25" s="107" t="s">
        <v>68</v>
      </c>
      <c r="C25" s="52"/>
      <c r="D25" s="52">
        <v>-18278</v>
      </c>
      <c r="E25" s="52">
        <v>29025</v>
      </c>
      <c r="F25" s="52"/>
      <c r="G25" s="52">
        <v>29025</v>
      </c>
      <c r="H25" s="52"/>
    </row>
    <row r="26" spans="1:8" s="17" customFormat="1" ht="12" customHeight="1">
      <c r="A26" s="163" t="s">
        <v>69</v>
      </c>
      <c r="B26" s="107" t="s">
        <v>267</v>
      </c>
      <c r="C26" s="52"/>
      <c r="D26" s="52">
        <v>764</v>
      </c>
      <c r="E26" s="52">
        <v>764</v>
      </c>
      <c r="F26" s="52">
        <v>3215</v>
      </c>
      <c r="G26" s="52">
        <v>3979</v>
      </c>
      <c r="H26" s="52">
        <v>3175</v>
      </c>
    </row>
    <row r="27" spans="1:8" s="17" customFormat="1" ht="12" customHeight="1">
      <c r="A27" s="152" t="s">
        <v>71</v>
      </c>
      <c r="B27" s="107" t="s">
        <v>268</v>
      </c>
      <c r="C27" s="33"/>
      <c r="D27" s="33">
        <f>1622</f>
        <v>1622</v>
      </c>
      <c r="E27" s="33">
        <v>1622</v>
      </c>
      <c r="F27" s="33"/>
      <c r="G27" s="33">
        <v>1622</v>
      </c>
      <c r="H27" s="33">
        <v>2448</v>
      </c>
    </row>
    <row r="28" spans="1:8" s="17" customFormat="1" ht="12" customHeight="1">
      <c r="A28" s="152" t="s">
        <v>73</v>
      </c>
      <c r="B28" s="107" t="s">
        <v>74</v>
      </c>
      <c r="C28" s="33"/>
      <c r="D28" s="33"/>
      <c r="E28" s="33"/>
      <c r="F28" s="33"/>
      <c r="G28" s="33"/>
      <c r="H28" s="33"/>
    </row>
    <row r="29" spans="1:8" s="17" customFormat="1" ht="12" customHeight="1">
      <c r="A29" s="152" t="s">
        <v>75</v>
      </c>
      <c r="B29" s="164" t="s">
        <v>76</v>
      </c>
      <c r="C29" s="33"/>
      <c r="D29" s="33"/>
      <c r="E29" s="33"/>
      <c r="F29" s="33"/>
      <c r="G29" s="33"/>
      <c r="H29" s="33"/>
    </row>
    <row r="30" spans="1:8" s="17" customFormat="1" ht="12" customHeight="1">
      <c r="A30" s="165" t="s">
        <v>77</v>
      </c>
      <c r="B30" s="149" t="s">
        <v>269</v>
      </c>
      <c r="C30" s="20">
        <f aca="true" t="shared" si="4" ref="C30:H30">+C31+C38</f>
        <v>442086</v>
      </c>
      <c r="D30" s="20">
        <f t="shared" si="4"/>
        <v>6237</v>
      </c>
      <c r="E30" s="20">
        <f t="shared" si="4"/>
        <v>448323</v>
      </c>
      <c r="F30" s="20">
        <f t="shared" si="4"/>
        <v>-7333</v>
      </c>
      <c r="G30" s="20">
        <f t="shared" si="4"/>
        <v>440990</v>
      </c>
      <c r="H30" s="20">
        <f t="shared" si="4"/>
        <v>216593</v>
      </c>
    </row>
    <row r="31" spans="1:8" s="17" customFormat="1" ht="12" customHeight="1">
      <c r="A31" s="166" t="s">
        <v>79</v>
      </c>
      <c r="B31" s="167" t="s">
        <v>80</v>
      </c>
      <c r="C31" s="57">
        <f aca="true" t="shared" si="5" ref="C31:H31">+C32+C33+C34+C35+C36+C37</f>
        <v>165291</v>
      </c>
      <c r="D31" s="57">
        <f t="shared" si="5"/>
        <v>6237</v>
      </c>
      <c r="E31" s="57">
        <f t="shared" si="5"/>
        <v>171528</v>
      </c>
      <c r="F31" s="57">
        <f t="shared" si="5"/>
        <v>-7333</v>
      </c>
      <c r="G31" s="57">
        <f t="shared" si="5"/>
        <v>164195</v>
      </c>
      <c r="H31" s="57">
        <f t="shared" si="5"/>
        <v>133132</v>
      </c>
    </row>
    <row r="32" spans="1:8" s="17" customFormat="1" ht="12" customHeight="1">
      <c r="A32" s="168" t="s">
        <v>81</v>
      </c>
      <c r="B32" s="109" t="s">
        <v>82</v>
      </c>
      <c r="C32" s="23">
        <v>20423</v>
      </c>
      <c r="D32" s="23"/>
      <c r="E32" s="23">
        <v>20423</v>
      </c>
      <c r="F32" s="23">
        <v>-7333</v>
      </c>
      <c r="G32" s="23">
        <v>13090</v>
      </c>
      <c r="H32" s="23">
        <v>9287</v>
      </c>
    </row>
    <row r="33" spans="1:8" s="17" customFormat="1" ht="12" customHeight="1">
      <c r="A33" s="168" t="s">
        <v>83</v>
      </c>
      <c r="B33" s="109" t="s">
        <v>95</v>
      </c>
      <c r="C33" s="23"/>
      <c r="D33" s="23"/>
      <c r="E33" s="23"/>
      <c r="F33" s="23"/>
      <c r="G33" s="23"/>
      <c r="H33" s="23">
        <v>1978</v>
      </c>
    </row>
    <row r="34" spans="1:8" s="17" customFormat="1" ht="12" customHeight="1">
      <c r="A34" s="168" t="s">
        <v>85</v>
      </c>
      <c r="B34" s="109" t="s">
        <v>86</v>
      </c>
      <c r="C34" s="23"/>
      <c r="D34" s="23">
        <v>1370</v>
      </c>
      <c r="E34" s="23">
        <v>1370</v>
      </c>
      <c r="F34" s="23"/>
      <c r="G34" s="23">
        <v>1370</v>
      </c>
      <c r="H34" s="23">
        <v>1933</v>
      </c>
    </row>
    <row r="35" spans="1:8" s="17" customFormat="1" ht="12" customHeight="1">
      <c r="A35" s="168" t="s">
        <v>87</v>
      </c>
      <c r="B35" s="109" t="s">
        <v>98</v>
      </c>
      <c r="C35" s="23">
        <v>21946</v>
      </c>
      <c r="D35" s="23"/>
      <c r="E35" s="23">
        <v>21946</v>
      </c>
      <c r="F35" s="23"/>
      <c r="G35" s="23">
        <v>21946</v>
      </c>
      <c r="H35" s="23"/>
    </row>
    <row r="36" spans="1:8" s="17" customFormat="1" ht="12" customHeight="1">
      <c r="A36" s="168" t="s">
        <v>89</v>
      </c>
      <c r="B36" s="109" t="s">
        <v>270</v>
      </c>
      <c r="C36" s="23">
        <v>122922</v>
      </c>
      <c r="D36" s="23">
        <v>4867</v>
      </c>
      <c r="E36" s="23">
        <v>127789</v>
      </c>
      <c r="F36" s="23"/>
      <c r="G36" s="23">
        <v>127789</v>
      </c>
      <c r="H36" s="23">
        <v>119934</v>
      </c>
    </row>
    <row r="37" spans="1:8" s="17" customFormat="1" ht="12" customHeight="1">
      <c r="A37" s="168"/>
      <c r="B37" s="109"/>
      <c r="C37" s="23"/>
      <c r="D37" s="23"/>
      <c r="E37" s="23"/>
      <c r="F37" s="23"/>
      <c r="G37" s="23"/>
      <c r="H37" s="23"/>
    </row>
    <row r="38" spans="1:8" s="17" customFormat="1" ht="12" customHeight="1">
      <c r="A38" s="168" t="s">
        <v>91</v>
      </c>
      <c r="B38" s="169" t="s">
        <v>92</v>
      </c>
      <c r="C38" s="61">
        <f aca="true" t="shared" si="6" ref="C38:H38">+C39+C40+C41+C42+C43</f>
        <v>276795</v>
      </c>
      <c r="D38" s="61">
        <f t="shared" si="6"/>
        <v>0</v>
      </c>
      <c r="E38" s="61">
        <f t="shared" si="6"/>
        <v>276795</v>
      </c>
      <c r="F38" s="61">
        <f t="shared" si="6"/>
        <v>0</v>
      </c>
      <c r="G38" s="61">
        <f t="shared" si="6"/>
        <v>276795</v>
      </c>
      <c r="H38" s="61">
        <f t="shared" si="6"/>
        <v>83461</v>
      </c>
    </row>
    <row r="39" spans="1:8" s="17" customFormat="1" ht="12" customHeight="1">
      <c r="A39" s="168" t="s">
        <v>93</v>
      </c>
      <c r="B39" s="109" t="s">
        <v>82</v>
      </c>
      <c r="C39" s="23"/>
      <c r="D39" s="23"/>
      <c r="E39" s="23"/>
      <c r="F39" s="23"/>
      <c r="G39" s="23"/>
      <c r="H39" s="23"/>
    </row>
    <row r="40" spans="1:8" s="17" customFormat="1" ht="12" customHeight="1">
      <c r="A40" s="168" t="s">
        <v>94</v>
      </c>
      <c r="B40" s="109" t="s">
        <v>95</v>
      </c>
      <c r="C40" s="23"/>
      <c r="D40" s="23"/>
      <c r="E40" s="23"/>
      <c r="F40" s="23"/>
      <c r="G40" s="23"/>
      <c r="H40" s="23"/>
    </row>
    <row r="41" spans="1:8" s="17" customFormat="1" ht="12" customHeight="1">
      <c r="A41" s="168" t="s">
        <v>96</v>
      </c>
      <c r="B41" s="109" t="s">
        <v>86</v>
      </c>
      <c r="C41" s="23"/>
      <c r="D41" s="23"/>
      <c r="E41" s="23"/>
      <c r="F41" s="23"/>
      <c r="G41" s="23"/>
      <c r="H41" s="23"/>
    </row>
    <row r="42" spans="1:8" s="17" customFormat="1" ht="12" customHeight="1">
      <c r="A42" s="168" t="s">
        <v>97</v>
      </c>
      <c r="B42" s="170" t="s">
        <v>98</v>
      </c>
      <c r="C42" s="23">
        <v>257027</v>
      </c>
      <c r="D42" s="23"/>
      <c r="E42" s="23">
        <v>257027</v>
      </c>
      <c r="F42" s="23"/>
      <c r="G42" s="23">
        <v>257027</v>
      </c>
      <c r="H42" s="23">
        <v>83461</v>
      </c>
    </row>
    <row r="43" spans="1:8" s="17" customFormat="1" ht="12" customHeight="1">
      <c r="A43" s="171" t="s">
        <v>99</v>
      </c>
      <c r="B43" s="172" t="s">
        <v>271</v>
      </c>
      <c r="C43" s="65">
        <v>19768</v>
      </c>
      <c r="D43" s="65"/>
      <c r="E43" s="65">
        <v>19768</v>
      </c>
      <c r="F43" s="65"/>
      <c r="G43" s="65">
        <v>19768</v>
      </c>
      <c r="H43" s="65"/>
    </row>
    <row r="44" spans="1:8" s="17" customFormat="1" ht="12" customHeight="1">
      <c r="A44" s="150" t="s">
        <v>101</v>
      </c>
      <c r="B44" s="173" t="s">
        <v>102</v>
      </c>
      <c r="C44" s="20">
        <f aca="true" t="shared" si="7" ref="C44:H44">+C45+C46</f>
        <v>0</v>
      </c>
      <c r="D44" s="20">
        <f t="shared" si="7"/>
        <v>0</v>
      </c>
      <c r="E44" s="20">
        <f t="shared" si="7"/>
        <v>0</v>
      </c>
      <c r="F44" s="20">
        <f t="shared" si="7"/>
        <v>0</v>
      </c>
      <c r="G44" s="20">
        <f t="shared" si="7"/>
        <v>0</v>
      </c>
      <c r="H44" s="20">
        <f t="shared" si="7"/>
        <v>0</v>
      </c>
    </row>
    <row r="45" spans="1:8" s="17" customFormat="1" ht="12" customHeight="1">
      <c r="A45" s="162" t="s">
        <v>103</v>
      </c>
      <c r="B45" s="154" t="s">
        <v>104</v>
      </c>
      <c r="C45" s="67"/>
      <c r="D45" s="67"/>
      <c r="E45" s="67"/>
      <c r="F45" s="67"/>
      <c r="G45" s="67"/>
      <c r="H45" s="67"/>
    </row>
    <row r="46" spans="1:8" s="17" customFormat="1" ht="12" customHeight="1">
      <c r="A46" s="158" t="s">
        <v>105</v>
      </c>
      <c r="B46" s="174" t="s">
        <v>106</v>
      </c>
      <c r="C46" s="69"/>
      <c r="D46" s="69"/>
      <c r="E46" s="69"/>
      <c r="F46" s="69"/>
      <c r="G46" s="69"/>
      <c r="H46" s="69"/>
    </row>
    <row r="47" spans="1:8" s="17" customFormat="1" ht="12" customHeight="1">
      <c r="A47" s="150" t="s">
        <v>107</v>
      </c>
      <c r="B47" s="173" t="s">
        <v>108</v>
      </c>
      <c r="C47" s="20">
        <f aca="true" t="shared" si="8" ref="C47:H47">+C48+C49+C50</f>
        <v>19198</v>
      </c>
      <c r="D47" s="20">
        <f t="shared" si="8"/>
        <v>5975</v>
      </c>
      <c r="E47" s="20">
        <f t="shared" si="8"/>
        <v>25173</v>
      </c>
      <c r="F47" s="20">
        <f t="shared" si="8"/>
        <v>0</v>
      </c>
      <c r="G47" s="20">
        <f t="shared" si="8"/>
        <v>25173</v>
      </c>
      <c r="H47" s="20">
        <f t="shared" si="8"/>
        <v>20064</v>
      </c>
    </row>
    <row r="48" spans="1:8" s="17" customFormat="1" ht="12" customHeight="1">
      <c r="A48" s="162" t="s">
        <v>109</v>
      </c>
      <c r="B48" s="154" t="s">
        <v>110</v>
      </c>
      <c r="C48" s="67"/>
      <c r="D48" s="67"/>
      <c r="E48" s="67"/>
      <c r="F48" s="67"/>
      <c r="G48" s="67"/>
      <c r="H48" s="67"/>
    </row>
    <row r="49" spans="1:8" s="17" customFormat="1" ht="12" customHeight="1">
      <c r="A49" s="152" t="s">
        <v>111</v>
      </c>
      <c r="B49" s="109" t="s">
        <v>272</v>
      </c>
      <c r="C49" s="33"/>
      <c r="D49" s="33">
        <v>5975</v>
      </c>
      <c r="E49" s="33">
        <v>5975</v>
      </c>
      <c r="F49" s="33"/>
      <c r="G49" s="33">
        <v>5975</v>
      </c>
      <c r="H49" s="33">
        <v>6003</v>
      </c>
    </row>
    <row r="50" spans="1:8" s="17" customFormat="1" ht="12" customHeight="1">
      <c r="A50" s="158" t="s">
        <v>114</v>
      </c>
      <c r="B50" s="174" t="s">
        <v>115</v>
      </c>
      <c r="C50" s="69">
        <v>19198</v>
      </c>
      <c r="D50" s="69"/>
      <c r="E50" s="69">
        <v>19198</v>
      </c>
      <c r="F50" s="69"/>
      <c r="G50" s="69">
        <v>19198</v>
      </c>
      <c r="H50" s="69">
        <v>14061</v>
      </c>
    </row>
    <row r="51" spans="1:8" s="17" customFormat="1" ht="17.25" customHeight="1">
      <c r="A51" s="150" t="s">
        <v>116</v>
      </c>
      <c r="B51" s="175" t="s">
        <v>117</v>
      </c>
      <c r="C51" s="71"/>
      <c r="D51" s="71"/>
      <c r="E51" s="71"/>
      <c r="F51" s="71"/>
      <c r="G51" s="71"/>
      <c r="H51" s="71">
        <v>1063</v>
      </c>
    </row>
    <row r="52" spans="1:8" s="17" customFormat="1" ht="12" customHeight="1">
      <c r="A52" s="150" t="s">
        <v>118</v>
      </c>
      <c r="B52" s="176" t="s">
        <v>119</v>
      </c>
      <c r="C52" s="73">
        <f aca="true" t="shared" si="9" ref="C52:H52">+C6+C11+C20+C21+C30+C44+C47+C51</f>
        <v>755939</v>
      </c>
      <c r="D52" s="73">
        <f t="shared" si="9"/>
        <v>128366</v>
      </c>
      <c r="E52" s="73">
        <f t="shared" si="9"/>
        <v>931608</v>
      </c>
      <c r="F52" s="73">
        <f t="shared" si="9"/>
        <v>-3868</v>
      </c>
      <c r="G52" s="73">
        <f t="shared" si="9"/>
        <v>927740</v>
      </c>
      <c r="H52" s="73">
        <f t="shared" si="9"/>
        <v>531327</v>
      </c>
    </row>
    <row r="53" spans="1:8" s="17" customFormat="1" ht="12" customHeight="1">
      <c r="A53" s="177" t="s">
        <v>120</v>
      </c>
      <c r="B53" s="151" t="s">
        <v>121</v>
      </c>
      <c r="C53" s="28">
        <f aca="true" t="shared" si="10" ref="C53:H53">+C54+C60</f>
        <v>496552</v>
      </c>
      <c r="D53" s="28">
        <f t="shared" si="10"/>
        <v>20241</v>
      </c>
      <c r="E53" s="28">
        <f t="shared" si="10"/>
        <v>516793</v>
      </c>
      <c r="F53" s="28">
        <f t="shared" si="10"/>
        <v>0</v>
      </c>
      <c r="G53" s="28">
        <f t="shared" si="10"/>
        <v>516793</v>
      </c>
      <c r="H53" s="28">
        <f t="shared" si="10"/>
        <v>521685</v>
      </c>
    </row>
    <row r="54" spans="1:8" s="17" customFormat="1" ht="12" customHeight="1">
      <c r="A54" s="178" t="s">
        <v>122</v>
      </c>
      <c r="B54" s="167" t="s">
        <v>273</v>
      </c>
      <c r="C54" s="76">
        <f>+C55+C56+C57+C58+C59</f>
        <v>496552</v>
      </c>
      <c r="D54" s="76">
        <f>+D55+D56+D57+D58+D59</f>
        <v>20241</v>
      </c>
      <c r="E54" s="76">
        <v>516793</v>
      </c>
      <c r="F54" s="76"/>
      <c r="G54" s="76">
        <v>516793</v>
      </c>
      <c r="H54" s="76">
        <v>521685</v>
      </c>
    </row>
    <row r="55" spans="1:8" s="17" customFormat="1" ht="12" customHeight="1">
      <c r="A55" s="179" t="s">
        <v>124</v>
      </c>
      <c r="B55" s="109" t="s">
        <v>125</v>
      </c>
      <c r="C55" s="33">
        <v>496552</v>
      </c>
      <c r="D55" s="33">
        <v>20241</v>
      </c>
      <c r="E55" s="33"/>
      <c r="F55" s="33"/>
      <c r="G55" s="33"/>
      <c r="H55" s="33"/>
    </row>
    <row r="56" spans="1:8" s="17" customFormat="1" ht="12" customHeight="1">
      <c r="A56" s="179" t="s">
        <v>126</v>
      </c>
      <c r="B56" s="109" t="s">
        <v>127</v>
      </c>
      <c r="C56" s="33"/>
      <c r="D56" s="33"/>
      <c r="E56" s="33"/>
      <c r="F56" s="33"/>
      <c r="G56" s="33"/>
      <c r="H56" s="33"/>
    </row>
    <row r="57" spans="1:8" s="17" customFormat="1" ht="12" customHeight="1">
      <c r="A57" s="179" t="s">
        <v>128</v>
      </c>
      <c r="B57" s="109" t="s">
        <v>129</v>
      </c>
      <c r="C57" s="33"/>
      <c r="D57" s="33"/>
      <c r="E57" s="33"/>
      <c r="F57" s="33"/>
      <c r="G57" s="33"/>
      <c r="H57" s="33"/>
    </row>
    <row r="58" spans="1:8" s="17" customFormat="1" ht="12" customHeight="1">
      <c r="A58" s="179" t="s">
        <v>130</v>
      </c>
      <c r="B58" s="109" t="s">
        <v>131</v>
      </c>
      <c r="C58" s="33"/>
      <c r="D58" s="33"/>
      <c r="E58" s="33"/>
      <c r="F58" s="33"/>
      <c r="G58" s="33"/>
      <c r="H58" s="33"/>
    </row>
    <row r="59" spans="1:8" s="17" customFormat="1" ht="12" customHeight="1">
      <c r="A59" s="179" t="s">
        <v>132</v>
      </c>
      <c r="B59" s="109" t="s">
        <v>133</v>
      </c>
      <c r="C59" s="33"/>
      <c r="D59" s="33"/>
      <c r="E59" s="33"/>
      <c r="F59" s="33"/>
      <c r="G59" s="33"/>
      <c r="H59" s="33"/>
    </row>
    <row r="60" spans="1:8" s="17" customFormat="1" ht="12" customHeight="1">
      <c r="A60" s="180" t="s">
        <v>134</v>
      </c>
      <c r="B60" s="169" t="s">
        <v>274</v>
      </c>
      <c r="C60" s="79">
        <f aca="true" t="shared" si="11" ref="C60:H60">+C61+C62+C63+C64+C65</f>
        <v>0</v>
      </c>
      <c r="D60" s="79">
        <f t="shared" si="11"/>
        <v>0</v>
      </c>
      <c r="E60" s="79">
        <f t="shared" si="11"/>
        <v>0</v>
      </c>
      <c r="F60" s="79">
        <f t="shared" si="11"/>
        <v>0</v>
      </c>
      <c r="G60" s="79">
        <f t="shared" si="11"/>
        <v>0</v>
      </c>
      <c r="H60" s="79">
        <f t="shared" si="11"/>
        <v>0</v>
      </c>
    </row>
    <row r="61" spans="1:8" s="17" customFormat="1" ht="12" customHeight="1">
      <c r="A61" s="179" t="s">
        <v>136</v>
      </c>
      <c r="B61" s="109" t="s">
        <v>137</v>
      </c>
      <c r="C61" s="33"/>
      <c r="D61" s="33"/>
      <c r="E61" s="33"/>
      <c r="F61" s="33"/>
      <c r="G61" s="33"/>
      <c r="H61" s="33"/>
    </row>
    <row r="62" spans="1:8" s="17" customFormat="1" ht="12" customHeight="1">
      <c r="A62" s="179" t="s">
        <v>138</v>
      </c>
      <c r="B62" s="109" t="s">
        <v>139</v>
      </c>
      <c r="C62" s="33"/>
      <c r="D62" s="33"/>
      <c r="E62" s="33"/>
      <c r="F62" s="33"/>
      <c r="G62" s="33"/>
      <c r="H62" s="33"/>
    </row>
    <row r="63" spans="1:8" s="17" customFormat="1" ht="12" customHeight="1">
      <c r="A63" s="179" t="s">
        <v>140</v>
      </c>
      <c r="B63" s="109" t="s">
        <v>141</v>
      </c>
      <c r="C63" s="33"/>
      <c r="D63" s="33"/>
      <c r="E63" s="33"/>
      <c r="F63" s="33"/>
      <c r="G63" s="33"/>
      <c r="H63" s="33"/>
    </row>
    <row r="64" spans="1:8" s="17" customFormat="1" ht="12" customHeight="1">
      <c r="A64" s="179" t="s">
        <v>142</v>
      </c>
      <c r="B64" s="109" t="s">
        <v>143</v>
      </c>
      <c r="C64" s="33"/>
      <c r="D64" s="33"/>
      <c r="E64" s="33"/>
      <c r="F64" s="33"/>
      <c r="G64" s="33"/>
      <c r="H64" s="33"/>
    </row>
    <row r="65" spans="1:8" s="17" customFormat="1" ht="12" customHeight="1">
      <c r="A65" s="181" t="s">
        <v>144</v>
      </c>
      <c r="B65" s="174" t="s">
        <v>145</v>
      </c>
      <c r="C65" s="45"/>
      <c r="D65" s="45"/>
      <c r="E65" s="45"/>
      <c r="F65" s="45"/>
      <c r="G65" s="45"/>
      <c r="H65" s="45"/>
    </row>
    <row r="66" spans="1:8" s="17" customFormat="1" ht="12" customHeight="1">
      <c r="A66" s="182" t="s">
        <v>146</v>
      </c>
      <c r="B66" s="183" t="s">
        <v>275</v>
      </c>
      <c r="C66" s="28">
        <f aca="true" t="shared" si="12" ref="C66:H66">+C52+C53</f>
        <v>1252491</v>
      </c>
      <c r="D66" s="28">
        <f t="shared" si="12"/>
        <v>148607</v>
      </c>
      <c r="E66" s="28">
        <f t="shared" si="12"/>
        <v>1448401</v>
      </c>
      <c r="F66" s="28">
        <f t="shared" si="12"/>
        <v>-3868</v>
      </c>
      <c r="G66" s="28">
        <f t="shared" si="12"/>
        <v>1444533</v>
      </c>
      <c r="H66" s="28">
        <f t="shared" si="12"/>
        <v>1053012</v>
      </c>
    </row>
    <row r="67" spans="1:8" s="17" customFormat="1" ht="13.5" customHeight="1">
      <c r="A67" s="184" t="s">
        <v>148</v>
      </c>
      <c r="B67" s="185" t="s">
        <v>149</v>
      </c>
      <c r="C67" s="41"/>
      <c r="D67" s="41"/>
      <c r="E67" s="41"/>
      <c r="F67" s="41"/>
      <c r="G67" s="41"/>
      <c r="H67" s="41">
        <v>-487</v>
      </c>
    </row>
    <row r="68" spans="1:8" s="17" customFormat="1" ht="12" customHeight="1">
      <c r="A68" s="182" t="s">
        <v>150</v>
      </c>
      <c r="B68" s="186" t="s">
        <v>276</v>
      </c>
      <c r="C68" s="28">
        <f aca="true" t="shared" si="13" ref="C68:H68">+C66+C67</f>
        <v>1252491</v>
      </c>
      <c r="D68" s="28">
        <f t="shared" si="13"/>
        <v>148607</v>
      </c>
      <c r="E68" s="28">
        <f t="shared" si="13"/>
        <v>1448401</v>
      </c>
      <c r="F68" s="28">
        <f t="shared" si="13"/>
        <v>-3868</v>
      </c>
      <c r="G68" s="28">
        <f t="shared" si="13"/>
        <v>1444533</v>
      </c>
      <c r="H68" s="28">
        <f t="shared" si="13"/>
        <v>1052525</v>
      </c>
    </row>
    <row r="69" spans="1:8" s="17" customFormat="1" ht="12.75" customHeight="1">
      <c r="A69" s="187"/>
      <c r="B69" s="188"/>
      <c r="C69" s="84"/>
      <c r="D69" s="84"/>
      <c r="E69" s="84"/>
      <c r="F69" s="84"/>
      <c r="G69" s="84"/>
      <c r="H69" s="84"/>
    </row>
    <row r="70" spans="1:8" ht="16.5" customHeight="1">
      <c r="A70" s="437" t="s">
        <v>152</v>
      </c>
      <c r="B70" s="437"/>
      <c r="C70" s="437"/>
      <c r="D70" s="4"/>
      <c r="E70" s="4"/>
      <c r="F70" s="4"/>
      <c r="G70" s="4"/>
      <c r="H70" s="4"/>
    </row>
    <row r="71" spans="1:8" s="86" customFormat="1" ht="16.5" customHeight="1">
      <c r="A71" s="442" t="s">
        <v>153</v>
      </c>
      <c r="B71" s="442"/>
      <c r="C71" s="189"/>
      <c r="D71" s="189"/>
      <c r="E71" s="189"/>
      <c r="F71" s="189"/>
      <c r="G71" s="189"/>
      <c r="H71" s="189" t="s">
        <v>2</v>
      </c>
    </row>
    <row r="72" spans="1:8" ht="37.5" customHeight="1">
      <c r="A72" s="6" t="s">
        <v>154</v>
      </c>
      <c r="B72" s="7" t="s">
        <v>155</v>
      </c>
      <c r="C72" s="8" t="s">
        <v>5</v>
      </c>
      <c r="D72" s="8" t="s">
        <v>6</v>
      </c>
      <c r="E72" s="8" t="s">
        <v>7</v>
      </c>
      <c r="F72" s="8" t="s">
        <v>261</v>
      </c>
      <c r="G72" s="8" t="s">
        <v>262</v>
      </c>
      <c r="H72" s="8" t="s">
        <v>10</v>
      </c>
    </row>
    <row r="73" spans="1:8" s="12" customFormat="1" ht="12" customHeight="1">
      <c r="A73" s="9">
        <v>1</v>
      </c>
      <c r="B73" s="10">
        <v>2</v>
      </c>
      <c r="C73" s="11">
        <v>3</v>
      </c>
      <c r="D73" s="9">
        <v>4</v>
      </c>
      <c r="E73" s="10">
        <v>5</v>
      </c>
      <c r="F73" s="9">
        <v>6</v>
      </c>
      <c r="G73" s="10">
        <v>7</v>
      </c>
      <c r="H73" s="9">
        <v>8</v>
      </c>
    </row>
    <row r="74" spans="1:8" ht="12" customHeight="1">
      <c r="A74" s="148" t="s">
        <v>11</v>
      </c>
      <c r="B74" s="190" t="s">
        <v>277</v>
      </c>
      <c r="C74" s="15">
        <f aca="true" t="shared" si="14" ref="C74:H74">+C75+C76+C77+C78+C79</f>
        <v>472533</v>
      </c>
      <c r="D74" s="15">
        <f t="shared" si="14"/>
        <v>94556</v>
      </c>
      <c r="E74" s="15">
        <f t="shared" si="14"/>
        <v>567089</v>
      </c>
      <c r="F74" s="15">
        <f t="shared" si="14"/>
        <v>-7563</v>
      </c>
      <c r="G74" s="15">
        <f t="shared" si="14"/>
        <v>559526</v>
      </c>
      <c r="H74" s="15">
        <f t="shared" si="14"/>
        <v>431073</v>
      </c>
    </row>
    <row r="75" spans="1:8" ht="12" customHeight="1">
      <c r="A75" s="156" t="s">
        <v>158</v>
      </c>
      <c r="B75" s="157" t="s">
        <v>159</v>
      </c>
      <c r="C75" s="31">
        <f>211524-32634</f>
        <v>178890</v>
      </c>
      <c r="D75" s="31">
        <v>37457</v>
      </c>
      <c r="E75" s="31">
        <f>216587-240</f>
        <v>216347</v>
      </c>
      <c r="F75" s="31">
        <v>-4199</v>
      </c>
      <c r="G75" s="31">
        <f>212388-240</f>
        <v>212148</v>
      </c>
      <c r="H75" s="31">
        <f>161025-215</f>
        <v>160810</v>
      </c>
    </row>
    <row r="76" spans="1:8" ht="12" customHeight="1">
      <c r="A76" s="152" t="s">
        <v>162</v>
      </c>
      <c r="B76" s="107" t="s">
        <v>163</v>
      </c>
      <c r="C76" s="33">
        <f>42101-7968</f>
        <v>34133</v>
      </c>
      <c r="D76" s="33">
        <v>9634</v>
      </c>
      <c r="E76" s="33">
        <f>43832-65</f>
        <v>43767</v>
      </c>
      <c r="F76" s="33">
        <v>-1139</v>
      </c>
      <c r="G76" s="33">
        <f>42693-65</f>
        <v>42628</v>
      </c>
      <c r="H76" s="33">
        <f>39999-46</f>
        <v>39953</v>
      </c>
    </row>
    <row r="77" spans="1:8" ht="12" customHeight="1">
      <c r="A77" s="152" t="s">
        <v>164</v>
      </c>
      <c r="B77" s="107" t="s">
        <v>165</v>
      </c>
      <c r="C77" s="52">
        <f>235165-18960</f>
        <v>216205</v>
      </c>
      <c r="D77" s="52">
        <v>23852</v>
      </c>
      <c r="E77" s="52">
        <f>242242-2185</f>
        <v>240057</v>
      </c>
      <c r="F77" s="52">
        <v>-2225</v>
      </c>
      <c r="G77" s="52">
        <f>240017-2185</f>
        <v>237832</v>
      </c>
      <c r="H77" s="52">
        <f>157623-451</f>
        <v>157172</v>
      </c>
    </row>
    <row r="78" spans="1:8" ht="12" customHeight="1">
      <c r="A78" s="152" t="s">
        <v>168</v>
      </c>
      <c r="B78" s="191" t="s">
        <v>169</v>
      </c>
      <c r="C78" s="52"/>
      <c r="D78" s="52"/>
      <c r="E78" s="52"/>
      <c r="F78" s="52"/>
      <c r="G78" s="52"/>
      <c r="H78" s="52"/>
    </row>
    <row r="79" spans="1:8" ht="12" customHeight="1">
      <c r="A79" s="152" t="s">
        <v>171</v>
      </c>
      <c r="B79" s="192" t="s">
        <v>172</v>
      </c>
      <c r="C79" s="52">
        <f aca="true" t="shared" si="15" ref="C79:H79">SUM(C80:C86)</f>
        <v>43305</v>
      </c>
      <c r="D79" s="52">
        <f t="shared" si="15"/>
        <v>23613</v>
      </c>
      <c r="E79" s="52">
        <f t="shared" si="15"/>
        <v>66918</v>
      </c>
      <c r="F79" s="52">
        <f t="shared" si="15"/>
        <v>0</v>
      </c>
      <c r="G79" s="52">
        <f t="shared" si="15"/>
        <v>66918</v>
      </c>
      <c r="H79" s="52">
        <f t="shared" si="15"/>
        <v>73138</v>
      </c>
    </row>
    <row r="80" spans="1:8" ht="12" customHeight="1">
      <c r="A80" s="152" t="s">
        <v>173</v>
      </c>
      <c r="B80" s="107" t="s">
        <v>174</v>
      </c>
      <c r="C80" s="52"/>
      <c r="D80" s="52"/>
      <c r="E80" s="52"/>
      <c r="F80" s="52"/>
      <c r="G80" s="52"/>
      <c r="H80" s="52"/>
    </row>
    <row r="81" spans="1:8" ht="12" customHeight="1">
      <c r="A81" s="152" t="s">
        <v>175</v>
      </c>
      <c r="B81" s="193" t="s">
        <v>176</v>
      </c>
      <c r="C81" s="52">
        <v>39215</v>
      </c>
      <c r="D81" s="52">
        <v>23613</v>
      </c>
      <c r="E81" s="52">
        <v>62828</v>
      </c>
      <c r="F81" s="52"/>
      <c r="G81" s="52">
        <v>62828</v>
      </c>
      <c r="H81" s="52">
        <v>64574</v>
      </c>
    </row>
    <row r="82" spans="1:8" ht="12" customHeight="1">
      <c r="A82" s="152" t="s">
        <v>177</v>
      </c>
      <c r="B82" s="193" t="s">
        <v>178</v>
      </c>
      <c r="C82" s="52">
        <f>4090</f>
        <v>4090</v>
      </c>
      <c r="D82" s="52"/>
      <c r="E82" s="52">
        <v>4090</v>
      </c>
      <c r="F82" s="52"/>
      <c r="G82" s="52">
        <v>4090</v>
      </c>
      <c r="H82" s="52">
        <f>10875-2311</f>
        <v>8564</v>
      </c>
    </row>
    <row r="83" spans="1:8" ht="12" customHeight="1">
      <c r="A83" s="152" t="s">
        <v>179</v>
      </c>
      <c r="B83" s="194" t="s">
        <v>180</v>
      </c>
      <c r="C83" s="52"/>
      <c r="D83" s="52"/>
      <c r="E83" s="52"/>
      <c r="F83" s="52"/>
      <c r="G83" s="52"/>
      <c r="H83" s="52"/>
    </row>
    <row r="84" spans="1:8" ht="12" customHeight="1">
      <c r="A84" s="158" t="s">
        <v>181</v>
      </c>
      <c r="B84" s="195" t="s">
        <v>182</v>
      </c>
      <c r="C84" s="52"/>
      <c r="D84" s="52"/>
      <c r="E84" s="52"/>
      <c r="F84" s="52"/>
      <c r="G84" s="52"/>
      <c r="H84" s="52"/>
    </row>
    <row r="85" spans="1:8" ht="12" customHeight="1">
      <c r="A85" s="152" t="s">
        <v>183</v>
      </c>
      <c r="B85" s="195" t="s">
        <v>184</v>
      </c>
      <c r="C85" s="52"/>
      <c r="D85" s="52"/>
      <c r="E85" s="52"/>
      <c r="F85" s="52"/>
      <c r="G85" s="52"/>
      <c r="H85" s="52"/>
    </row>
    <row r="86" spans="1:8" ht="12" customHeight="1">
      <c r="A86" s="196" t="s">
        <v>185</v>
      </c>
      <c r="B86" s="197" t="s">
        <v>186</v>
      </c>
      <c r="C86" s="45"/>
      <c r="D86" s="45"/>
      <c r="E86" s="45"/>
      <c r="F86" s="45"/>
      <c r="G86" s="45"/>
      <c r="H86" s="45"/>
    </row>
    <row r="87" spans="1:8" ht="12" customHeight="1">
      <c r="A87" s="150" t="s">
        <v>13</v>
      </c>
      <c r="B87" s="198" t="s">
        <v>278</v>
      </c>
      <c r="C87" s="28">
        <f aca="true" t="shared" si="16" ref="C87:H87">+C88+C89+C90</f>
        <v>342713</v>
      </c>
      <c r="D87" s="28">
        <f t="shared" si="16"/>
        <v>9246</v>
      </c>
      <c r="E87" s="28">
        <f t="shared" si="16"/>
        <v>351959</v>
      </c>
      <c r="F87" s="28">
        <f t="shared" si="16"/>
        <v>0</v>
      </c>
      <c r="G87" s="28">
        <f t="shared" si="16"/>
        <v>351959</v>
      </c>
      <c r="H87" s="28">
        <f t="shared" si="16"/>
        <v>182720</v>
      </c>
    </row>
    <row r="88" spans="1:8" ht="12" customHeight="1">
      <c r="A88" s="162" t="s">
        <v>15</v>
      </c>
      <c r="B88" s="107" t="s">
        <v>188</v>
      </c>
      <c r="C88" s="44">
        <v>133810</v>
      </c>
      <c r="D88" s="44">
        <v>9246</v>
      </c>
      <c r="E88" s="44">
        <v>143056</v>
      </c>
      <c r="F88" s="44"/>
      <c r="G88" s="44">
        <v>143056</v>
      </c>
      <c r="H88" s="44">
        <v>84686</v>
      </c>
    </row>
    <row r="89" spans="1:8" ht="12" customHeight="1">
      <c r="A89" s="162" t="s">
        <v>19</v>
      </c>
      <c r="B89" s="164" t="s">
        <v>192</v>
      </c>
      <c r="C89" s="33">
        <v>207119</v>
      </c>
      <c r="D89" s="33"/>
      <c r="E89" s="33">
        <v>207119</v>
      </c>
      <c r="F89" s="33"/>
      <c r="G89" s="33">
        <v>207119</v>
      </c>
      <c r="H89" s="33">
        <v>97913</v>
      </c>
    </row>
    <row r="90" spans="1:8" ht="12" customHeight="1">
      <c r="A90" s="162" t="s">
        <v>21</v>
      </c>
      <c r="B90" s="109" t="s">
        <v>193</v>
      </c>
      <c r="C90" s="23">
        <v>1784</v>
      </c>
      <c r="D90" s="23"/>
      <c r="E90" s="23">
        <v>1784</v>
      </c>
      <c r="F90" s="23"/>
      <c r="G90" s="23">
        <v>1784</v>
      </c>
      <c r="H90" s="23">
        <v>121</v>
      </c>
    </row>
    <row r="91" spans="1:8" ht="12" customHeight="1">
      <c r="A91" s="162" t="s">
        <v>23</v>
      </c>
      <c r="B91" s="109" t="s">
        <v>194</v>
      </c>
      <c r="C91" s="23"/>
      <c r="D91" s="23"/>
      <c r="E91" s="23"/>
      <c r="F91" s="23"/>
      <c r="G91" s="23"/>
      <c r="H91" s="23"/>
    </row>
    <row r="92" spans="1:8" ht="12" customHeight="1">
      <c r="A92" s="162" t="s">
        <v>195</v>
      </c>
      <c r="B92" s="199" t="s">
        <v>279</v>
      </c>
      <c r="C92" s="23">
        <v>1784</v>
      </c>
      <c r="D92" s="23"/>
      <c r="E92" s="23"/>
      <c r="F92" s="23"/>
      <c r="G92" s="23"/>
      <c r="H92" s="23"/>
    </row>
    <row r="93" spans="1:8" ht="15.75">
      <c r="A93" s="162" t="s">
        <v>197</v>
      </c>
      <c r="B93" s="109" t="s">
        <v>198</v>
      </c>
      <c r="C93" s="23"/>
      <c r="D93" s="23"/>
      <c r="E93" s="23"/>
      <c r="F93" s="23"/>
      <c r="G93" s="23"/>
      <c r="H93" s="23"/>
    </row>
    <row r="94" spans="1:8" ht="12" customHeight="1">
      <c r="A94" s="162" t="s">
        <v>199</v>
      </c>
      <c r="B94" s="111" t="s">
        <v>200</v>
      </c>
      <c r="C94" s="23"/>
      <c r="D94" s="23"/>
      <c r="E94" s="23"/>
      <c r="F94" s="23"/>
      <c r="G94" s="23"/>
      <c r="H94" s="23">
        <v>121</v>
      </c>
    </row>
    <row r="95" spans="1:8" ht="12" customHeight="1">
      <c r="A95" s="162" t="s">
        <v>201</v>
      </c>
      <c r="B95" s="111" t="s">
        <v>202</v>
      </c>
      <c r="C95" s="23"/>
      <c r="D95" s="23"/>
      <c r="E95" s="23"/>
      <c r="F95" s="23"/>
      <c r="G95" s="23"/>
      <c r="H95" s="23"/>
    </row>
    <row r="96" spans="1:8" ht="12" customHeight="1">
      <c r="A96" s="162" t="s">
        <v>203</v>
      </c>
      <c r="B96" s="200" t="s">
        <v>204</v>
      </c>
      <c r="C96" s="23"/>
      <c r="D96" s="23"/>
      <c r="E96" s="23"/>
      <c r="F96" s="23"/>
      <c r="G96" s="23"/>
      <c r="H96" s="23"/>
    </row>
    <row r="97" spans="1:8" ht="24" customHeight="1">
      <c r="A97" s="158" t="s">
        <v>205</v>
      </c>
      <c r="B97" s="201" t="s">
        <v>206</v>
      </c>
      <c r="C97" s="65"/>
      <c r="D97" s="65"/>
      <c r="E97" s="65"/>
      <c r="F97" s="65"/>
      <c r="G97" s="65"/>
      <c r="H97" s="65"/>
    </row>
    <row r="98" spans="1:8" ht="12" customHeight="1">
      <c r="A98" s="150" t="s">
        <v>25</v>
      </c>
      <c r="B98" s="149" t="s">
        <v>207</v>
      </c>
      <c r="C98" s="28">
        <f aca="true" t="shared" si="17" ref="C98:H98">+C99+C100</f>
        <v>509716</v>
      </c>
      <c r="D98" s="28">
        <f t="shared" si="17"/>
        <v>19637</v>
      </c>
      <c r="E98" s="28">
        <f t="shared" si="17"/>
        <v>529353</v>
      </c>
      <c r="F98" s="28">
        <f t="shared" si="17"/>
        <v>529353</v>
      </c>
      <c r="G98" s="28">
        <f t="shared" si="17"/>
        <v>529353</v>
      </c>
      <c r="H98" s="28">
        <f t="shared" si="17"/>
        <v>0</v>
      </c>
    </row>
    <row r="99" spans="1:8" ht="12" customHeight="1">
      <c r="A99" s="162" t="s">
        <v>27</v>
      </c>
      <c r="B99" s="202" t="s">
        <v>208</v>
      </c>
      <c r="C99" s="44">
        <v>166876</v>
      </c>
      <c r="D99" s="44">
        <v>236</v>
      </c>
      <c r="E99" s="44">
        <v>167112</v>
      </c>
      <c r="F99" s="44">
        <v>167112</v>
      </c>
      <c r="G99" s="44">
        <v>167112</v>
      </c>
      <c r="H99" s="44"/>
    </row>
    <row r="100" spans="1:8" ht="12" customHeight="1">
      <c r="A100" s="163" t="s">
        <v>29</v>
      </c>
      <c r="B100" s="164" t="s">
        <v>210</v>
      </c>
      <c r="C100" s="52">
        <v>342840</v>
      </c>
      <c r="D100" s="52">
        <v>19401</v>
      </c>
      <c r="E100" s="52">
        <v>362241</v>
      </c>
      <c r="F100" s="52">
        <v>362241</v>
      </c>
      <c r="G100" s="52">
        <v>362241</v>
      </c>
      <c r="H100" s="52"/>
    </row>
    <row r="101" spans="1:8" s="114" customFormat="1" ht="12" customHeight="1">
      <c r="A101" s="177" t="s">
        <v>213</v>
      </c>
      <c r="B101" s="151" t="s">
        <v>214</v>
      </c>
      <c r="C101" s="113"/>
      <c r="D101" s="113"/>
      <c r="E101" s="113"/>
      <c r="F101" s="113"/>
      <c r="G101" s="113"/>
      <c r="H101" s="113"/>
    </row>
    <row r="102" spans="1:8" s="114" customFormat="1" ht="12" customHeight="1">
      <c r="A102" s="177"/>
      <c r="B102" s="203" t="s">
        <v>280</v>
      </c>
      <c r="C102" s="113"/>
      <c r="D102" s="113"/>
      <c r="E102" s="113"/>
      <c r="F102" s="113"/>
      <c r="G102" s="113"/>
      <c r="H102" s="113"/>
    </row>
    <row r="103" spans="1:8" ht="12" customHeight="1">
      <c r="A103" s="204" t="s">
        <v>47</v>
      </c>
      <c r="B103" s="205" t="s">
        <v>216</v>
      </c>
      <c r="C103" s="15">
        <f aca="true" t="shared" si="18" ref="C103:H103">+C74+C87+C98+C101</f>
        <v>1324962</v>
      </c>
      <c r="D103" s="15">
        <f t="shared" si="18"/>
        <v>123439</v>
      </c>
      <c r="E103" s="15">
        <f t="shared" si="18"/>
        <v>1448401</v>
      </c>
      <c r="F103" s="15">
        <f t="shared" si="18"/>
        <v>521790</v>
      </c>
      <c r="G103" s="15">
        <f t="shared" si="18"/>
        <v>1440838</v>
      </c>
      <c r="H103" s="15">
        <f t="shared" si="18"/>
        <v>613793</v>
      </c>
    </row>
    <row r="104" spans="1:8" ht="12" customHeight="1">
      <c r="A104" s="177" t="s">
        <v>77</v>
      </c>
      <c r="B104" s="151" t="s">
        <v>217</v>
      </c>
      <c r="C104" s="28">
        <f>+C105+C113</f>
        <v>0</v>
      </c>
      <c r="D104" s="28">
        <f>+D105+D113</f>
        <v>0</v>
      </c>
      <c r="E104" s="28"/>
      <c r="F104" s="28"/>
      <c r="G104" s="28"/>
      <c r="H104" s="28">
        <f>+H105+H113</f>
        <v>0</v>
      </c>
    </row>
    <row r="105" spans="1:8" ht="12" customHeight="1">
      <c r="A105" s="145" t="s">
        <v>79</v>
      </c>
      <c r="B105" s="206" t="s">
        <v>281</v>
      </c>
      <c r="C105" s="119">
        <f aca="true" t="shared" si="19" ref="C105:H105">+C106+C107+C108+C109+C110+C111+C112</f>
        <v>0</v>
      </c>
      <c r="D105" s="119">
        <f t="shared" si="19"/>
        <v>0</v>
      </c>
      <c r="E105" s="119">
        <f t="shared" si="19"/>
        <v>0</v>
      </c>
      <c r="F105" s="119">
        <f t="shared" si="19"/>
        <v>0</v>
      </c>
      <c r="G105" s="119">
        <f t="shared" si="19"/>
        <v>0</v>
      </c>
      <c r="H105" s="119">
        <f t="shared" si="19"/>
        <v>0</v>
      </c>
    </row>
    <row r="106" spans="1:8" ht="12" customHeight="1">
      <c r="A106" s="207" t="s">
        <v>81</v>
      </c>
      <c r="B106" s="154" t="s">
        <v>219</v>
      </c>
      <c r="C106" s="121"/>
      <c r="D106" s="121"/>
      <c r="E106" s="121"/>
      <c r="F106" s="121"/>
      <c r="G106" s="121"/>
      <c r="H106" s="121"/>
    </row>
    <row r="107" spans="1:8" ht="12" customHeight="1">
      <c r="A107" s="208" t="s">
        <v>83</v>
      </c>
      <c r="B107" s="109" t="s">
        <v>220</v>
      </c>
      <c r="C107" s="122"/>
      <c r="D107" s="122"/>
      <c r="E107" s="122"/>
      <c r="F107" s="122"/>
      <c r="G107" s="122"/>
      <c r="H107" s="122"/>
    </row>
    <row r="108" spans="1:8" ht="12" customHeight="1">
      <c r="A108" s="208" t="s">
        <v>85</v>
      </c>
      <c r="B108" s="109" t="s">
        <v>221</v>
      </c>
      <c r="C108" s="122"/>
      <c r="D108" s="122"/>
      <c r="E108" s="122"/>
      <c r="F108" s="122"/>
      <c r="G108" s="122"/>
      <c r="H108" s="122"/>
    </row>
    <row r="109" spans="1:8" ht="12" customHeight="1">
      <c r="A109" s="208" t="s">
        <v>87</v>
      </c>
      <c r="B109" s="109" t="s">
        <v>222</v>
      </c>
      <c r="C109" s="122"/>
      <c r="D109" s="122"/>
      <c r="E109" s="122"/>
      <c r="F109" s="122"/>
      <c r="G109" s="122"/>
      <c r="H109" s="122"/>
    </row>
    <row r="110" spans="1:8" ht="12" customHeight="1">
      <c r="A110" s="208" t="s">
        <v>89</v>
      </c>
      <c r="B110" s="109" t="s">
        <v>223</v>
      </c>
      <c r="C110" s="122"/>
      <c r="D110" s="122"/>
      <c r="E110" s="122"/>
      <c r="F110" s="122"/>
      <c r="G110" s="122"/>
      <c r="H110" s="122"/>
    </row>
    <row r="111" spans="1:8" ht="12" customHeight="1">
      <c r="A111" s="208" t="s">
        <v>224</v>
      </c>
      <c r="B111" s="109" t="s">
        <v>225</v>
      </c>
      <c r="C111" s="122"/>
      <c r="D111" s="122"/>
      <c r="E111" s="122"/>
      <c r="F111" s="122"/>
      <c r="G111" s="122"/>
      <c r="H111" s="122"/>
    </row>
    <row r="112" spans="1:8" ht="12" customHeight="1">
      <c r="A112" s="209" t="s">
        <v>226</v>
      </c>
      <c r="B112" s="210" t="s">
        <v>227</v>
      </c>
      <c r="C112" s="125"/>
      <c r="D112" s="125"/>
      <c r="E112" s="125"/>
      <c r="F112" s="125"/>
      <c r="G112" s="125"/>
      <c r="H112" s="125"/>
    </row>
    <row r="113" spans="1:8" ht="12" customHeight="1">
      <c r="A113" s="145" t="s">
        <v>91</v>
      </c>
      <c r="B113" s="206" t="s">
        <v>282</v>
      </c>
      <c r="C113" s="119">
        <f aca="true" t="shared" si="20" ref="C113:H113">+C114+C115+C116+C117+C118+C119+C120+C121</f>
        <v>0</v>
      </c>
      <c r="D113" s="119">
        <f t="shared" si="20"/>
        <v>0</v>
      </c>
      <c r="E113" s="119">
        <f t="shared" si="20"/>
        <v>0</v>
      </c>
      <c r="F113" s="119">
        <f t="shared" si="20"/>
        <v>0</v>
      </c>
      <c r="G113" s="119">
        <f t="shared" si="20"/>
        <v>0</v>
      </c>
      <c r="H113" s="119">
        <f t="shared" si="20"/>
        <v>0</v>
      </c>
    </row>
    <row r="114" spans="1:8" ht="12" customHeight="1">
      <c r="A114" s="207" t="s">
        <v>93</v>
      </c>
      <c r="B114" s="154" t="s">
        <v>219</v>
      </c>
      <c r="C114" s="121"/>
      <c r="D114" s="121"/>
      <c r="E114" s="121"/>
      <c r="F114" s="121"/>
      <c r="G114" s="121"/>
      <c r="H114" s="121"/>
    </row>
    <row r="115" spans="1:8" ht="12" customHeight="1">
      <c r="A115" s="208" t="s">
        <v>94</v>
      </c>
      <c r="B115" s="109" t="s">
        <v>229</v>
      </c>
      <c r="C115" s="122"/>
      <c r="D115" s="122"/>
      <c r="E115" s="122"/>
      <c r="F115" s="122"/>
      <c r="G115" s="122"/>
      <c r="H115" s="122"/>
    </row>
    <row r="116" spans="1:8" ht="12" customHeight="1">
      <c r="A116" s="208" t="s">
        <v>96</v>
      </c>
      <c r="B116" s="109" t="s">
        <v>221</v>
      </c>
      <c r="C116" s="122"/>
      <c r="D116" s="122"/>
      <c r="E116" s="122"/>
      <c r="F116" s="122"/>
      <c r="G116" s="122"/>
      <c r="H116" s="122"/>
    </row>
    <row r="117" spans="1:8" ht="12" customHeight="1">
      <c r="A117" s="208" t="s">
        <v>97</v>
      </c>
      <c r="B117" s="109" t="s">
        <v>222</v>
      </c>
      <c r="C117" s="122"/>
      <c r="D117" s="122"/>
      <c r="E117" s="122"/>
      <c r="F117" s="122"/>
      <c r="G117" s="122"/>
      <c r="H117" s="122"/>
    </row>
    <row r="118" spans="1:8" ht="12" customHeight="1">
      <c r="A118" s="208" t="s">
        <v>99</v>
      </c>
      <c r="B118" s="109" t="s">
        <v>223</v>
      </c>
      <c r="C118" s="122"/>
      <c r="D118" s="122"/>
      <c r="E118" s="122"/>
      <c r="F118" s="122"/>
      <c r="G118" s="122"/>
      <c r="H118" s="122"/>
    </row>
    <row r="119" spans="1:8" ht="12" customHeight="1">
      <c r="A119" s="208" t="s">
        <v>230</v>
      </c>
      <c r="B119" s="109" t="s">
        <v>231</v>
      </c>
      <c r="C119" s="122"/>
      <c r="D119" s="122"/>
      <c r="E119" s="122"/>
      <c r="F119" s="122"/>
      <c r="G119" s="122"/>
      <c r="H119" s="122"/>
    </row>
    <row r="120" spans="1:8" ht="12" customHeight="1">
      <c r="A120" s="208" t="s">
        <v>232</v>
      </c>
      <c r="B120" s="109" t="s">
        <v>227</v>
      </c>
      <c r="C120" s="122"/>
      <c r="D120" s="122"/>
      <c r="E120" s="122"/>
      <c r="F120" s="122"/>
      <c r="G120" s="122"/>
      <c r="H120" s="122"/>
    </row>
    <row r="121" spans="1:8" ht="12" customHeight="1">
      <c r="A121" s="209" t="s">
        <v>233</v>
      </c>
      <c r="B121" s="210" t="s">
        <v>234</v>
      </c>
      <c r="C121" s="125"/>
      <c r="D121" s="125"/>
      <c r="E121" s="125"/>
      <c r="F121" s="125"/>
      <c r="G121" s="125"/>
      <c r="H121" s="125"/>
    </row>
    <row r="122" spans="1:8" ht="12" customHeight="1">
      <c r="A122" s="177" t="s">
        <v>235</v>
      </c>
      <c r="B122" s="186" t="s">
        <v>236</v>
      </c>
      <c r="C122" s="127">
        <f aca="true" t="shared" si="21" ref="C122:H122">+C103+C104</f>
        <v>1324962</v>
      </c>
      <c r="D122" s="127">
        <f t="shared" si="21"/>
        <v>123439</v>
      </c>
      <c r="E122" s="127">
        <f t="shared" si="21"/>
        <v>1448401</v>
      </c>
      <c r="F122" s="127">
        <f t="shared" si="21"/>
        <v>521790</v>
      </c>
      <c r="G122" s="127">
        <f t="shared" si="21"/>
        <v>1440838</v>
      </c>
      <c r="H122" s="127">
        <f t="shared" si="21"/>
        <v>613793</v>
      </c>
    </row>
    <row r="123" spans="1:11" ht="15" customHeight="1">
      <c r="A123" s="177" t="s">
        <v>107</v>
      </c>
      <c r="B123" s="186" t="s">
        <v>237</v>
      </c>
      <c r="C123" s="128"/>
      <c r="D123" s="128"/>
      <c r="E123" s="128"/>
      <c r="F123" s="128"/>
      <c r="G123" s="128"/>
      <c r="H123" s="128">
        <v>-21494</v>
      </c>
      <c r="I123" s="129"/>
      <c r="J123" s="129"/>
      <c r="K123" s="129"/>
    </row>
    <row r="124" spans="1:8" s="17" customFormat="1" ht="12.75" customHeight="1">
      <c r="A124" s="211" t="s">
        <v>238</v>
      </c>
      <c r="B124" s="185" t="s">
        <v>239</v>
      </c>
      <c r="C124" s="28">
        <f aca="true" t="shared" si="22" ref="C124:H124">+C122+C123</f>
        <v>1324962</v>
      </c>
      <c r="D124" s="28">
        <f t="shared" si="22"/>
        <v>123439</v>
      </c>
      <c r="E124" s="28">
        <f t="shared" si="22"/>
        <v>1448401</v>
      </c>
      <c r="F124" s="28">
        <f t="shared" si="22"/>
        <v>521790</v>
      </c>
      <c r="G124" s="28">
        <f t="shared" si="22"/>
        <v>1440838</v>
      </c>
      <c r="H124" s="28">
        <f t="shared" si="22"/>
        <v>592299</v>
      </c>
    </row>
    <row r="125" spans="1:8" ht="7.5" customHeight="1">
      <c r="A125" s="212"/>
      <c r="B125" s="212"/>
      <c r="C125" s="213"/>
      <c r="D125" s="213"/>
      <c r="E125" s="213"/>
      <c r="F125" s="213"/>
      <c r="G125" s="213"/>
      <c r="H125" s="213"/>
    </row>
    <row r="126" spans="1:8" ht="15.75" customHeight="1">
      <c r="A126" s="441" t="s">
        <v>240</v>
      </c>
      <c r="B126" s="441"/>
      <c r="C126" s="441"/>
      <c r="D126" s="214"/>
      <c r="E126" s="214"/>
      <c r="F126" s="214"/>
      <c r="G126" s="214"/>
      <c r="H126" s="214"/>
    </row>
    <row r="127" spans="1:8" ht="15" customHeight="1">
      <c r="A127" s="438" t="s">
        <v>241</v>
      </c>
      <c r="B127" s="438"/>
      <c r="C127" s="215"/>
      <c r="D127" s="215"/>
      <c r="E127" s="215"/>
      <c r="F127" s="215"/>
      <c r="G127" s="215"/>
      <c r="H127" s="215" t="s">
        <v>2</v>
      </c>
    </row>
    <row r="128" spans="1:8" ht="13.5" customHeight="1">
      <c r="A128" s="150">
        <v>1</v>
      </c>
      <c r="B128" s="216" t="s">
        <v>242</v>
      </c>
      <c r="C128" s="217">
        <f aca="true" t="shared" si="23" ref="C128:H128">+C52-C103</f>
        <v>-569023</v>
      </c>
      <c r="D128" s="217">
        <f t="shared" si="23"/>
        <v>4927</v>
      </c>
      <c r="E128" s="217">
        <f t="shared" si="23"/>
        <v>-516793</v>
      </c>
      <c r="F128" s="217">
        <f t="shared" si="23"/>
        <v>-525658</v>
      </c>
      <c r="G128" s="217">
        <f t="shared" si="23"/>
        <v>-513098</v>
      </c>
      <c r="H128" s="217">
        <f t="shared" si="23"/>
        <v>-82466</v>
      </c>
    </row>
    <row r="129" spans="1:8" ht="7.5" customHeight="1">
      <c r="A129" s="212"/>
      <c r="B129" s="212"/>
      <c r="C129" s="213"/>
      <c r="D129" s="213"/>
      <c r="E129" s="213"/>
      <c r="F129" s="213"/>
      <c r="G129" s="213"/>
      <c r="H129" s="213"/>
    </row>
  </sheetData>
  <sheetProtection selectLockedCells="1" selectUnlockedCells="1"/>
  <mergeCells count="6">
    <mergeCell ref="A126:C126"/>
    <mergeCell ref="A127:B127"/>
    <mergeCell ref="A1:C1"/>
    <mergeCell ref="A2:B2"/>
    <mergeCell ref="A70:C70"/>
    <mergeCell ref="A71:B71"/>
  </mergeCells>
  <printOptions horizontalCentered="1"/>
  <pageMargins left="0.39375" right="0.39375" top="1.4569444444444444" bottom="1.0631944444444446" header="0.7875" footer="0.5118055555555555"/>
  <pageSetup horizontalDpi="300" verticalDpi="300" orientation="portrait" paperSize="9" scale="58" r:id="rId3"/>
  <headerFooter alignWithMargins="0">
    <oddHeader>&amp;C&amp;"Times New Roman CE,Félkövér"&amp;12Borsodnádasd Önkormányzat
2013. ÉVI KÖLTSÉGVETÉS
KÖTELEZŐ FELADATAINAK MÉRLEGE &amp;R&amp;"Times New Roman CE,Félkövér dőlt"&amp;11 1.2. melléklet a 14/2013.(XI.15.)önkormányzati rendelethez</oddHeader>
  </headerFooter>
  <rowBreaks count="1" manualBreakCount="1">
    <brk id="68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6"/>
  <sheetViews>
    <sheetView tabSelected="1" workbookViewId="0" topLeftCell="A1">
      <selection activeCell="A96" sqref="A96:IV96"/>
    </sheetView>
  </sheetViews>
  <sheetFormatPr defaultColWidth="9.00390625" defaultRowHeight="12.75"/>
  <cols>
    <col min="1" max="1" width="9.125" style="0" bestFit="1" customWidth="1"/>
    <col min="2" max="2" width="59.375" style="0" bestFit="1" customWidth="1"/>
    <col min="3" max="3" width="15.375" style="0" bestFit="1" customWidth="1"/>
  </cols>
  <sheetData>
    <row r="1" spans="1:3" ht="15.75">
      <c r="A1" s="437" t="s">
        <v>0</v>
      </c>
      <c r="B1" s="437"/>
      <c r="C1" s="437"/>
    </row>
    <row r="2" spans="1:3" ht="14.25" thickBot="1">
      <c r="A2" s="438" t="s">
        <v>1</v>
      </c>
      <c r="B2" s="438"/>
      <c r="C2" s="5" t="s">
        <v>2</v>
      </c>
    </row>
    <row r="3" spans="1:3" ht="36.75" thickBot="1">
      <c r="A3" s="6" t="s">
        <v>3</v>
      </c>
      <c r="B3" s="7" t="s">
        <v>4</v>
      </c>
      <c r="C3" s="8" t="s">
        <v>5</v>
      </c>
    </row>
    <row r="4" spans="1:3" ht="13.5" thickBot="1">
      <c r="A4" s="9">
        <v>1</v>
      </c>
      <c r="B4" s="10">
        <v>2</v>
      </c>
      <c r="C4" s="11">
        <v>3</v>
      </c>
    </row>
    <row r="5" spans="1:3" ht="13.5" thickBot="1">
      <c r="A5" s="148" t="s">
        <v>11</v>
      </c>
      <c r="B5" s="149" t="s">
        <v>12</v>
      </c>
      <c r="C5" s="449">
        <f>+C6+C11+C20</f>
        <v>4990</v>
      </c>
    </row>
    <row r="6" spans="1:3" ht="13.5" thickBot="1">
      <c r="A6" s="150" t="s">
        <v>13</v>
      </c>
      <c r="B6" s="151" t="s">
        <v>14</v>
      </c>
      <c r="C6" s="450">
        <f>+C7+C8+C9+C10</f>
        <v>4990</v>
      </c>
    </row>
    <row r="7" spans="1:3" ht="22.5">
      <c r="A7" s="152" t="s">
        <v>15</v>
      </c>
      <c r="B7" s="153" t="s">
        <v>263</v>
      </c>
      <c r="C7" s="451">
        <v>4990</v>
      </c>
    </row>
    <row r="8" spans="1:3" ht="22.5">
      <c r="A8" s="152" t="s">
        <v>19</v>
      </c>
      <c r="B8" s="154" t="s">
        <v>20</v>
      </c>
      <c r="C8" s="451"/>
    </row>
    <row r="9" spans="1:3" ht="12.75">
      <c r="A9" s="152" t="s">
        <v>21</v>
      </c>
      <c r="B9" s="154" t="s">
        <v>22</v>
      </c>
      <c r="C9" s="451"/>
    </row>
    <row r="10" spans="1:3" ht="13.5" thickBot="1">
      <c r="A10" s="152" t="s">
        <v>23</v>
      </c>
      <c r="B10" s="155" t="s">
        <v>24</v>
      </c>
      <c r="C10" s="451"/>
    </row>
    <row r="11" spans="1:3" ht="13.5" thickBot="1">
      <c r="A11" s="150" t="s">
        <v>25</v>
      </c>
      <c r="B11" s="149" t="s">
        <v>26</v>
      </c>
      <c r="C11" s="452">
        <f>+C12+C13+C14+C15+C16+C17+C18+C19</f>
        <v>0</v>
      </c>
    </row>
    <row r="12" spans="1:3" ht="12.75">
      <c r="A12" s="156" t="s">
        <v>27</v>
      </c>
      <c r="B12" s="157" t="s">
        <v>28</v>
      </c>
      <c r="C12" s="453"/>
    </row>
    <row r="13" spans="1:3" ht="12.75">
      <c r="A13" s="152" t="s">
        <v>29</v>
      </c>
      <c r="B13" s="107" t="s">
        <v>30</v>
      </c>
      <c r="C13" s="454"/>
    </row>
    <row r="14" spans="1:3" ht="22.5">
      <c r="A14" s="152" t="s">
        <v>31</v>
      </c>
      <c r="B14" s="107" t="s">
        <v>32</v>
      </c>
      <c r="C14" s="454"/>
    </row>
    <row r="15" spans="1:3" ht="12.75">
      <c r="A15" s="152" t="s">
        <v>33</v>
      </c>
      <c r="B15" s="107" t="s">
        <v>34</v>
      </c>
      <c r="C15" s="454"/>
    </row>
    <row r="16" spans="1:3" ht="12.75">
      <c r="A16" s="158" t="s">
        <v>35</v>
      </c>
      <c r="B16" s="159" t="s">
        <v>36</v>
      </c>
      <c r="C16" s="455"/>
    </row>
    <row r="17" spans="1:3" ht="12.75">
      <c r="A17" s="152" t="s">
        <v>37</v>
      </c>
      <c r="B17" s="107" t="s">
        <v>38</v>
      </c>
      <c r="C17" s="454"/>
    </row>
    <row r="18" spans="1:3" ht="12.75">
      <c r="A18" s="152" t="s">
        <v>39</v>
      </c>
      <c r="B18" s="107" t="s">
        <v>42</v>
      </c>
      <c r="C18" s="454"/>
    </row>
    <row r="19" spans="1:3" ht="13.5" thickBot="1">
      <c r="A19" s="160" t="s">
        <v>41</v>
      </c>
      <c r="B19" s="161" t="s">
        <v>44</v>
      </c>
      <c r="C19" s="456"/>
    </row>
    <row r="20" spans="1:3" ht="13.5" thickBot="1">
      <c r="A20" s="150" t="s">
        <v>45</v>
      </c>
      <c r="B20" s="149" t="s">
        <v>265</v>
      </c>
      <c r="C20" s="457"/>
    </row>
    <row r="21" spans="1:3" ht="13.5" thickBot="1">
      <c r="A21" s="150" t="s">
        <v>47</v>
      </c>
      <c r="B21" s="149" t="s">
        <v>266</v>
      </c>
      <c r="C21" s="452">
        <f>+C22+C23+C24+C25+C26+C27+C28+C29</f>
        <v>0</v>
      </c>
    </row>
    <row r="22" spans="1:3" ht="12.75">
      <c r="A22" s="162" t="s">
        <v>49</v>
      </c>
      <c r="B22" s="458" t="s">
        <v>50</v>
      </c>
      <c r="C22" s="459"/>
    </row>
    <row r="23" spans="1:3" ht="12.75">
      <c r="A23" s="152" t="s">
        <v>51</v>
      </c>
      <c r="B23" s="458" t="s">
        <v>52</v>
      </c>
      <c r="C23" s="454"/>
    </row>
    <row r="24" spans="1:3" ht="12.75">
      <c r="A24" s="152" t="s">
        <v>62</v>
      </c>
      <c r="B24" s="107" t="s">
        <v>63</v>
      </c>
      <c r="C24" s="454"/>
    </row>
    <row r="25" spans="1:3" ht="12.75">
      <c r="A25" s="163" t="s">
        <v>67</v>
      </c>
      <c r="B25" s="107" t="s">
        <v>68</v>
      </c>
      <c r="C25" s="460"/>
    </row>
    <row r="26" spans="1:3" ht="22.5">
      <c r="A26" s="163" t="s">
        <v>69</v>
      </c>
      <c r="B26" s="107" t="s">
        <v>355</v>
      </c>
      <c r="C26" s="460"/>
    </row>
    <row r="27" spans="1:3" ht="12.75">
      <c r="A27" s="152" t="s">
        <v>71</v>
      </c>
      <c r="B27" s="107" t="s">
        <v>438</v>
      </c>
      <c r="C27" s="454"/>
    </row>
    <row r="28" spans="1:3" ht="12.75">
      <c r="A28" s="152" t="s">
        <v>73</v>
      </c>
      <c r="B28" s="107" t="s">
        <v>74</v>
      </c>
      <c r="C28" s="454"/>
    </row>
    <row r="29" spans="1:3" ht="13.5" thickBot="1">
      <c r="A29" s="152" t="s">
        <v>75</v>
      </c>
      <c r="B29" s="164" t="s">
        <v>76</v>
      </c>
      <c r="C29" s="454"/>
    </row>
    <row r="30" spans="1:3" ht="13.5" thickBot="1">
      <c r="A30" s="165" t="s">
        <v>77</v>
      </c>
      <c r="B30" s="149" t="s">
        <v>269</v>
      </c>
      <c r="C30" s="450">
        <f>+C31+C37</f>
        <v>0</v>
      </c>
    </row>
    <row r="31" spans="1:3" ht="12.75">
      <c r="A31" s="166" t="s">
        <v>79</v>
      </c>
      <c r="B31" s="167" t="s">
        <v>80</v>
      </c>
      <c r="C31" s="461">
        <f>+C32+C33+C34+C35+C36</f>
        <v>0</v>
      </c>
    </row>
    <row r="32" spans="1:3" ht="12.75">
      <c r="A32" s="168" t="s">
        <v>81</v>
      </c>
      <c r="B32" s="109" t="s">
        <v>82</v>
      </c>
      <c r="C32" s="451"/>
    </row>
    <row r="33" spans="1:3" ht="12.75">
      <c r="A33" s="168" t="s">
        <v>83</v>
      </c>
      <c r="B33" s="109" t="s">
        <v>95</v>
      </c>
      <c r="C33" s="451"/>
    </row>
    <row r="34" spans="1:3" ht="12.75">
      <c r="A34" s="168" t="s">
        <v>85</v>
      </c>
      <c r="B34" s="109" t="s">
        <v>86</v>
      </c>
      <c r="C34" s="451"/>
    </row>
    <row r="35" spans="1:3" ht="12.75">
      <c r="A35" s="168" t="s">
        <v>87</v>
      </c>
      <c r="B35" s="109" t="s">
        <v>98</v>
      </c>
      <c r="C35" s="451"/>
    </row>
    <row r="36" spans="1:3" ht="12.75">
      <c r="A36" s="168" t="s">
        <v>89</v>
      </c>
      <c r="B36" s="109" t="s">
        <v>270</v>
      </c>
      <c r="C36" s="451"/>
    </row>
    <row r="37" spans="1:3" ht="22.5">
      <c r="A37" s="168" t="s">
        <v>91</v>
      </c>
      <c r="B37" s="169" t="s">
        <v>92</v>
      </c>
      <c r="C37" s="462">
        <f>+C38+C39+C40+C41+C42</f>
        <v>0</v>
      </c>
    </row>
    <row r="38" spans="1:3" ht="12.75">
      <c r="A38" s="168" t="s">
        <v>93</v>
      </c>
      <c r="B38" s="109" t="s">
        <v>82</v>
      </c>
      <c r="C38" s="451"/>
    </row>
    <row r="39" spans="1:3" ht="12.75">
      <c r="A39" s="168" t="s">
        <v>94</v>
      </c>
      <c r="B39" s="109" t="s">
        <v>95</v>
      </c>
      <c r="C39" s="451"/>
    </row>
    <row r="40" spans="1:3" ht="12.75">
      <c r="A40" s="168" t="s">
        <v>96</v>
      </c>
      <c r="B40" s="109" t="s">
        <v>86</v>
      </c>
      <c r="C40" s="451"/>
    </row>
    <row r="41" spans="1:3" ht="12.75">
      <c r="A41" s="168" t="s">
        <v>97</v>
      </c>
      <c r="B41" s="170" t="s">
        <v>98</v>
      </c>
      <c r="C41" s="451"/>
    </row>
    <row r="42" spans="1:3" ht="13.5" thickBot="1">
      <c r="A42" s="171" t="s">
        <v>99</v>
      </c>
      <c r="B42" s="172" t="s">
        <v>271</v>
      </c>
      <c r="C42" s="463"/>
    </row>
    <row r="43" spans="1:3" ht="13.5" thickBot="1">
      <c r="A43" s="150" t="s">
        <v>101</v>
      </c>
      <c r="B43" s="173" t="s">
        <v>102</v>
      </c>
      <c r="C43" s="450">
        <f>+C44+C45</f>
        <v>0</v>
      </c>
    </row>
    <row r="44" spans="1:3" ht="12.75">
      <c r="A44" s="162" t="s">
        <v>103</v>
      </c>
      <c r="B44" s="154" t="s">
        <v>104</v>
      </c>
      <c r="C44" s="464"/>
    </row>
    <row r="45" spans="1:3" ht="13.5" thickBot="1">
      <c r="A45" s="158" t="s">
        <v>105</v>
      </c>
      <c r="B45" s="174" t="s">
        <v>106</v>
      </c>
      <c r="C45" s="465"/>
    </row>
    <row r="46" spans="1:3" ht="13.5" thickBot="1">
      <c r="A46" s="150" t="s">
        <v>107</v>
      </c>
      <c r="B46" s="173" t="s">
        <v>108</v>
      </c>
      <c r="C46" s="450">
        <f>+C47+C48+C49</f>
        <v>0</v>
      </c>
    </row>
    <row r="47" spans="1:3" ht="22.5">
      <c r="A47" s="162" t="s">
        <v>109</v>
      </c>
      <c r="B47" s="154" t="s">
        <v>110</v>
      </c>
      <c r="C47" s="464"/>
    </row>
    <row r="48" spans="1:3" ht="22.5">
      <c r="A48" s="152" t="s">
        <v>111</v>
      </c>
      <c r="B48" s="109" t="s">
        <v>112</v>
      </c>
      <c r="C48" s="454"/>
    </row>
    <row r="49" spans="1:3" ht="13.5" thickBot="1">
      <c r="A49" s="158" t="s">
        <v>114</v>
      </c>
      <c r="B49" s="174" t="s">
        <v>115</v>
      </c>
      <c r="C49" s="465"/>
    </row>
    <row r="50" spans="1:3" ht="13.5" thickBot="1">
      <c r="A50" s="150" t="s">
        <v>116</v>
      </c>
      <c r="B50" s="175" t="s">
        <v>117</v>
      </c>
      <c r="C50" s="466"/>
    </row>
    <row r="51" spans="1:3" ht="13.5" thickBot="1">
      <c r="A51" s="150" t="s">
        <v>118</v>
      </c>
      <c r="B51" s="176" t="s">
        <v>119</v>
      </c>
      <c r="C51" s="467">
        <f>+C6+C11+C20+C21+C30+C43+C46+C50</f>
        <v>4990</v>
      </c>
    </row>
    <row r="52" spans="1:3" ht="13.5" thickBot="1">
      <c r="A52" s="177" t="s">
        <v>120</v>
      </c>
      <c r="B52" s="151" t="s">
        <v>121</v>
      </c>
      <c r="C52" s="452">
        <f>+C53+C59</f>
        <v>0</v>
      </c>
    </row>
    <row r="53" spans="1:3" ht="12.75">
      <c r="A53" s="178" t="s">
        <v>122</v>
      </c>
      <c r="B53" s="167" t="s">
        <v>273</v>
      </c>
      <c r="C53" s="468">
        <f>+C54+C55+C56+C57+C58</f>
        <v>0</v>
      </c>
    </row>
    <row r="54" spans="1:3" ht="22.5">
      <c r="A54" s="208" t="s">
        <v>124</v>
      </c>
      <c r="B54" s="109" t="s">
        <v>125</v>
      </c>
      <c r="C54" s="454"/>
    </row>
    <row r="55" spans="1:3" ht="22.5">
      <c r="A55" s="208" t="s">
        <v>126</v>
      </c>
      <c r="B55" s="109" t="s">
        <v>127</v>
      </c>
      <c r="C55" s="454"/>
    </row>
    <row r="56" spans="1:3" ht="22.5">
      <c r="A56" s="208" t="s">
        <v>128</v>
      </c>
      <c r="B56" s="109" t="s">
        <v>129</v>
      </c>
      <c r="C56" s="454"/>
    </row>
    <row r="57" spans="1:3" ht="22.5">
      <c r="A57" s="208" t="s">
        <v>130</v>
      </c>
      <c r="B57" s="109" t="s">
        <v>131</v>
      </c>
      <c r="C57" s="454"/>
    </row>
    <row r="58" spans="1:3" ht="22.5">
      <c r="A58" s="208" t="s">
        <v>132</v>
      </c>
      <c r="B58" s="109" t="s">
        <v>133</v>
      </c>
      <c r="C58" s="454"/>
    </row>
    <row r="59" spans="1:3" ht="12.75">
      <c r="A59" s="180" t="s">
        <v>134</v>
      </c>
      <c r="B59" s="169" t="s">
        <v>274</v>
      </c>
      <c r="C59" s="469">
        <f>+C60+C61+C62+C63+C64</f>
        <v>0</v>
      </c>
    </row>
    <row r="60" spans="1:3" ht="22.5">
      <c r="A60" s="208" t="s">
        <v>136</v>
      </c>
      <c r="B60" s="109" t="s">
        <v>137</v>
      </c>
      <c r="C60" s="454"/>
    </row>
    <row r="61" spans="1:3" ht="22.5">
      <c r="A61" s="208" t="s">
        <v>138</v>
      </c>
      <c r="B61" s="109" t="s">
        <v>139</v>
      </c>
      <c r="C61" s="454"/>
    </row>
    <row r="62" spans="1:3" ht="22.5">
      <c r="A62" s="208" t="s">
        <v>140</v>
      </c>
      <c r="B62" s="109" t="s">
        <v>141</v>
      </c>
      <c r="C62" s="454"/>
    </row>
    <row r="63" spans="1:3" ht="22.5">
      <c r="A63" s="208" t="s">
        <v>142</v>
      </c>
      <c r="B63" s="109" t="s">
        <v>143</v>
      </c>
      <c r="C63" s="454"/>
    </row>
    <row r="64" spans="1:3" ht="23.25" thickBot="1">
      <c r="A64" s="470" t="s">
        <v>144</v>
      </c>
      <c r="B64" s="174" t="s">
        <v>145</v>
      </c>
      <c r="C64" s="471"/>
    </row>
    <row r="65" spans="1:3" ht="24.75" thickBot="1">
      <c r="A65" s="182" t="s">
        <v>146</v>
      </c>
      <c r="B65" s="186" t="s">
        <v>275</v>
      </c>
      <c r="C65" s="452">
        <f>+C51+C52</f>
        <v>4990</v>
      </c>
    </row>
    <row r="66" spans="1:3" ht="13.5" thickBot="1">
      <c r="A66" s="184" t="s">
        <v>148</v>
      </c>
      <c r="B66" s="185" t="s">
        <v>149</v>
      </c>
      <c r="C66" s="457"/>
    </row>
    <row r="67" spans="1:3" ht="60.75" thickBot="1">
      <c r="A67" s="182" t="s">
        <v>150</v>
      </c>
      <c r="B67" s="186" t="s">
        <v>276</v>
      </c>
      <c r="C67" s="472">
        <f>+C65+C66</f>
        <v>4990</v>
      </c>
    </row>
    <row r="68" spans="1:3" ht="15.75">
      <c r="A68" s="187"/>
      <c r="B68" s="188"/>
      <c r="C68" s="84"/>
    </row>
    <row r="69" spans="1:3" ht="15.75">
      <c r="A69" s="437" t="s">
        <v>152</v>
      </c>
      <c r="B69" s="437"/>
      <c r="C69" s="437"/>
    </row>
    <row r="70" spans="1:3" ht="14.25" thickBot="1">
      <c r="A70" s="442" t="s">
        <v>153</v>
      </c>
      <c r="B70" s="442"/>
      <c r="C70" s="189" t="s">
        <v>2</v>
      </c>
    </row>
    <row r="71" spans="1:3" ht="36.75" thickBot="1">
      <c r="A71" s="6" t="s">
        <v>154</v>
      </c>
      <c r="B71" s="7" t="s">
        <v>155</v>
      </c>
      <c r="C71" s="8" t="s">
        <v>5</v>
      </c>
    </row>
    <row r="72" spans="1:3" ht="13.5" thickBot="1">
      <c r="A72" s="9">
        <v>1</v>
      </c>
      <c r="B72" s="10">
        <v>2</v>
      </c>
      <c r="C72" s="473">
        <v>3</v>
      </c>
    </row>
    <row r="73" spans="1:3" ht="13.5" thickBot="1">
      <c r="A73" s="148" t="s">
        <v>11</v>
      </c>
      <c r="B73" s="190" t="s">
        <v>277</v>
      </c>
      <c r="C73" s="449">
        <f>+C74+C75+C76+C77+C78</f>
        <v>4990</v>
      </c>
    </row>
    <row r="74" spans="1:3" ht="12.75">
      <c r="A74" s="156" t="s">
        <v>158</v>
      </c>
      <c r="B74" s="157" t="s">
        <v>159</v>
      </c>
      <c r="C74" s="453">
        <v>240</v>
      </c>
    </row>
    <row r="75" spans="1:3" ht="12.75">
      <c r="A75" s="152" t="s">
        <v>162</v>
      </c>
      <c r="B75" s="107" t="s">
        <v>163</v>
      </c>
      <c r="C75" s="454">
        <v>65</v>
      </c>
    </row>
    <row r="76" spans="1:3" ht="22.5">
      <c r="A76" s="152" t="s">
        <v>164</v>
      </c>
      <c r="B76" s="107" t="s">
        <v>165</v>
      </c>
      <c r="C76" s="460">
        <v>2185</v>
      </c>
    </row>
    <row r="77" spans="1:3" ht="12.75">
      <c r="A77" s="152" t="s">
        <v>168</v>
      </c>
      <c r="B77" s="191" t="s">
        <v>169</v>
      </c>
      <c r="C77" s="460"/>
    </row>
    <row r="78" spans="1:3" ht="12.75">
      <c r="A78" s="152" t="s">
        <v>171</v>
      </c>
      <c r="B78" s="192" t="s">
        <v>172</v>
      </c>
      <c r="C78" s="460">
        <v>2500</v>
      </c>
    </row>
    <row r="79" spans="1:3" ht="12.75">
      <c r="A79" s="152" t="s">
        <v>173</v>
      </c>
      <c r="B79" s="107" t="s">
        <v>174</v>
      </c>
      <c r="C79" s="460"/>
    </row>
    <row r="80" spans="1:3" ht="12.75">
      <c r="A80" s="152" t="s">
        <v>175</v>
      </c>
      <c r="B80" s="193" t="s">
        <v>176</v>
      </c>
      <c r="C80" s="460"/>
    </row>
    <row r="81" spans="1:3" ht="12.75">
      <c r="A81" s="152" t="s">
        <v>177</v>
      </c>
      <c r="B81" s="193" t="s">
        <v>178</v>
      </c>
      <c r="C81" s="460"/>
    </row>
    <row r="82" spans="1:3" ht="12.75">
      <c r="A82" s="152" t="s">
        <v>179</v>
      </c>
      <c r="B82" s="194" t="s">
        <v>180</v>
      </c>
      <c r="C82" s="460">
        <v>2500</v>
      </c>
    </row>
    <row r="83" spans="1:3" ht="12.75">
      <c r="A83" s="158" t="s">
        <v>181</v>
      </c>
      <c r="B83" s="195" t="s">
        <v>182</v>
      </c>
      <c r="C83" s="460"/>
    </row>
    <row r="84" spans="1:3" ht="12.75">
      <c r="A84" s="152" t="s">
        <v>183</v>
      </c>
      <c r="B84" s="195" t="s">
        <v>184</v>
      </c>
      <c r="C84" s="460"/>
    </row>
    <row r="85" spans="1:3" ht="13.5" thickBot="1">
      <c r="A85" s="196" t="s">
        <v>185</v>
      </c>
      <c r="B85" s="197" t="s">
        <v>186</v>
      </c>
      <c r="C85" s="471"/>
    </row>
    <row r="86" spans="1:3" ht="86.25" thickBot="1">
      <c r="A86" s="150" t="s">
        <v>13</v>
      </c>
      <c r="B86" s="198" t="s">
        <v>278</v>
      </c>
      <c r="C86" s="452">
        <f>+C87+C88+C89</f>
        <v>0</v>
      </c>
    </row>
    <row r="87" spans="1:3" ht="22.5">
      <c r="A87" s="162" t="s">
        <v>15</v>
      </c>
      <c r="B87" s="107" t="s">
        <v>188</v>
      </c>
      <c r="C87" s="459"/>
    </row>
    <row r="88" spans="1:3" ht="22.5">
      <c r="A88" s="162" t="s">
        <v>19</v>
      </c>
      <c r="B88" s="164" t="s">
        <v>192</v>
      </c>
      <c r="C88" s="454"/>
    </row>
    <row r="89" spans="1:3" ht="45">
      <c r="A89" s="162" t="s">
        <v>21</v>
      </c>
      <c r="B89" s="109" t="s">
        <v>193</v>
      </c>
      <c r="C89" s="451"/>
    </row>
    <row r="90" spans="1:3" ht="22.5">
      <c r="A90" s="162" t="s">
        <v>23</v>
      </c>
      <c r="B90" s="109" t="s">
        <v>194</v>
      </c>
      <c r="C90" s="451"/>
    </row>
    <row r="91" spans="1:3" ht="22.5">
      <c r="A91" s="162" t="s">
        <v>195</v>
      </c>
      <c r="B91" s="109" t="s">
        <v>196</v>
      </c>
      <c r="C91" s="451"/>
    </row>
    <row r="92" spans="1:3" ht="12.75">
      <c r="A92" s="162" t="s">
        <v>197</v>
      </c>
      <c r="B92" s="109" t="s">
        <v>198</v>
      </c>
      <c r="C92" s="451"/>
    </row>
    <row r="93" spans="1:3" ht="12.75">
      <c r="A93" s="162" t="s">
        <v>199</v>
      </c>
      <c r="B93" s="111" t="s">
        <v>200</v>
      </c>
      <c r="C93" s="451"/>
    </row>
    <row r="94" spans="1:3" ht="12.75">
      <c r="A94" s="162" t="s">
        <v>201</v>
      </c>
      <c r="B94" s="111" t="s">
        <v>202</v>
      </c>
      <c r="C94" s="451"/>
    </row>
    <row r="95" spans="1:3" ht="22.5">
      <c r="A95" s="162" t="s">
        <v>203</v>
      </c>
      <c r="B95" s="111" t="s">
        <v>204</v>
      </c>
      <c r="C95" s="451"/>
    </row>
    <row r="96" spans="1:3" ht="19.5" customHeight="1" thickBot="1">
      <c r="A96" s="158" t="s">
        <v>205</v>
      </c>
      <c r="B96" s="112" t="s">
        <v>206</v>
      </c>
      <c r="C96" s="463"/>
    </row>
    <row r="97" spans="1:3" ht="13.5" thickBot="1">
      <c r="A97" s="150" t="s">
        <v>25</v>
      </c>
      <c r="B97" s="149" t="s">
        <v>207</v>
      </c>
      <c r="C97" s="452">
        <f>+C98+C99</f>
        <v>0</v>
      </c>
    </row>
    <row r="98" spans="1:3" ht="33.75">
      <c r="A98" s="162" t="s">
        <v>27</v>
      </c>
      <c r="B98" s="202" t="s">
        <v>208</v>
      </c>
      <c r="C98" s="459"/>
    </row>
    <row r="99" spans="1:3" ht="23.25" thickBot="1">
      <c r="A99" s="163" t="s">
        <v>29</v>
      </c>
      <c r="B99" s="164" t="s">
        <v>210</v>
      </c>
      <c r="C99" s="460"/>
    </row>
    <row r="100" spans="1:3" ht="13.5" thickBot="1">
      <c r="A100" s="177" t="s">
        <v>213</v>
      </c>
      <c r="B100" s="151" t="s">
        <v>214</v>
      </c>
      <c r="C100" s="474"/>
    </row>
    <row r="101" spans="1:3" ht="13.5" thickBot="1">
      <c r="A101" s="204" t="s">
        <v>47</v>
      </c>
      <c r="B101" s="205" t="s">
        <v>216</v>
      </c>
      <c r="C101" s="449">
        <f>+C73+C86+C97+C100</f>
        <v>4990</v>
      </c>
    </row>
    <row r="102" spans="1:3" ht="13.5" thickBot="1">
      <c r="A102" s="177" t="s">
        <v>77</v>
      </c>
      <c r="B102" s="151" t="s">
        <v>217</v>
      </c>
      <c r="C102" s="452">
        <f>+C103+C111</f>
        <v>0</v>
      </c>
    </row>
    <row r="103" spans="1:3" ht="13.5" thickBot="1">
      <c r="A103" s="475" t="s">
        <v>79</v>
      </c>
      <c r="B103" s="206" t="s">
        <v>281</v>
      </c>
      <c r="C103" s="452">
        <f>+C104+C105+C106+C107+C108+C109+C110</f>
        <v>0</v>
      </c>
    </row>
    <row r="104" spans="1:3" ht="12.75">
      <c r="A104" s="207" t="s">
        <v>81</v>
      </c>
      <c r="B104" s="154" t="s">
        <v>219</v>
      </c>
      <c r="C104" s="476"/>
    </row>
    <row r="105" spans="1:3" ht="12.75">
      <c r="A105" s="208" t="s">
        <v>83</v>
      </c>
      <c r="B105" s="109" t="s">
        <v>220</v>
      </c>
      <c r="C105" s="477"/>
    </row>
    <row r="106" spans="1:3" ht="12.75">
      <c r="A106" s="208" t="s">
        <v>85</v>
      </c>
      <c r="B106" s="109" t="s">
        <v>221</v>
      </c>
      <c r="C106" s="477"/>
    </row>
    <row r="107" spans="1:3" ht="12.75">
      <c r="A107" s="208" t="s">
        <v>87</v>
      </c>
      <c r="B107" s="109" t="s">
        <v>222</v>
      </c>
      <c r="C107" s="477"/>
    </row>
    <row r="108" spans="1:3" ht="12.75">
      <c r="A108" s="208" t="s">
        <v>89</v>
      </c>
      <c r="B108" s="109" t="s">
        <v>223</v>
      </c>
      <c r="C108" s="477"/>
    </row>
    <row r="109" spans="1:3" ht="12.75">
      <c r="A109" s="208" t="s">
        <v>224</v>
      </c>
      <c r="B109" s="109" t="s">
        <v>225</v>
      </c>
      <c r="C109" s="477"/>
    </row>
    <row r="110" spans="1:3" ht="34.5" thickBot="1">
      <c r="A110" s="209" t="s">
        <v>226</v>
      </c>
      <c r="B110" s="210" t="s">
        <v>227</v>
      </c>
      <c r="C110" s="478"/>
    </row>
    <row r="111" spans="1:3" ht="13.5" thickBot="1">
      <c r="A111" s="475" t="s">
        <v>91</v>
      </c>
      <c r="B111" s="206" t="s">
        <v>439</v>
      </c>
      <c r="C111" s="452">
        <f>+C112+C113+C114+C115+C116+C117+C118+C119</f>
        <v>0</v>
      </c>
    </row>
    <row r="112" spans="1:3" ht="12.75">
      <c r="A112" s="207" t="s">
        <v>93</v>
      </c>
      <c r="B112" s="154" t="s">
        <v>219</v>
      </c>
      <c r="C112" s="476"/>
    </row>
    <row r="113" spans="1:3" ht="12.75">
      <c r="A113" s="208" t="s">
        <v>94</v>
      </c>
      <c r="B113" s="109" t="s">
        <v>229</v>
      </c>
      <c r="C113" s="477"/>
    </row>
    <row r="114" spans="1:3" ht="12.75">
      <c r="A114" s="208" t="s">
        <v>96</v>
      </c>
      <c r="B114" s="109" t="s">
        <v>221</v>
      </c>
      <c r="C114" s="477"/>
    </row>
    <row r="115" spans="1:3" ht="12.75">
      <c r="A115" s="208" t="s">
        <v>97</v>
      </c>
      <c r="B115" s="109" t="s">
        <v>222</v>
      </c>
      <c r="C115" s="477"/>
    </row>
    <row r="116" spans="1:3" ht="12.75">
      <c r="A116" s="208" t="s">
        <v>99</v>
      </c>
      <c r="B116" s="109" t="s">
        <v>223</v>
      </c>
      <c r="C116" s="477"/>
    </row>
    <row r="117" spans="1:3" ht="12.75">
      <c r="A117" s="208" t="s">
        <v>230</v>
      </c>
      <c r="B117" s="109" t="s">
        <v>231</v>
      </c>
      <c r="C117" s="477"/>
    </row>
    <row r="118" spans="1:3" ht="12.75">
      <c r="A118" s="208" t="s">
        <v>232</v>
      </c>
      <c r="B118" s="109" t="s">
        <v>227</v>
      </c>
      <c r="C118" s="477"/>
    </row>
    <row r="119" spans="1:3" ht="13.5" thickBot="1">
      <c r="A119" s="209" t="s">
        <v>233</v>
      </c>
      <c r="B119" s="210" t="s">
        <v>234</v>
      </c>
      <c r="C119" s="478"/>
    </row>
    <row r="120" spans="1:3" ht="24.75" thickBot="1">
      <c r="A120" s="177" t="s">
        <v>235</v>
      </c>
      <c r="B120" s="186" t="s">
        <v>236</v>
      </c>
      <c r="C120" s="479">
        <f>+C101+C102</f>
        <v>4990</v>
      </c>
    </row>
    <row r="121" spans="1:3" ht="13.5" thickBot="1">
      <c r="A121" s="177" t="s">
        <v>107</v>
      </c>
      <c r="B121" s="186" t="s">
        <v>237</v>
      </c>
      <c r="C121" s="480"/>
    </row>
    <row r="122" spans="1:3" ht="13.5" thickBot="1">
      <c r="A122" s="211" t="s">
        <v>238</v>
      </c>
      <c r="B122" s="185" t="s">
        <v>239</v>
      </c>
      <c r="C122" s="452">
        <f>+C120+C121</f>
        <v>4990</v>
      </c>
    </row>
    <row r="123" spans="1:3" ht="15.75">
      <c r="A123" s="212"/>
      <c r="B123" s="212"/>
      <c r="C123" s="213"/>
    </row>
    <row r="124" spans="1:3" ht="15.75">
      <c r="A124" s="441" t="s">
        <v>240</v>
      </c>
      <c r="B124" s="441"/>
      <c r="C124" s="441"/>
    </row>
    <row r="125" spans="1:3" ht="14.25" thickBot="1">
      <c r="A125" s="438" t="s">
        <v>241</v>
      </c>
      <c r="B125" s="438"/>
      <c r="C125" s="5" t="s">
        <v>2</v>
      </c>
    </row>
    <row r="126" spans="1:3" ht="21.75" thickBot="1">
      <c r="A126" s="150">
        <v>1</v>
      </c>
      <c r="B126" s="198" t="s">
        <v>242</v>
      </c>
      <c r="C126" s="481">
        <f>+C51-C101</f>
        <v>0</v>
      </c>
    </row>
  </sheetData>
  <mergeCells count="6">
    <mergeCell ref="A124:C124"/>
    <mergeCell ref="A125:B125"/>
    <mergeCell ref="A1:C1"/>
    <mergeCell ref="A2:B2"/>
    <mergeCell ref="A69:C69"/>
    <mergeCell ref="A70:B7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8"/>
  </sheetPr>
  <dimension ref="A1:P32"/>
  <sheetViews>
    <sheetView view="pageBreakPreview" zoomScaleSheetLayoutView="100" workbookViewId="0" topLeftCell="B13">
      <selection activeCell="B38" activeCellId="1" sqref="H16:I17 B38"/>
    </sheetView>
  </sheetViews>
  <sheetFormatPr defaultColWidth="9.00390625" defaultRowHeight="12.75"/>
  <cols>
    <col min="1" max="1" width="6.875" style="218" customWidth="1"/>
    <col min="2" max="2" width="55.125" style="219" customWidth="1"/>
    <col min="3" max="3" width="16.375" style="218" customWidth="1"/>
    <col min="4" max="4" width="14.50390625" style="218" customWidth="1"/>
    <col min="5" max="5" width="14.625" style="218" customWidth="1"/>
    <col min="6" max="7" width="15.00390625" style="218" customWidth="1"/>
    <col min="8" max="8" width="0" style="218" hidden="1" customWidth="1"/>
    <col min="9" max="9" width="55.125" style="218" customWidth="1"/>
    <col min="10" max="11" width="14.50390625" style="218" customWidth="1"/>
    <col min="12" max="12" width="14.625" style="218" customWidth="1"/>
    <col min="13" max="14" width="14.50390625" style="218" customWidth="1"/>
    <col min="15" max="15" width="0" style="218" hidden="1" customWidth="1"/>
    <col min="16" max="16" width="4.875" style="218" customWidth="1"/>
    <col min="17" max="16384" width="9.375" style="218" customWidth="1"/>
  </cols>
  <sheetData>
    <row r="1" spans="2:16" ht="39.75" customHeight="1">
      <c r="B1" s="443" t="s">
        <v>283</v>
      </c>
      <c r="C1" s="443"/>
      <c r="D1" s="443"/>
      <c r="E1" s="443"/>
      <c r="F1" s="443"/>
      <c r="G1" s="443"/>
      <c r="H1" s="443"/>
      <c r="I1" s="443"/>
      <c r="J1" s="443"/>
      <c r="K1" s="220"/>
      <c r="L1" s="220"/>
      <c r="M1" s="220"/>
      <c r="N1" s="220"/>
      <c r="O1" s="220"/>
      <c r="P1" s="444" t="s">
        <v>284</v>
      </c>
    </row>
    <row r="2" spans="10:16" ht="13.5">
      <c r="J2" s="221" t="s">
        <v>285</v>
      </c>
      <c r="K2" s="221"/>
      <c r="L2" s="221"/>
      <c r="M2" s="221"/>
      <c r="N2" s="221"/>
      <c r="O2" s="221"/>
      <c r="P2" s="444"/>
    </row>
    <row r="3" spans="1:16" ht="18" customHeight="1">
      <c r="A3" s="445" t="s">
        <v>3</v>
      </c>
      <c r="B3" s="446" t="s">
        <v>286</v>
      </c>
      <c r="C3" s="446"/>
      <c r="D3" s="223"/>
      <c r="E3" s="223"/>
      <c r="F3" s="223"/>
      <c r="G3" s="223"/>
      <c r="H3" s="223"/>
      <c r="I3" s="445" t="s">
        <v>287</v>
      </c>
      <c r="J3" s="445"/>
      <c r="K3" s="224"/>
      <c r="L3" s="224"/>
      <c r="M3" s="224"/>
      <c r="N3" s="224"/>
      <c r="O3" s="224"/>
      <c r="P3" s="444"/>
    </row>
    <row r="4" spans="1:16" s="225" customFormat="1" ht="49.5" customHeight="1">
      <c r="A4" s="445"/>
      <c r="B4" s="222" t="s">
        <v>288</v>
      </c>
      <c r="C4" s="8" t="s">
        <v>5</v>
      </c>
      <c r="D4" s="8" t="s">
        <v>6</v>
      </c>
      <c r="E4" s="8" t="s">
        <v>7</v>
      </c>
      <c r="F4" s="8" t="s">
        <v>261</v>
      </c>
      <c r="G4" s="8" t="s">
        <v>9</v>
      </c>
      <c r="H4" s="8" t="s">
        <v>10</v>
      </c>
      <c r="I4" s="222" t="s">
        <v>288</v>
      </c>
      <c r="J4" s="8" t="s">
        <v>5</v>
      </c>
      <c r="K4" s="8" t="s">
        <v>6</v>
      </c>
      <c r="L4" s="8" t="s">
        <v>7</v>
      </c>
      <c r="M4" s="8" t="s">
        <v>261</v>
      </c>
      <c r="N4" s="8" t="s">
        <v>9</v>
      </c>
      <c r="O4" s="8" t="s">
        <v>10</v>
      </c>
      <c r="P4" s="444"/>
    </row>
    <row r="5" spans="1:16" s="228" customFormat="1" ht="12" customHeight="1">
      <c r="A5" s="226">
        <v>1</v>
      </c>
      <c r="B5" s="227">
        <v>2</v>
      </c>
      <c r="C5" s="11">
        <v>3</v>
      </c>
      <c r="D5" s="9">
        <v>4</v>
      </c>
      <c r="E5" s="10">
        <v>5</v>
      </c>
      <c r="F5" s="9">
        <v>6</v>
      </c>
      <c r="G5" s="10">
        <v>7</v>
      </c>
      <c r="H5" s="9">
        <v>8</v>
      </c>
      <c r="I5" s="10">
        <v>9</v>
      </c>
      <c r="J5" s="9">
        <v>10</v>
      </c>
      <c r="K5" s="10">
        <v>11</v>
      </c>
      <c r="L5" s="9">
        <v>12</v>
      </c>
      <c r="M5" s="10">
        <v>13</v>
      </c>
      <c r="N5" s="9">
        <v>14</v>
      </c>
      <c r="O5" s="10">
        <v>15</v>
      </c>
      <c r="P5" s="444"/>
    </row>
    <row r="6" spans="1:16" ht="12.75" customHeight="1">
      <c r="A6" s="229" t="s">
        <v>11</v>
      </c>
      <c r="B6" s="230" t="s">
        <v>289</v>
      </c>
      <c r="C6" s="231">
        <v>75898</v>
      </c>
      <c r="D6" s="231"/>
      <c r="E6" s="231">
        <v>75898</v>
      </c>
      <c r="F6" s="231"/>
      <c r="G6" s="231">
        <v>75898</v>
      </c>
      <c r="H6" s="231">
        <v>51518</v>
      </c>
      <c r="I6" s="230" t="s">
        <v>290</v>
      </c>
      <c r="J6" s="232">
        <v>211764</v>
      </c>
      <c r="K6" s="232">
        <v>4823</v>
      </c>
      <c r="L6" s="232">
        <v>216587</v>
      </c>
      <c r="M6" s="232">
        <v>-4199</v>
      </c>
      <c r="N6" s="232">
        <v>212388</v>
      </c>
      <c r="O6" s="232">
        <v>161025</v>
      </c>
      <c r="P6" s="444"/>
    </row>
    <row r="7" spans="1:16" ht="12.75" customHeight="1">
      <c r="A7" s="233" t="s">
        <v>13</v>
      </c>
      <c r="B7" s="234" t="s">
        <v>291</v>
      </c>
      <c r="C7" s="235">
        <v>50087</v>
      </c>
      <c r="D7" s="235"/>
      <c r="E7" s="235">
        <v>50087</v>
      </c>
      <c r="F7" s="235"/>
      <c r="G7" s="235">
        <v>50087</v>
      </c>
      <c r="H7" s="235">
        <v>28963</v>
      </c>
      <c r="I7" s="234" t="s">
        <v>163</v>
      </c>
      <c r="J7" s="236">
        <v>42166</v>
      </c>
      <c r="K7" s="236">
        <v>1666</v>
      </c>
      <c r="L7" s="236">
        <v>43832</v>
      </c>
      <c r="M7" s="236">
        <v>-1139</v>
      </c>
      <c r="N7" s="236">
        <v>42693</v>
      </c>
      <c r="O7" s="236">
        <v>39999</v>
      </c>
      <c r="P7" s="444"/>
    </row>
    <row r="8" spans="1:16" ht="12.75" customHeight="1">
      <c r="A8" s="233" t="s">
        <v>25</v>
      </c>
      <c r="B8" s="234" t="s">
        <v>292</v>
      </c>
      <c r="C8" s="235">
        <v>4000</v>
      </c>
      <c r="D8" s="235"/>
      <c r="E8" s="235">
        <v>4000</v>
      </c>
      <c r="F8" s="235"/>
      <c r="G8" s="235">
        <v>4000</v>
      </c>
      <c r="H8" s="235">
        <v>2059</v>
      </c>
      <c r="I8" s="234" t="s">
        <v>293</v>
      </c>
      <c r="J8" s="236">
        <v>237350</v>
      </c>
      <c r="K8" s="236">
        <v>4892</v>
      </c>
      <c r="L8" s="236">
        <v>242242</v>
      </c>
      <c r="M8" s="236">
        <v>-2225</v>
      </c>
      <c r="N8" s="236">
        <v>240017</v>
      </c>
      <c r="O8" s="236">
        <v>157623</v>
      </c>
      <c r="P8" s="444"/>
    </row>
    <row r="9" spans="1:16" ht="12.75" customHeight="1">
      <c r="A9" s="233" t="s">
        <v>213</v>
      </c>
      <c r="B9" s="237" t="s">
        <v>294</v>
      </c>
      <c r="C9" s="235">
        <v>254390</v>
      </c>
      <c r="D9" s="235">
        <v>47271</v>
      </c>
      <c r="E9" s="235">
        <v>301661</v>
      </c>
      <c r="F9" s="235">
        <v>3465</v>
      </c>
      <c r="G9" s="235">
        <f>E9+F9</f>
        <v>305126</v>
      </c>
      <c r="H9" s="235">
        <f>214090-2431</f>
        <v>211659</v>
      </c>
      <c r="I9" s="234" t="s">
        <v>169</v>
      </c>
      <c r="J9" s="236">
        <v>39215</v>
      </c>
      <c r="K9" s="236">
        <v>23613</v>
      </c>
      <c r="L9" s="236">
        <v>62828</v>
      </c>
      <c r="M9" s="236"/>
      <c r="N9" s="236">
        <v>62828</v>
      </c>
      <c r="O9" s="236">
        <v>64574</v>
      </c>
      <c r="P9" s="444"/>
    </row>
    <row r="10" spans="1:16" ht="12.75" customHeight="1">
      <c r="A10" s="233" t="s">
        <v>47</v>
      </c>
      <c r="B10" s="234" t="s">
        <v>295</v>
      </c>
      <c r="C10" s="235">
        <f>212594-47303</f>
        <v>165291</v>
      </c>
      <c r="D10" s="235">
        <v>6237</v>
      </c>
      <c r="E10" s="235">
        <v>171528</v>
      </c>
      <c r="F10" s="235">
        <v>-7333</v>
      </c>
      <c r="G10" s="235">
        <f>E10+F10</f>
        <v>164195</v>
      </c>
      <c r="H10" s="235">
        <v>133132</v>
      </c>
      <c r="I10" s="234" t="s">
        <v>172</v>
      </c>
      <c r="J10" s="236">
        <v>6590</v>
      </c>
      <c r="K10" s="236"/>
      <c r="L10" s="236">
        <v>6590</v>
      </c>
      <c r="M10" s="236"/>
      <c r="N10" s="236">
        <v>6590</v>
      </c>
      <c r="O10" s="236">
        <v>10875</v>
      </c>
      <c r="P10" s="444"/>
    </row>
    <row r="11" spans="1:16" ht="12.75" customHeight="1">
      <c r="A11" s="233" t="s">
        <v>77</v>
      </c>
      <c r="B11" s="234" t="s">
        <v>296</v>
      </c>
      <c r="C11" s="238">
        <v>21946</v>
      </c>
      <c r="D11" s="238"/>
      <c r="E11" s="238">
        <v>21946</v>
      </c>
      <c r="F11" s="238"/>
      <c r="G11" s="238">
        <v>21946</v>
      </c>
      <c r="H11" s="238"/>
      <c r="I11" s="234" t="s">
        <v>297</v>
      </c>
      <c r="J11" s="236">
        <v>166876</v>
      </c>
      <c r="K11" s="236">
        <v>236</v>
      </c>
      <c r="L11" s="236">
        <v>167112</v>
      </c>
      <c r="M11" s="236"/>
      <c r="N11" s="236">
        <v>167112</v>
      </c>
      <c r="O11" s="236"/>
      <c r="P11" s="444"/>
    </row>
    <row r="12" spans="1:16" ht="12.75" customHeight="1">
      <c r="A12" s="233" t="s">
        <v>235</v>
      </c>
      <c r="B12" s="234" t="s">
        <v>298</v>
      </c>
      <c r="C12" s="235">
        <v>47303</v>
      </c>
      <c r="D12" s="235">
        <v>-18278</v>
      </c>
      <c r="E12" s="235">
        <v>29025</v>
      </c>
      <c r="F12" s="235"/>
      <c r="G12" s="235">
        <v>29025</v>
      </c>
      <c r="H12" s="235"/>
      <c r="I12" s="234" t="s">
        <v>299</v>
      </c>
      <c r="J12" s="236"/>
      <c r="K12" s="236"/>
      <c r="L12" s="236"/>
      <c r="M12" s="236"/>
      <c r="N12" s="236"/>
      <c r="O12" s="236"/>
      <c r="P12" s="444"/>
    </row>
    <row r="13" spans="1:16" ht="12.75" customHeight="1">
      <c r="A13" s="233" t="s">
        <v>107</v>
      </c>
      <c r="B13" s="234" t="s">
        <v>300</v>
      </c>
      <c r="C13" s="235"/>
      <c r="D13" s="235"/>
      <c r="E13" s="235"/>
      <c r="F13" s="235"/>
      <c r="G13" s="235"/>
      <c r="H13" s="235">
        <v>1063</v>
      </c>
      <c r="I13" s="239" t="s">
        <v>301</v>
      </c>
      <c r="J13" s="236"/>
      <c r="K13" s="236"/>
      <c r="L13" s="236"/>
      <c r="M13" s="236">
        <v>3695</v>
      </c>
      <c r="N13" s="236">
        <v>3695</v>
      </c>
      <c r="O13" s="236"/>
      <c r="P13" s="444"/>
    </row>
    <row r="14" spans="1:16" ht="12.75" customHeight="1">
      <c r="A14" s="233" t="s">
        <v>238</v>
      </c>
      <c r="B14" s="240" t="s">
        <v>302</v>
      </c>
      <c r="C14" s="238"/>
      <c r="D14" s="238"/>
      <c r="E14" s="238"/>
      <c r="F14" s="238"/>
      <c r="G14" s="238"/>
      <c r="H14" s="238"/>
      <c r="I14" s="239"/>
      <c r="J14" s="236"/>
      <c r="K14" s="236"/>
      <c r="L14" s="236"/>
      <c r="M14" s="236"/>
      <c r="N14" s="236"/>
      <c r="O14" s="236"/>
      <c r="P14" s="444"/>
    </row>
    <row r="15" spans="1:16" ht="12.75" customHeight="1">
      <c r="A15" s="233" t="s">
        <v>118</v>
      </c>
      <c r="B15" s="239"/>
      <c r="C15" s="235"/>
      <c r="D15" s="235"/>
      <c r="E15" s="235"/>
      <c r="F15" s="235"/>
      <c r="G15" s="235"/>
      <c r="H15" s="235"/>
      <c r="I15" s="239"/>
      <c r="J15" s="236"/>
      <c r="K15" s="236"/>
      <c r="L15" s="236"/>
      <c r="M15" s="236"/>
      <c r="N15" s="236"/>
      <c r="O15" s="236"/>
      <c r="P15" s="444"/>
    </row>
    <row r="16" spans="1:16" ht="12.75" customHeight="1">
      <c r="A16" s="233" t="s">
        <v>120</v>
      </c>
      <c r="B16" s="239"/>
      <c r="C16" s="235"/>
      <c r="D16" s="235"/>
      <c r="E16" s="235"/>
      <c r="F16" s="235"/>
      <c r="G16" s="235"/>
      <c r="H16" s="235"/>
      <c r="I16" s="239"/>
      <c r="J16" s="236"/>
      <c r="K16" s="236"/>
      <c r="L16" s="236"/>
      <c r="M16" s="236"/>
      <c r="N16" s="236"/>
      <c r="O16" s="236"/>
      <c r="P16" s="444"/>
    </row>
    <row r="17" spans="1:16" ht="12.75" customHeight="1">
      <c r="A17" s="233" t="s">
        <v>146</v>
      </c>
      <c r="B17" s="241"/>
      <c r="C17" s="242"/>
      <c r="D17" s="242"/>
      <c r="E17" s="242"/>
      <c r="F17" s="242"/>
      <c r="G17" s="242"/>
      <c r="H17" s="242"/>
      <c r="I17" s="239"/>
      <c r="J17" s="243"/>
      <c r="K17" s="243"/>
      <c r="L17" s="243"/>
      <c r="M17" s="243"/>
      <c r="N17" s="243"/>
      <c r="O17" s="243"/>
      <c r="P17" s="444"/>
    </row>
    <row r="18" spans="1:16" ht="15.75" customHeight="1">
      <c r="A18" s="244" t="s">
        <v>148</v>
      </c>
      <c r="B18" s="245" t="s">
        <v>303</v>
      </c>
      <c r="C18" s="246">
        <f aca="true" t="shared" si="0" ref="C18:H18">+C6+C7+C8+C9+C10+C12+C13+C14+C15+C16+C17</f>
        <v>596969</v>
      </c>
      <c r="D18" s="246">
        <f t="shared" si="0"/>
        <v>35230</v>
      </c>
      <c r="E18" s="246">
        <f t="shared" si="0"/>
        <v>632199</v>
      </c>
      <c r="F18" s="246">
        <f t="shared" si="0"/>
        <v>-3868</v>
      </c>
      <c r="G18" s="246">
        <f t="shared" si="0"/>
        <v>628331</v>
      </c>
      <c r="H18" s="246">
        <f t="shared" si="0"/>
        <v>428394</v>
      </c>
      <c r="I18" s="245" t="s">
        <v>304</v>
      </c>
      <c r="J18" s="247">
        <f aca="true" t="shared" si="1" ref="J18:O18">SUM(J6:J17)</f>
        <v>703961</v>
      </c>
      <c r="K18" s="247">
        <f t="shared" si="1"/>
        <v>35230</v>
      </c>
      <c r="L18" s="247">
        <f t="shared" si="1"/>
        <v>739191</v>
      </c>
      <c r="M18" s="247">
        <f t="shared" si="1"/>
        <v>-3868</v>
      </c>
      <c r="N18" s="247">
        <f t="shared" si="1"/>
        <v>735323</v>
      </c>
      <c r="O18" s="247">
        <f t="shared" si="1"/>
        <v>434096</v>
      </c>
      <c r="P18" s="444"/>
    </row>
    <row r="19" spans="1:16" ht="12.75" customHeight="1">
      <c r="A19" s="248" t="s">
        <v>150</v>
      </c>
      <c r="B19" s="249" t="s">
        <v>305</v>
      </c>
      <c r="C19" s="250">
        <f aca="true" t="shared" si="2" ref="C19:H19">+C20+C21+C22+C23</f>
        <v>106992</v>
      </c>
      <c r="D19" s="250">
        <f t="shared" si="2"/>
        <v>0</v>
      </c>
      <c r="E19" s="250">
        <f t="shared" si="2"/>
        <v>106992</v>
      </c>
      <c r="F19" s="250">
        <f t="shared" si="2"/>
        <v>0</v>
      </c>
      <c r="G19" s="250">
        <f t="shared" si="2"/>
        <v>106992</v>
      </c>
      <c r="H19" s="250">
        <f t="shared" si="2"/>
        <v>111884</v>
      </c>
      <c r="I19" s="234" t="s">
        <v>306</v>
      </c>
      <c r="J19" s="251"/>
      <c r="K19" s="251"/>
      <c r="L19" s="251"/>
      <c r="M19" s="251"/>
      <c r="N19" s="251"/>
      <c r="O19" s="251"/>
      <c r="P19" s="444"/>
    </row>
    <row r="20" spans="1:16" ht="12.75" customHeight="1">
      <c r="A20" s="233" t="s">
        <v>307</v>
      </c>
      <c r="B20" s="234" t="s">
        <v>125</v>
      </c>
      <c r="C20" s="235">
        <v>106992</v>
      </c>
      <c r="D20" s="235"/>
      <c r="E20" s="235">
        <v>106992</v>
      </c>
      <c r="F20" s="235"/>
      <c r="G20" s="235">
        <v>106992</v>
      </c>
      <c r="H20" s="235">
        <v>111884</v>
      </c>
      <c r="I20" s="234" t="s">
        <v>308</v>
      </c>
      <c r="J20" s="236"/>
      <c r="K20" s="236"/>
      <c r="L20" s="236"/>
      <c r="M20" s="236"/>
      <c r="N20" s="236"/>
      <c r="O20" s="236"/>
      <c r="P20" s="444"/>
    </row>
    <row r="21" spans="1:16" ht="12.75" customHeight="1">
      <c r="A21" s="233" t="s">
        <v>309</v>
      </c>
      <c r="B21" s="234" t="s">
        <v>127</v>
      </c>
      <c r="C21" s="235"/>
      <c r="D21" s="235"/>
      <c r="E21" s="235"/>
      <c r="F21" s="235"/>
      <c r="G21" s="235"/>
      <c r="H21" s="235"/>
      <c r="I21" s="234" t="s">
        <v>310</v>
      </c>
      <c r="J21" s="236"/>
      <c r="K21" s="236"/>
      <c r="L21" s="236"/>
      <c r="M21" s="236"/>
      <c r="N21" s="236"/>
      <c r="O21" s="236"/>
      <c r="P21" s="444"/>
    </row>
    <row r="22" spans="1:16" ht="12.75" customHeight="1">
      <c r="A22" s="233" t="s">
        <v>311</v>
      </c>
      <c r="B22" s="234" t="s">
        <v>312</v>
      </c>
      <c r="C22" s="235"/>
      <c r="D22" s="235"/>
      <c r="E22" s="235"/>
      <c r="F22" s="235"/>
      <c r="G22" s="235"/>
      <c r="H22" s="235"/>
      <c r="I22" s="234" t="s">
        <v>313</v>
      </c>
      <c r="J22" s="236"/>
      <c r="K22" s="236"/>
      <c r="L22" s="236"/>
      <c r="M22" s="236"/>
      <c r="N22" s="236"/>
      <c r="O22" s="236"/>
      <c r="P22" s="444"/>
    </row>
    <row r="23" spans="1:16" ht="12.75" customHeight="1">
      <c r="A23" s="233" t="s">
        <v>314</v>
      </c>
      <c r="B23" s="234" t="s">
        <v>315</v>
      </c>
      <c r="C23" s="235"/>
      <c r="D23" s="235"/>
      <c r="E23" s="235"/>
      <c r="F23" s="235"/>
      <c r="G23" s="235"/>
      <c r="H23" s="235"/>
      <c r="I23" s="249" t="s">
        <v>316</v>
      </c>
      <c r="J23" s="236"/>
      <c r="K23" s="236"/>
      <c r="L23" s="236"/>
      <c r="M23" s="236"/>
      <c r="N23" s="236"/>
      <c r="O23" s="236"/>
      <c r="P23" s="444"/>
    </row>
    <row r="24" spans="1:16" ht="12.75" customHeight="1">
      <c r="A24" s="233" t="s">
        <v>317</v>
      </c>
      <c r="B24" s="234" t="s">
        <v>318</v>
      </c>
      <c r="C24" s="252">
        <f>+C25+C26</f>
        <v>0</v>
      </c>
      <c r="D24" s="252"/>
      <c r="E24" s="252"/>
      <c r="F24" s="252"/>
      <c r="G24" s="252"/>
      <c r="H24" s="252"/>
      <c r="I24" s="234" t="s">
        <v>319</v>
      </c>
      <c r="J24" s="236"/>
      <c r="K24" s="236"/>
      <c r="L24" s="236"/>
      <c r="M24" s="236"/>
      <c r="N24" s="236"/>
      <c r="O24" s="236"/>
      <c r="P24" s="444"/>
    </row>
    <row r="25" spans="1:16" ht="12.75" customHeight="1">
      <c r="A25" s="248" t="s">
        <v>320</v>
      </c>
      <c r="B25" s="249" t="s">
        <v>321</v>
      </c>
      <c r="C25" s="253"/>
      <c r="D25" s="253"/>
      <c r="E25" s="253"/>
      <c r="F25" s="253"/>
      <c r="G25" s="253"/>
      <c r="H25" s="253"/>
      <c r="I25" s="230" t="s">
        <v>322</v>
      </c>
      <c r="J25" s="251"/>
      <c r="K25" s="251"/>
      <c r="L25" s="251"/>
      <c r="M25" s="251"/>
      <c r="N25" s="251"/>
      <c r="O25" s="251"/>
      <c r="P25" s="444"/>
    </row>
    <row r="26" spans="1:16" ht="12.75" customHeight="1">
      <c r="A26" s="233" t="s">
        <v>323</v>
      </c>
      <c r="B26" s="234" t="s">
        <v>145</v>
      </c>
      <c r="C26" s="235"/>
      <c r="D26" s="235"/>
      <c r="E26" s="235"/>
      <c r="F26" s="235"/>
      <c r="G26" s="235"/>
      <c r="H26" s="235"/>
      <c r="I26" s="239"/>
      <c r="J26" s="236"/>
      <c r="K26" s="236"/>
      <c r="L26" s="236"/>
      <c r="M26" s="236"/>
      <c r="N26" s="236"/>
      <c r="O26" s="236"/>
      <c r="P26" s="444"/>
    </row>
    <row r="27" spans="1:16" ht="25.5" customHeight="1">
      <c r="A27" s="244" t="s">
        <v>324</v>
      </c>
      <c r="B27" s="245" t="s">
        <v>325</v>
      </c>
      <c r="C27" s="246">
        <f aca="true" t="shared" si="3" ref="C27:H27">+C19+C24</f>
        <v>106992</v>
      </c>
      <c r="D27" s="246">
        <f t="shared" si="3"/>
        <v>0</v>
      </c>
      <c r="E27" s="246">
        <f t="shared" si="3"/>
        <v>106992</v>
      </c>
      <c r="F27" s="246">
        <f t="shared" si="3"/>
        <v>0</v>
      </c>
      <c r="G27" s="246">
        <f t="shared" si="3"/>
        <v>106992</v>
      </c>
      <c r="H27" s="246">
        <f t="shared" si="3"/>
        <v>111884</v>
      </c>
      <c r="I27" s="245" t="s">
        <v>326</v>
      </c>
      <c r="J27" s="247">
        <f>SUM(J19:J26)</f>
        <v>0</v>
      </c>
      <c r="K27" s="247">
        <f>SUM(K19:K26)</f>
        <v>0</v>
      </c>
      <c r="L27" s="247">
        <f>SUM(L19:L26)</f>
        <v>0</v>
      </c>
      <c r="M27" s="247"/>
      <c r="N27" s="247"/>
      <c r="O27" s="247">
        <f>SUM(O19:O26)</f>
        <v>0</v>
      </c>
      <c r="P27" s="444"/>
    </row>
    <row r="28" spans="1:16" ht="23.25" customHeight="1">
      <c r="A28" s="244" t="s">
        <v>327</v>
      </c>
      <c r="B28" s="245" t="s">
        <v>328</v>
      </c>
      <c r="C28" s="246">
        <f aca="true" t="shared" si="4" ref="C28:H28">+C18+C27</f>
        <v>703961</v>
      </c>
      <c r="D28" s="246">
        <f t="shared" si="4"/>
        <v>35230</v>
      </c>
      <c r="E28" s="246">
        <f t="shared" si="4"/>
        <v>739191</v>
      </c>
      <c r="F28" s="246">
        <f t="shared" si="4"/>
        <v>-3868</v>
      </c>
      <c r="G28" s="246">
        <f t="shared" si="4"/>
        <v>735323</v>
      </c>
      <c r="H28" s="246">
        <f t="shared" si="4"/>
        <v>540278</v>
      </c>
      <c r="I28" s="245" t="s">
        <v>329</v>
      </c>
      <c r="J28" s="247">
        <f aca="true" t="shared" si="5" ref="J28:O28">+J18+J27</f>
        <v>703961</v>
      </c>
      <c r="K28" s="247">
        <f t="shared" si="5"/>
        <v>35230</v>
      </c>
      <c r="L28" s="247">
        <f t="shared" si="5"/>
        <v>739191</v>
      </c>
      <c r="M28" s="247">
        <f t="shared" si="5"/>
        <v>-3868</v>
      </c>
      <c r="N28" s="247">
        <f t="shared" si="5"/>
        <v>735323</v>
      </c>
      <c r="O28" s="247">
        <f t="shared" si="5"/>
        <v>434096</v>
      </c>
      <c r="P28" s="444"/>
    </row>
    <row r="29" spans="1:16" ht="18" customHeight="1">
      <c r="A29" s="244" t="s">
        <v>330</v>
      </c>
      <c r="B29" s="245" t="s">
        <v>331</v>
      </c>
      <c r="C29" s="254"/>
      <c r="D29" s="254"/>
      <c r="E29" s="254"/>
      <c r="F29" s="254"/>
      <c r="G29" s="254"/>
      <c r="H29" s="254">
        <v>3145</v>
      </c>
      <c r="I29" s="245" t="s">
        <v>332</v>
      </c>
      <c r="J29" s="255"/>
      <c r="K29" s="255"/>
      <c r="L29" s="255"/>
      <c r="M29" s="255"/>
      <c r="N29" s="255"/>
      <c r="O29" s="255">
        <v>-21494</v>
      </c>
      <c r="P29" s="444"/>
    </row>
    <row r="30" spans="1:16" ht="12.75">
      <c r="A30" s="244" t="s">
        <v>333</v>
      </c>
      <c r="B30" s="245" t="s">
        <v>334</v>
      </c>
      <c r="C30" s="256">
        <f aca="true" t="shared" si="6" ref="C30:H30">+C28+C29</f>
        <v>703961</v>
      </c>
      <c r="D30" s="256">
        <f t="shared" si="6"/>
        <v>35230</v>
      </c>
      <c r="E30" s="256">
        <f t="shared" si="6"/>
        <v>739191</v>
      </c>
      <c r="F30" s="256">
        <f t="shared" si="6"/>
        <v>-3868</v>
      </c>
      <c r="G30" s="256">
        <f t="shared" si="6"/>
        <v>735323</v>
      </c>
      <c r="H30" s="256">
        <f t="shared" si="6"/>
        <v>543423</v>
      </c>
      <c r="I30" s="245" t="s">
        <v>335</v>
      </c>
      <c r="J30" s="256">
        <f aca="true" t="shared" si="7" ref="J30:O30">+J28+J29</f>
        <v>703961</v>
      </c>
      <c r="K30" s="256">
        <f t="shared" si="7"/>
        <v>35230</v>
      </c>
      <c r="L30" s="256">
        <f t="shared" si="7"/>
        <v>739191</v>
      </c>
      <c r="M30" s="256">
        <f t="shared" si="7"/>
        <v>-3868</v>
      </c>
      <c r="N30" s="256">
        <f t="shared" si="7"/>
        <v>735323</v>
      </c>
      <c r="O30" s="256">
        <f t="shared" si="7"/>
        <v>412602</v>
      </c>
      <c r="P30" s="444"/>
    </row>
    <row r="31" spans="1:16" ht="12.75">
      <c r="A31" s="244" t="s">
        <v>336</v>
      </c>
      <c r="B31" s="245" t="s">
        <v>337</v>
      </c>
      <c r="C31" s="256">
        <f aca="true" t="shared" si="8" ref="C31:H31">IF(C18-J18&lt;0,J18-C18,"-")</f>
        <v>106992</v>
      </c>
      <c r="D31" s="256" t="str">
        <f t="shared" si="8"/>
        <v>-</v>
      </c>
      <c r="E31" s="256">
        <f t="shared" si="8"/>
        <v>106992</v>
      </c>
      <c r="F31" s="256" t="str">
        <f t="shared" si="8"/>
        <v>-</v>
      </c>
      <c r="G31" s="256">
        <f t="shared" si="8"/>
        <v>106992</v>
      </c>
      <c r="H31" s="256">
        <f t="shared" si="8"/>
        <v>5702</v>
      </c>
      <c r="I31" s="245" t="s">
        <v>338</v>
      </c>
      <c r="J31" s="256" t="str">
        <f aca="true" t="shared" si="9" ref="J31:O31">IF(C18-J18&gt;0,C18-J18,"-")</f>
        <v>-</v>
      </c>
      <c r="K31" s="256" t="str">
        <f t="shared" si="9"/>
        <v>-</v>
      </c>
      <c r="L31" s="256" t="str">
        <f t="shared" si="9"/>
        <v>-</v>
      </c>
      <c r="M31" s="256" t="str">
        <f t="shared" si="9"/>
        <v>-</v>
      </c>
      <c r="N31" s="256" t="str">
        <f t="shared" si="9"/>
        <v>-</v>
      </c>
      <c r="O31" s="256" t="str">
        <f t="shared" si="9"/>
        <v>-</v>
      </c>
      <c r="P31" s="444"/>
    </row>
    <row r="32" spans="1:16" ht="12.75">
      <c r="A32" s="244" t="s">
        <v>339</v>
      </c>
      <c r="B32" s="245" t="s">
        <v>340</v>
      </c>
      <c r="C32" s="256" t="str">
        <f aca="true" t="shared" si="10" ref="C32:H32">IF(C18+C19-J28&lt;0,J28-(C18+C19),"-")</f>
        <v>-</v>
      </c>
      <c r="D32" s="256" t="str">
        <f t="shared" si="10"/>
        <v>-</v>
      </c>
      <c r="E32" s="256" t="str">
        <f t="shared" si="10"/>
        <v>-</v>
      </c>
      <c r="F32" s="256" t="str">
        <f t="shared" si="10"/>
        <v>-</v>
      </c>
      <c r="G32" s="256" t="str">
        <f t="shared" si="10"/>
        <v>-</v>
      </c>
      <c r="H32" s="256" t="str">
        <f t="shared" si="10"/>
        <v>-</v>
      </c>
      <c r="I32" s="245" t="s">
        <v>341</v>
      </c>
      <c r="J32" s="256" t="str">
        <f aca="true" t="shared" si="11" ref="J32:O32">IF(C18+C19-J28&gt;0,C18+C19-J28,"-")</f>
        <v>-</v>
      </c>
      <c r="K32" s="256" t="str">
        <f t="shared" si="11"/>
        <v>-</v>
      </c>
      <c r="L32" s="256" t="str">
        <f t="shared" si="11"/>
        <v>-</v>
      </c>
      <c r="M32" s="256" t="str">
        <f t="shared" si="11"/>
        <v>-</v>
      </c>
      <c r="N32" s="256" t="str">
        <f t="shared" si="11"/>
        <v>-</v>
      </c>
      <c r="O32" s="256">
        <f t="shared" si="11"/>
        <v>106182</v>
      </c>
      <c r="P32" s="444"/>
    </row>
  </sheetData>
  <sheetProtection selectLockedCells="1" selectUnlockedCells="1"/>
  <mergeCells count="5">
    <mergeCell ref="B1:J1"/>
    <mergeCell ref="P1:P32"/>
    <mergeCell ref="A3:A4"/>
    <mergeCell ref="B3:C3"/>
    <mergeCell ref="I3:J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52" r:id="rId1"/>
  <headerFooter alignWithMargins="0">
    <oddHeader xml:space="preserve">&amp;R&amp;"Times New Roman CE,Félkövér dőlt"&amp;11 2.1 melléklet a 14/2013.(XI.15.) önkormányzati rendelethez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29">
      <selection activeCell="A11" sqref="A11:IV11"/>
    </sheetView>
  </sheetViews>
  <sheetFormatPr defaultColWidth="9.00390625" defaultRowHeight="12.75"/>
  <cols>
    <col min="2" max="2" width="31.125" style="0" customWidth="1"/>
    <col min="3" max="3" width="10.875" style="0" bestFit="1" customWidth="1"/>
    <col min="5" max="5" width="22.125" style="0" customWidth="1"/>
    <col min="6" max="6" width="20.125" style="0" customWidth="1"/>
    <col min="7" max="7" width="57.50390625" style="0" bestFit="1" customWidth="1"/>
    <col min="8" max="8" width="25.375" style="0" customWidth="1"/>
    <col min="10" max="10" width="10.125" style="0" bestFit="1" customWidth="1"/>
  </cols>
  <sheetData>
    <row r="1" spans="1:10" ht="15.75">
      <c r="A1" s="218"/>
      <c r="B1" s="443" t="s">
        <v>440</v>
      </c>
      <c r="C1" s="443"/>
      <c r="D1" s="443"/>
      <c r="E1" s="443"/>
      <c r="F1" s="443"/>
      <c r="G1" s="443"/>
      <c r="H1" s="443"/>
      <c r="I1" s="220"/>
      <c r="J1" s="220"/>
    </row>
    <row r="2" spans="1:10" ht="14.25" thickBot="1">
      <c r="A2" s="218"/>
      <c r="B2" s="219"/>
      <c r="C2" s="218"/>
      <c r="D2" s="218"/>
      <c r="E2" s="218"/>
      <c r="F2" s="218"/>
      <c r="G2" s="218"/>
      <c r="H2" s="221" t="s">
        <v>285</v>
      </c>
      <c r="I2" s="221"/>
      <c r="J2" s="221"/>
    </row>
    <row r="3" spans="1:10" ht="13.5" thickBot="1">
      <c r="A3" s="445" t="s">
        <v>3</v>
      </c>
      <c r="B3" s="446" t="s">
        <v>286</v>
      </c>
      <c r="C3" s="446"/>
      <c r="D3" s="223"/>
      <c r="E3" s="223"/>
      <c r="F3" s="223"/>
      <c r="G3" s="445" t="s">
        <v>287</v>
      </c>
      <c r="H3" s="445"/>
      <c r="I3" s="224"/>
      <c r="J3" s="224"/>
    </row>
    <row r="4" spans="1:10" ht="72.75" thickBot="1">
      <c r="A4" s="445"/>
      <c r="B4" s="222" t="s">
        <v>288</v>
      </c>
      <c r="C4" s="8" t="s">
        <v>5</v>
      </c>
      <c r="D4" s="8" t="s">
        <v>6</v>
      </c>
      <c r="E4" s="8" t="s">
        <v>7</v>
      </c>
      <c r="F4" s="8" t="s">
        <v>441</v>
      </c>
      <c r="G4" s="222" t="s">
        <v>288</v>
      </c>
      <c r="H4" s="8" t="s">
        <v>5</v>
      </c>
      <c r="I4" s="8" t="s">
        <v>6</v>
      </c>
      <c r="J4" s="8" t="s">
        <v>7</v>
      </c>
    </row>
    <row r="5" spans="1:10" ht="13.5" thickBot="1">
      <c r="A5" s="226">
        <v>1</v>
      </c>
      <c r="B5" s="227">
        <v>2</v>
      </c>
      <c r="C5" s="11">
        <v>3</v>
      </c>
      <c r="D5" s="9">
        <v>4</v>
      </c>
      <c r="E5" s="10">
        <v>5</v>
      </c>
      <c r="F5" s="11">
        <v>6</v>
      </c>
      <c r="G5" s="227">
        <v>4</v>
      </c>
      <c r="H5" s="227">
        <v>5</v>
      </c>
      <c r="I5" s="227">
        <v>6</v>
      </c>
      <c r="J5" s="227">
        <v>7</v>
      </c>
    </row>
    <row r="6" spans="1:10" ht="25.5">
      <c r="A6" s="229" t="s">
        <v>11</v>
      </c>
      <c r="B6" s="230" t="s">
        <v>442</v>
      </c>
      <c r="C6" s="231"/>
      <c r="D6" s="231"/>
      <c r="E6" s="231"/>
      <c r="F6" s="231"/>
      <c r="G6" s="230" t="s">
        <v>188</v>
      </c>
      <c r="H6" s="232">
        <v>133810</v>
      </c>
      <c r="I6" s="232">
        <v>9246</v>
      </c>
      <c r="J6" s="232">
        <v>143056</v>
      </c>
    </row>
    <row r="7" spans="1:10" ht="38.25">
      <c r="A7" s="233" t="s">
        <v>13</v>
      </c>
      <c r="B7" s="234" t="s">
        <v>443</v>
      </c>
      <c r="C7" s="235"/>
      <c r="D7" s="235">
        <v>5975</v>
      </c>
      <c r="E7" s="235">
        <v>5975</v>
      </c>
      <c r="F7" s="235">
        <v>5983</v>
      </c>
      <c r="G7" s="234" t="s">
        <v>192</v>
      </c>
      <c r="H7" s="236">
        <v>207119</v>
      </c>
      <c r="I7" s="236"/>
      <c r="J7" s="236">
        <v>207119</v>
      </c>
    </row>
    <row r="8" spans="1:10" ht="38.25">
      <c r="A8" s="233" t="s">
        <v>25</v>
      </c>
      <c r="B8" s="234" t="s">
        <v>444</v>
      </c>
      <c r="C8" s="235">
        <v>19198</v>
      </c>
      <c r="D8" s="235"/>
      <c r="E8" s="235">
        <v>19198</v>
      </c>
      <c r="F8" s="235">
        <v>8598</v>
      </c>
      <c r="G8" s="234" t="s">
        <v>193</v>
      </c>
      <c r="H8" s="236">
        <v>1784</v>
      </c>
      <c r="I8" s="236"/>
      <c r="J8" s="236">
        <v>1784</v>
      </c>
    </row>
    <row r="9" spans="1:10" ht="63.75">
      <c r="A9" s="233" t="s">
        <v>213</v>
      </c>
      <c r="B9" s="234" t="s">
        <v>438</v>
      </c>
      <c r="C9" s="235"/>
      <c r="D9" s="235"/>
      <c r="E9" s="235"/>
      <c r="F9" s="235"/>
      <c r="G9" s="234" t="s">
        <v>445</v>
      </c>
      <c r="H9" s="236"/>
      <c r="I9" s="236"/>
      <c r="J9" s="236"/>
    </row>
    <row r="10" spans="1:10" ht="63.75">
      <c r="A10" s="233" t="s">
        <v>47</v>
      </c>
      <c r="B10" s="234" t="s">
        <v>74</v>
      </c>
      <c r="C10" s="235"/>
      <c r="D10" s="235"/>
      <c r="E10" s="235"/>
      <c r="F10" s="235"/>
      <c r="G10" s="234" t="s">
        <v>446</v>
      </c>
      <c r="H10" s="236"/>
      <c r="I10" s="236"/>
      <c r="J10" s="236"/>
    </row>
    <row r="11" spans="1:10" ht="56.25" customHeight="1">
      <c r="A11" s="233" t="s">
        <v>77</v>
      </c>
      <c r="B11" s="234" t="s">
        <v>447</v>
      </c>
      <c r="C11" s="238"/>
      <c r="D11" s="238"/>
      <c r="E11" s="238"/>
      <c r="F11" s="238"/>
      <c r="G11" s="482" t="s">
        <v>448</v>
      </c>
      <c r="H11" s="236"/>
      <c r="I11" s="236"/>
      <c r="J11" s="236"/>
    </row>
    <row r="12" spans="1:10" ht="51">
      <c r="A12" s="233" t="s">
        <v>235</v>
      </c>
      <c r="B12" s="234" t="s">
        <v>449</v>
      </c>
      <c r="C12" s="235"/>
      <c r="D12" s="235">
        <v>2431</v>
      </c>
      <c r="E12" s="235">
        <v>2431</v>
      </c>
      <c r="F12" s="235">
        <v>2431</v>
      </c>
      <c r="G12" s="482" t="s">
        <v>200</v>
      </c>
      <c r="H12" s="236">
        <v>1784</v>
      </c>
      <c r="I12" s="236"/>
      <c r="J12" s="236"/>
    </row>
    <row r="13" spans="1:10" ht="38.25">
      <c r="A13" s="233" t="s">
        <v>107</v>
      </c>
      <c r="B13" s="234" t="s">
        <v>450</v>
      </c>
      <c r="C13" s="235">
        <v>276795</v>
      </c>
      <c r="D13" s="235"/>
      <c r="E13" s="235">
        <v>276795</v>
      </c>
      <c r="F13" s="235">
        <v>82274</v>
      </c>
      <c r="G13" s="482" t="s">
        <v>202</v>
      </c>
      <c r="H13" s="236"/>
      <c r="I13" s="236"/>
      <c r="J13" s="236"/>
    </row>
    <row r="14" spans="1:10" ht="19.5" customHeight="1">
      <c r="A14" s="233" t="s">
        <v>238</v>
      </c>
      <c r="B14" s="483" t="s">
        <v>451</v>
      </c>
      <c r="C14" s="238">
        <v>257027</v>
      </c>
      <c r="D14" s="238"/>
      <c r="E14" s="238">
        <v>257027</v>
      </c>
      <c r="F14" s="238">
        <v>82274</v>
      </c>
      <c r="G14" s="482" t="s">
        <v>452</v>
      </c>
      <c r="H14" s="236"/>
      <c r="I14" s="236"/>
      <c r="J14" s="236"/>
    </row>
    <row r="15" spans="1:10" ht="19.5" customHeight="1">
      <c r="A15" s="233" t="s">
        <v>118</v>
      </c>
      <c r="B15" s="234" t="s">
        <v>453</v>
      </c>
      <c r="C15" s="238"/>
      <c r="D15" s="238"/>
      <c r="E15" s="238"/>
      <c r="F15" s="238"/>
      <c r="G15" s="482" t="s">
        <v>454</v>
      </c>
      <c r="H15" s="236"/>
      <c r="I15" s="236"/>
      <c r="J15" s="236"/>
    </row>
    <row r="16" spans="1:10" ht="51">
      <c r="A16" s="233" t="s">
        <v>120</v>
      </c>
      <c r="B16" s="234" t="s">
        <v>455</v>
      </c>
      <c r="C16" s="236"/>
      <c r="D16" s="236"/>
      <c r="E16" s="236"/>
      <c r="F16" s="236"/>
      <c r="G16" s="234" t="s">
        <v>297</v>
      </c>
      <c r="H16" s="236">
        <v>342840</v>
      </c>
      <c r="I16" s="236">
        <v>19401</v>
      </c>
      <c r="J16" s="236">
        <v>362241</v>
      </c>
    </row>
    <row r="17" spans="1:10" ht="51.75" thickBot="1">
      <c r="A17" s="248" t="s">
        <v>146</v>
      </c>
      <c r="B17" s="249"/>
      <c r="C17" s="484"/>
      <c r="D17" s="484"/>
      <c r="E17" s="484"/>
      <c r="F17" s="484"/>
      <c r="G17" s="249" t="s">
        <v>299</v>
      </c>
      <c r="H17" s="251"/>
      <c r="I17" s="251"/>
      <c r="J17" s="251"/>
    </row>
    <row r="18" spans="1:10" ht="39" thickBot="1">
      <c r="A18" s="244" t="s">
        <v>148</v>
      </c>
      <c r="B18" s="245" t="s">
        <v>456</v>
      </c>
      <c r="C18" s="246">
        <f>+C6+C7+C8+C9+C10+C11+C12+C13+C15+C16+C17</f>
        <v>295993</v>
      </c>
      <c r="D18" s="246">
        <f>+D6+D7+D8+D9+D10+D11+D12+D13+D15+D16+D17</f>
        <v>8406</v>
      </c>
      <c r="E18" s="246">
        <f>+E6+E7+E8+E9+E10+E11+E12+E13+E15+E16+E17</f>
        <v>304399</v>
      </c>
      <c r="F18" s="246">
        <f>+F6+F7+F8+F9+F10+F11+F12+F13+F15+F16+F17</f>
        <v>99286</v>
      </c>
      <c r="G18" s="245" t="s">
        <v>457</v>
      </c>
      <c r="H18" s="247">
        <f>+H6+H7+H8+H16+H17</f>
        <v>685553</v>
      </c>
      <c r="I18" s="247">
        <f>+I6+I7+I8+I16+I17</f>
        <v>28647</v>
      </c>
      <c r="J18" s="247">
        <f>+J6+J7+J8+J16+J17</f>
        <v>714200</v>
      </c>
    </row>
    <row r="19" spans="1:10" ht="38.25">
      <c r="A19" s="229" t="s">
        <v>150</v>
      </c>
      <c r="B19" s="485" t="s">
        <v>458</v>
      </c>
      <c r="C19" s="486">
        <f>+C20+C21+C22+C23+C24</f>
        <v>389560</v>
      </c>
      <c r="D19" s="486">
        <f>+D20+D21+D22+D23+D24</f>
        <v>20241</v>
      </c>
      <c r="E19" s="486">
        <f>+E20+E21+E22+E23+E24</f>
        <v>409801</v>
      </c>
      <c r="F19" s="486">
        <f>+F20+F21+F22+F23+F24</f>
        <v>409801</v>
      </c>
      <c r="G19" s="234" t="s">
        <v>306</v>
      </c>
      <c r="H19" s="232"/>
      <c r="I19" s="232"/>
      <c r="J19" s="232"/>
    </row>
    <row r="20" spans="1:10" ht="25.5">
      <c r="A20" s="233" t="s">
        <v>307</v>
      </c>
      <c r="B20" s="487" t="s">
        <v>412</v>
      </c>
      <c r="C20" s="235">
        <v>389560</v>
      </c>
      <c r="D20" s="235">
        <v>20241</v>
      </c>
      <c r="E20" s="235">
        <f>C20+D20</f>
        <v>409801</v>
      </c>
      <c r="F20" s="235">
        <v>409801</v>
      </c>
      <c r="G20" s="234" t="s">
        <v>459</v>
      </c>
      <c r="H20" s="236"/>
      <c r="I20" s="236"/>
      <c r="J20" s="236"/>
    </row>
    <row r="21" spans="1:10" ht="38.25">
      <c r="A21" s="229" t="s">
        <v>309</v>
      </c>
      <c r="B21" s="487" t="s">
        <v>460</v>
      </c>
      <c r="C21" s="235"/>
      <c r="D21" s="235"/>
      <c r="E21" s="235"/>
      <c r="F21" s="235"/>
      <c r="G21" s="234" t="s">
        <v>310</v>
      </c>
      <c r="H21" s="236"/>
      <c r="I21" s="236"/>
      <c r="J21" s="236"/>
    </row>
    <row r="22" spans="1:10" ht="38.25">
      <c r="A22" s="233" t="s">
        <v>311</v>
      </c>
      <c r="B22" s="487" t="s">
        <v>461</v>
      </c>
      <c r="C22" s="235"/>
      <c r="D22" s="235"/>
      <c r="E22" s="235"/>
      <c r="F22" s="235"/>
      <c r="G22" s="234" t="s">
        <v>313</v>
      </c>
      <c r="H22" s="236"/>
      <c r="I22" s="236"/>
      <c r="J22" s="236"/>
    </row>
    <row r="23" spans="1:10" ht="25.5">
      <c r="A23" s="229" t="s">
        <v>314</v>
      </c>
      <c r="B23" s="487" t="s">
        <v>462</v>
      </c>
      <c r="C23" s="235"/>
      <c r="D23" s="235"/>
      <c r="E23" s="235"/>
      <c r="F23" s="235"/>
      <c r="G23" s="249" t="s">
        <v>316</v>
      </c>
      <c r="H23" s="236"/>
      <c r="I23" s="236"/>
      <c r="J23" s="236"/>
    </row>
    <row r="24" spans="1:10" ht="63.75">
      <c r="A24" s="233" t="s">
        <v>317</v>
      </c>
      <c r="B24" s="488" t="s">
        <v>463</v>
      </c>
      <c r="C24" s="235"/>
      <c r="D24" s="235"/>
      <c r="E24" s="235"/>
      <c r="F24" s="235"/>
      <c r="G24" s="234" t="s">
        <v>464</v>
      </c>
      <c r="H24" s="236"/>
      <c r="I24" s="236"/>
      <c r="J24" s="236"/>
    </row>
    <row r="25" spans="1:10" ht="38.25">
      <c r="A25" s="229" t="s">
        <v>320</v>
      </c>
      <c r="B25" s="489" t="s">
        <v>465</v>
      </c>
      <c r="C25" s="252">
        <f>+C26+C27+C28+C29+C30</f>
        <v>0</v>
      </c>
      <c r="D25" s="252"/>
      <c r="E25" s="252"/>
      <c r="F25" s="252"/>
      <c r="G25" s="230" t="s">
        <v>322</v>
      </c>
      <c r="H25" s="236"/>
      <c r="I25" s="236"/>
      <c r="J25" s="236"/>
    </row>
    <row r="26" spans="1:10" ht="51">
      <c r="A26" s="233" t="s">
        <v>323</v>
      </c>
      <c r="B26" s="488" t="s">
        <v>466</v>
      </c>
      <c r="C26" s="235"/>
      <c r="D26" s="235"/>
      <c r="E26" s="235"/>
      <c r="F26" s="235"/>
      <c r="G26" s="230" t="s">
        <v>467</v>
      </c>
      <c r="H26" s="236"/>
      <c r="I26" s="236"/>
      <c r="J26" s="236"/>
    </row>
    <row r="27" spans="1:10" ht="25.5">
      <c r="A27" s="229" t="s">
        <v>324</v>
      </c>
      <c r="B27" s="488" t="s">
        <v>468</v>
      </c>
      <c r="C27" s="235"/>
      <c r="D27" s="235"/>
      <c r="E27" s="235"/>
      <c r="F27" s="235"/>
      <c r="G27" s="490"/>
      <c r="H27" s="236"/>
      <c r="I27" s="236"/>
      <c r="J27" s="236"/>
    </row>
    <row r="28" spans="1:10" ht="25.5">
      <c r="A28" s="233" t="s">
        <v>327</v>
      </c>
      <c r="B28" s="487" t="s">
        <v>469</v>
      </c>
      <c r="C28" s="235"/>
      <c r="D28" s="235"/>
      <c r="E28" s="235"/>
      <c r="F28" s="235"/>
      <c r="G28" s="490"/>
      <c r="H28" s="236"/>
      <c r="I28" s="236"/>
      <c r="J28" s="236"/>
    </row>
    <row r="29" spans="1:10" ht="12.75">
      <c r="A29" s="229" t="s">
        <v>330</v>
      </c>
      <c r="B29" s="491" t="s">
        <v>470</v>
      </c>
      <c r="C29" s="235"/>
      <c r="D29" s="235"/>
      <c r="E29" s="235"/>
      <c r="F29" s="235"/>
      <c r="G29" s="239"/>
      <c r="H29" s="236"/>
      <c r="I29" s="236"/>
      <c r="J29" s="236"/>
    </row>
    <row r="30" spans="1:10" ht="26.25" thickBot="1">
      <c r="A30" s="233" t="s">
        <v>333</v>
      </c>
      <c r="B30" s="492" t="s">
        <v>471</v>
      </c>
      <c r="C30" s="235"/>
      <c r="D30" s="235"/>
      <c r="E30" s="235"/>
      <c r="F30" s="235"/>
      <c r="G30" s="490"/>
      <c r="H30" s="236"/>
      <c r="I30" s="236"/>
      <c r="J30" s="236"/>
    </row>
    <row r="31" spans="1:10" ht="77.25" thickBot="1">
      <c r="A31" s="244" t="s">
        <v>336</v>
      </c>
      <c r="B31" s="245" t="s">
        <v>472</v>
      </c>
      <c r="C31" s="246">
        <f>+C19+C25</f>
        <v>389560</v>
      </c>
      <c r="D31" s="246">
        <f>+D19+D25</f>
        <v>20241</v>
      </c>
      <c r="E31" s="246">
        <f>+E19+E25</f>
        <v>409801</v>
      </c>
      <c r="F31" s="246">
        <f>+F19+F25</f>
        <v>409801</v>
      </c>
      <c r="G31" s="245" t="s">
        <v>473</v>
      </c>
      <c r="H31" s="247">
        <f>SUM(H19:H30)</f>
        <v>0</v>
      </c>
      <c r="I31" s="247"/>
      <c r="J31" s="247"/>
    </row>
    <row r="32" spans="1:10" ht="77.25" thickBot="1">
      <c r="A32" s="244" t="s">
        <v>339</v>
      </c>
      <c r="B32" s="245" t="s">
        <v>474</v>
      </c>
      <c r="C32" s="246">
        <f>+C18+C31</f>
        <v>685553</v>
      </c>
      <c r="D32" s="246">
        <f>+D18+D31</f>
        <v>28647</v>
      </c>
      <c r="E32" s="246">
        <f>+E18+E31</f>
        <v>714200</v>
      </c>
      <c r="F32" s="246">
        <f>+F18+F31</f>
        <v>509087</v>
      </c>
      <c r="G32" s="245" t="s">
        <v>475</v>
      </c>
      <c r="H32" s="247">
        <f>+H18+H31</f>
        <v>685553</v>
      </c>
      <c r="I32" s="247">
        <f>+I18+I31</f>
        <v>28647</v>
      </c>
      <c r="J32" s="247">
        <f>+J18+J31</f>
        <v>714200</v>
      </c>
    </row>
    <row r="33" spans="1:10" ht="39" thickBot="1">
      <c r="A33" s="244" t="s">
        <v>476</v>
      </c>
      <c r="B33" s="245" t="s">
        <v>331</v>
      </c>
      <c r="C33" s="254"/>
      <c r="D33" s="254"/>
      <c r="E33" s="254"/>
      <c r="F33" s="254"/>
      <c r="G33" s="245" t="s">
        <v>332</v>
      </c>
      <c r="H33" s="255"/>
      <c r="I33" s="255"/>
      <c r="J33" s="255"/>
    </row>
    <row r="34" spans="1:10" ht="39" thickBot="1">
      <c r="A34" s="244" t="s">
        <v>477</v>
      </c>
      <c r="B34" s="245" t="s">
        <v>478</v>
      </c>
      <c r="C34" s="256">
        <f>+C32+C33</f>
        <v>685553</v>
      </c>
      <c r="D34" s="256">
        <f>+D32+D33</f>
        <v>28647</v>
      </c>
      <c r="E34" s="256">
        <f>+E32+E33</f>
        <v>714200</v>
      </c>
      <c r="F34" s="256">
        <f>+F32+F33</f>
        <v>509087</v>
      </c>
      <c r="G34" s="245" t="s">
        <v>479</v>
      </c>
      <c r="H34" s="256">
        <f>+H32+H33</f>
        <v>685553</v>
      </c>
      <c r="I34" s="256">
        <f>+I32+I33</f>
        <v>28647</v>
      </c>
      <c r="J34" s="256">
        <f>+J32+J33</f>
        <v>714200</v>
      </c>
    </row>
    <row r="35" spans="1:10" ht="26.25" thickBot="1">
      <c r="A35" s="244" t="s">
        <v>480</v>
      </c>
      <c r="B35" s="245" t="s">
        <v>337</v>
      </c>
      <c r="C35" s="256">
        <f>IF(C18-H18&lt;0,H18-C18,"-")</f>
        <v>389560</v>
      </c>
      <c r="D35" s="256">
        <f>IF(D18-I18&lt;0,I18-D18,"-")</f>
        <v>20241</v>
      </c>
      <c r="E35" s="256">
        <f>IF(E18-J18&lt;0,J18-E18,"-")</f>
        <v>409801</v>
      </c>
      <c r="F35" s="256" t="str">
        <f>IF(F18-N18&lt;0,N18-F18,"-")</f>
        <v>-</v>
      </c>
      <c r="G35" s="245" t="s">
        <v>338</v>
      </c>
      <c r="H35" s="256" t="str">
        <f>IF(C18-H18&gt;0,C18-H18,"-")</f>
        <v>-</v>
      </c>
      <c r="I35" s="256"/>
      <c r="J35" s="256"/>
    </row>
    <row r="36" spans="1:10" ht="26.25" thickBot="1">
      <c r="A36" s="244" t="s">
        <v>481</v>
      </c>
      <c r="B36" s="245" t="s">
        <v>340</v>
      </c>
      <c r="C36" s="256" t="str">
        <f>IF(C18+C19-H32&lt;0,H32-(C18+C19),"-")</f>
        <v>-</v>
      </c>
      <c r="D36" s="256" t="str">
        <f>IF(D18+D19-L32&lt;0,L32-(D18+D19),"-")</f>
        <v>-</v>
      </c>
      <c r="E36" s="256" t="str">
        <f>IF(E18+E19-M32&lt;0,M32-(E18+E19),"-")</f>
        <v>-</v>
      </c>
      <c r="F36" s="256" t="str">
        <f>IF(F18+F19-N32&lt;0,N32-(F18+F19),"-")</f>
        <v>-</v>
      </c>
      <c r="G36" s="245" t="s">
        <v>341</v>
      </c>
      <c r="H36" s="256" t="str">
        <f>IF(C18+C19-H32&gt;0,C18+C19-H32,"-")</f>
        <v>-</v>
      </c>
      <c r="I36" s="256"/>
      <c r="J36" s="256"/>
    </row>
  </sheetData>
  <mergeCells count="4">
    <mergeCell ref="B1:H1"/>
    <mergeCell ref="A3:A4"/>
    <mergeCell ref="B3:C3"/>
    <mergeCell ref="G3:H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3" sqref="A3"/>
    </sheetView>
  </sheetViews>
  <sheetFormatPr defaultColWidth="9.00390625" defaultRowHeight="12.75"/>
  <cols>
    <col min="2" max="2" width="38.125" style="0" customWidth="1"/>
    <col min="3" max="3" width="31.00390625" style="0" customWidth="1"/>
  </cols>
  <sheetData>
    <row r="1" spans="1:3" ht="14.25">
      <c r="A1" s="493" t="s">
        <v>482</v>
      </c>
      <c r="B1" s="493"/>
      <c r="C1" s="493"/>
    </row>
    <row r="2" spans="1:3" ht="15" thickBot="1">
      <c r="A2" s="494"/>
      <c r="B2" s="494"/>
      <c r="C2" s="495" t="s">
        <v>348</v>
      </c>
    </row>
    <row r="3" spans="1:3" ht="32.25" thickBot="1">
      <c r="A3" s="496" t="s">
        <v>154</v>
      </c>
      <c r="B3" s="497" t="s">
        <v>483</v>
      </c>
      <c r="C3" s="498" t="s">
        <v>5</v>
      </c>
    </row>
    <row r="4" spans="1:3" ht="13.5" thickBot="1">
      <c r="A4" s="499">
        <v>1</v>
      </c>
      <c r="B4" s="500">
        <v>2</v>
      </c>
      <c r="C4" s="501">
        <v>3</v>
      </c>
    </row>
    <row r="5" spans="1:3" ht="12.75">
      <c r="A5" s="502" t="s">
        <v>11</v>
      </c>
      <c r="B5" s="503" t="s">
        <v>263</v>
      </c>
      <c r="C5" s="504">
        <v>101538</v>
      </c>
    </row>
    <row r="6" spans="1:3" ht="48">
      <c r="A6" s="505" t="s">
        <v>13</v>
      </c>
      <c r="B6" s="506" t="s">
        <v>484</v>
      </c>
      <c r="C6" s="507"/>
    </row>
    <row r="7" spans="1:3" ht="12.75">
      <c r="A7" s="505" t="s">
        <v>25</v>
      </c>
      <c r="B7" s="508" t="s">
        <v>485</v>
      </c>
      <c r="C7" s="507">
        <v>400</v>
      </c>
    </row>
    <row r="8" spans="1:3" ht="36">
      <c r="A8" s="505" t="s">
        <v>213</v>
      </c>
      <c r="B8" s="508" t="s">
        <v>486</v>
      </c>
      <c r="C8" s="507">
        <v>19198</v>
      </c>
    </row>
    <row r="9" spans="1:3" ht="12.75">
      <c r="A9" s="509" t="s">
        <v>47</v>
      </c>
      <c r="B9" s="508" t="s">
        <v>487</v>
      </c>
      <c r="C9" s="510"/>
    </row>
    <row r="10" spans="1:3" ht="13.5" thickBot="1">
      <c r="A10" s="505" t="s">
        <v>77</v>
      </c>
      <c r="B10" s="511" t="s">
        <v>488</v>
      </c>
      <c r="C10" s="507"/>
    </row>
    <row r="11" spans="1:3" ht="13.5" thickBot="1">
      <c r="A11" s="512" t="s">
        <v>489</v>
      </c>
      <c r="B11" s="512"/>
      <c r="C11" s="513">
        <f>SUM(C5:C10)</f>
        <v>121136</v>
      </c>
    </row>
    <row r="12" spans="1:3" ht="41.25" customHeight="1">
      <c r="A12" s="514" t="s">
        <v>490</v>
      </c>
      <c r="B12" s="514"/>
      <c r="C12" s="514"/>
    </row>
  </sheetData>
  <mergeCells count="3">
    <mergeCell ref="A1:C1"/>
    <mergeCell ref="A11:B11"/>
    <mergeCell ref="A12:C1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5" sqref="A15"/>
    </sheetView>
  </sheetViews>
  <sheetFormatPr defaultColWidth="9.00390625" defaultRowHeight="12.75"/>
  <cols>
    <col min="1" max="1" width="25.125" style="0" customWidth="1"/>
    <col min="2" max="2" width="21.125" style="0" customWidth="1"/>
    <col min="3" max="4" width="16.625" style="0" customWidth="1"/>
    <col min="5" max="5" width="18.375" style="0" customWidth="1"/>
    <col min="6" max="6" width="19.625" style="0" customWidth="1"/>
  </cols>
  <sheetData>
    <row r="1" spans="1:6" ht="15.75">
      <c r="A1" s="515" t="s">
        <v>491</v>
      </c>
      <c r="B1" s="515"/>
      <c r="C1" s="515"/>
      <c r="D1" s="515"/>
      <c r="E1" s="515"/>
      <c r="F1" s="515"/>
    </row>
    <row r="2" spans="1:6" ht="41.25" thickBot="1">
      <c r="A2" s="219"/>
      <c r="B2" s="218"/>
      <c r="C2" s="218"/>
      <c r="D2" s="218"/>
      <c r="E2" s="218"/>
      <c r="F2" s="516" t="s">
        <v>285</v>
      </c>
    </row>
    <row r="3" spans="1:6" ht="72.75" thickBot="1">
      <c r="A3" s="222" t="s">
        <v>492</v>
      </c>
      <c r="B3" s="223" t="s">
        <v>493</v>
      </c>
      <c r="C3" s="223" t="s">
        <v>494</v>
      </c>
      <c r="D3" s="223" t="s">
        <v>495</v>
      </c>
      <c r="E3" s="223" t="s">
        <v>5</v>
      </c>
      <c r="F3" s="224" t="s">
        <v>496</v>
      </c>
    </row>
    <row r="4" spans="1:6" ht="13.5" thickBot="1">
      <c r="A4" s="517">
        <v>1</v>
      </c>
      <c r="B4" s="518">
        <v>2</v>
      </c>
      <c r="C4" s="518">
        <v>3</v>
      </c>
      <c r="D4" s="518">
        <v>4</v>
      </c>
      <c r="E4" s="518">
        <v>5</v>
      </c>
      <c r="F4" s="519" t="s">
        <v>497</v>
      </c>
    </row>
    <row r="5" spans="1:6" ht="123.75">
      <c r="A5" s="520" t="s">
        <v>498</v>
      </c>
      <c r="B5" s="521">
        <v>105199</v>
      </c>
      <c r="C5" s="522" t="s">
        <v>499</v>
      </c>
      <c r="D5" s="521">
        <v>2362</v>
      </c>
      <c r="E5" s="521">
        <v>102837</v>
      </c>
      <c r="F5" s="523">
        <f>B5-D5-E5</f>
        <v>0</v>
      </c>
    </row>
    <row r="6" spans="1:6" ht="101.25">
      <c r="A6" s="520" t="s">
        <v>500</v>
      </c>
      <c r="B6" s="521">
        <v>62078</v>
      </c>
      <c r="C6" s="522" t="s">
        <v>499</v>
      </c>
      <c r="D6" s="521">
        <f>50063+801</f>
        <v>50864</v>
      </c>
      <c r="E6" s="521">
        <v>11214</v>
      </c>
      <c r="F6" s="523">
        <f>B6-D6-E6</f>
        <v>0</v>
      </c>
    </row>
    <row r="7" spans="1:6" ht="67.5">
      <c r="A7" s="520" t="s">
        <v>501</v>
      </c>
      <c r="B7" s="521">
        <v>4470</v>
      </c>
      <c r="C7" s="522" t="s">
        <v>499</v>
      </c>
      <c r="D7" s="521"/>
      <c r="E7" s="521">
        <v>4470</v>
      </c>
      <c r="F7" s="523">
        <f>B7-D7-E7</f>
        <v>0</v>
      </c>
    </row>
    <row r="8" spans="1:6" ht="22.5">
      <c r="A8" s="520" t="s">
        <v>502</v>
      </c>
      <c r="B8" s="521">
        <v>873</v>
      </c>
      <c r="C8" s="522" t="s">
        <v>499</v>
      </c>
      <c r="D8" s="521"/>
      <c r="E8" s="521">
        <v>873</v>
      </c>
      <c r="F8" s="523"/>
    </row>
    <row r="9" spans="1:6" ht="25.5">
      <c r="A9" s="239" t="s">
        <v>503</v>
      </c>
      <c r="B9" s="521">
        <v>12000</v>
      </c>
      <c r="C9" s="522" t="s">
        <v>504</v>
      </c>
      <c r="D9" s="521"/>
      <c r="E9" s="521">
        <v>12000</v>
      </c>
      <c r="F9" s="523">
        <f>B9-D9-E9</f>
        <v>0</v>
      </c>
    </row>
    <row r="10" spans="1:6" ht="25.5">
      <c r="A10" s="239" t="s">
        <v>505</v>
      </c>
      <c r="B10" s="521">
        <f>1470+265</f>
        <v>1735</v>
      </c>
      <c r="C10" s="522" t="s">
        <v>504</v>
      </c>
      <c r="D10" s="521"/>
      <c r="E10" s="521">
        <v>1735</v>
      </c>
      <c r="F10" s="523"/>
    </row>
    <row r="11" spans="1:6" ht="38.25">
      <c r="A11" s="239" t="s">
        <v>506</v>
      </c>
      <c r="B11" s="521">
        <f>630+170</f>
        <v>800</v>
      </c>
      <c r="C11" s="522" t="s">
        <v>504</v>
      </c>
      <c r="D11" s="521"/>
      <c r="E11" s="521">
        <v>800</v>
      </c>
      <c r="F11" s="523">
        <f aca="true" t="shared" si="0" ref="F11:F25">B11-D11-E11</f>
        <v>0</v>
      </c>
    </row>
    <row r="12" spans="1:6" ht="25.5">
      <c r="A12" s="524" t="s">
        <v>507</v>
      </c>
      <c r="B12" s="521">
        <f>7945+2145</f>
        <v>10090</v>
      </c>
      <c r="C12" s="522" t="s">
        <v>504</v>
      </c>
      <c r="D12" s="521"/>
      <c r="E12" s="521">
        <v>10090</v>
      </c>
      <c r="F12" s="523">
        <f t="shared" si="0"/>
        <v>0</v>
      </c>
    </row>
    <row r="13" spans="1:6" ht="56.25">
      <c r="A13" s="520" t="s">
        <v>508</v>
      </c>
      <c r="B13" s="521">
        <v>1270</v>
      </c>
      <c r="C13" s="522" t="s">
        <v>504</v>
      </c>
      <c r="D13" s="521"/>
      <c r="E13" s="521">
        <v>1270</v>
      </c>
      <c r="F13" s="523">
        <f t="shared" si="0"/>
        <v>0</v>
      </c>
    </row>
    <row r="14" spans="1:6" ht="45">
      <c r="A14" s="520" t="s">
        <v>509</v>
      </c>
      <c r="B14" s="521">
        <f>701+189</f>
        <v>890</v>
      </c>
      <c r="C14" s="522" t="s">
        <v>504</v>
      </c>
      <c r="D14" s="521"/>
      <c r="E14" s="521">
        <v>890</v>
      </c>
      <c r="F14" s="523">
        <f t="shared" si="0"/>
        <v>0</v>
      </c>
    </row>
    <row r="15" spans="1:6" ht="12.75">
      <c r="A15" s="520"/>
      <c r="B15" s="521"/>
      <c r="C15" s="522"/>
      <c r="D15" s="521"/>
      <c r="E15" s="521"/>
      <c r="F15" s="523">
        <f t="shared" si="0"/>
        <v>0</v>
      </c>
    </row>
    <row r="16" spans="1:6" ht="12.75">
      <c r="A16" s="520"/>
      <c r="B16" s="521"/>
      <c r="C16" s="522"/>
      <c r="D16" s="521"/>
      <c r="E16" s="521"/>
      <c r="F16" s="523">
        <f t="shared" si="0"/>
        <v>0</v>
      </c>
    </row>
    <row r="17" spans="1:6" ht="12.75">
      <c r="A17" s="520"/>
      <c r="B17" s="521"/>
      <c r="C17" s="522"/>
      <c r="D17" s="521"/>
      <c r="E17" s="521"/>
      <c r="F17" s="523">
        <f t="shared" si="0"/>
        <v>0</v>
      </c>
    </row>
    <row r="18" spans="1:6" ht="12.75">
      <c r="A18" s="520"/>
      <c r="B18" s="521"/>
      <c r="C18" s="522"/>
      <c r="D18" s="521"/>
      <c r="E18" s="521"/>
      <c r="F18" s="523">
        <f t="shared" si="0"/>
        <v>0</v>
      </c>
    </row>
    <row r="19" spans="1:6" ht="12.75">
      <c r="A19" s="520"/>
      <c r="B19" s="521"/>
      <c r="C19" s="522"/>
      <c r="D19" s="521"/>
      <c r="E19" s="521"/>
      <c r="F19" s="523">
        <f t="shared" si="0"/>
        <v>0</v>
      </c>
    </row>
    <row r="20" spans="1:6" ht="12.75">
      <c r="A20" s="520"/>
      <c r="B20" s="521"/>
      <c r="C20" s="522"/>
      <c r="D20" s="521"/>
      <c r="E20" s="521"/>
      <c r="F20" s="523">
        <f t="shared" si="0"/>
        <v>0</v>
      </c>
    </row>
    <row r="21" spans="1:6" ht="12.75">
      <c r="A21" s="520"/>
      <c r="B21" s="521"/>
      <c r="C21" s="522"/>
      <c r="D21" s="521"/>
      <c r="E21" s="521"/>
      <c r="F21" s="523">
        <f t="shared" si="0"/>
        <v>0</v>
      </c>
    </row>
    <row r="22" spans="1:6" ht="12.75">
      <c r="A22" s="520"/>
      <c r="B22" s="521"/>
      <c r="C22" s="522"/>
      <c r="D22" s="521"/>
      <c r="E22" s="521"/>
      <c r="F22" s="523">
        <f t="shared" si="0"/>
        <v>0</v>
      </c>
    </row>
    <row r="23" spans="1:6" ht="12.75">
      <c r="A23" s="520"/>
      <c r="B23" s="521"/>
      <c r="C23" s="522"/>
      <c r="D23" s="521"/>
      <c r="E23" s="521"/>
      <c r="F23" s="523">
        <f t="shared" si="0"/>
        <v>0</v>
      </c>
    </row>
    <row r="24" spans="1:6" ht="12.75">
      <c r="A24" s="520"/>
      <c r="B24" s="521"/>
      <c r="C24" s="522"/>
      <c r="D24" s="521"/>
      <c r="E24" s="521"/>
      <c r="F24" s="523">
        <f t="shared" si="0"/>
        <v>0</v>
      </c>
    </row>
    <row r="25" spans="1:6" ht="13.5" thickBot="1">
      <c r="A25" s="525"/>
      <c r="B25" s="526"/>
      <c r="C25" s="527"/>
      <c r="D25" s="526"/>
      <c r="E25" s="526"/>
      <c r="F25" s="528">
        <f t="shared" si="0"/>
        <v>0</v>
      </c>
    </row>
    <row r="26" spans="1:6" ht="24.75" thickBot="1">
      <c r="A26" s="529" t="s">
        <v>510</v>
      </c>
      <c r="B26" s="530">
        <f>SUM(B5:B25)</f>
        <v>199405</v>
      </c>
      <c r="C26" s="531"/>
      <c r="D26" s="530">
        <f>SUM(D5:D25)</f>
        <v>53226</v>
      </c>
      <c r="E26" s="530">
        <f>SUM(E5:E25)</f>
        <v>146179</v>
      </c>
      <c r="F26" s="532">
        <f>SUM(F5:F25)</f>
        <v>0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4">
      <selection activeCell="A1" sqref="A1:F24"/>
    </sheetView>
  </sheetViews>
  <sheetFormatPr defaultColWidth="9.00390625" defaultRowHeight="12.75"/>
  <cols>
    <col min="1" max="1" width="22.00390625" style="0" customWidth="1"/>
    <col min="2" max="2" width="17.625" style="0" customWidth="1"/>
    <col min="3" max="3" width="12.875" style="0" customWidth="1"/>
    <col min="6" max="6" width="18.875" style="0" customWidth="1"/>
  </cols>
  <sheetData>
    <row r="1" spans="1:6" ht="15.75">
      <c r="A1" s="515" t="s">
        <v>511</v>
      </c>
      <c r="B1" s="515"/>
      <c r="C1" s="515"/>
      <c r="D1" s="515"/>
      <c r="E1" s="515"/>
      <c r="F1" s="515"/>
    </row>
    <row r="2" spans="1:6" ht="41.25" thickBot="1">
      <c r="A2" s="219"/>
      <c r="B2" s="218"/>
      <c r="C2" s="218"/>
      <c r="D2" s="218"/>
      <c r="E2" s="218"/>
      <c r="F2" s="516" t="s">
        <v>285</v>
      </c>
    </row>
    <row r="3" spans="1:6" ht="72.75" thickBot="1">
      <c r="A3" s="222" t="s">
        <v>512</v>
      </c>
      <c r="B3" s="223" t="s">
        <v>493</v>
      </c>
      <c r="C3" s="223" t="s">
        <v>494</v>
      </c>
      <c r="D3" s="223" t="s">
        <v>495</v>
      </c>
      <c r="E3" s="223" t="s">
        <v>5</v>
      </c>
      <c r="F3" s="224" t="s">
        <v>513</v>
      </c>
    </row>
    <row r="4" spans="1:6" ht="13.5" thickBot="1">
      <c r="A4" s="517">
        <v>1</v>
      </c>
      <c r="B4" s="518">
        <v>2</v>
      </c>
      <c r="C4" s="518">
        <v>3</v>
      </c>
      <c r="D4" s="518">
        <v>4</v>
      </c>
      <c r="E4" s="518">
        <v>5</v>
      </c>
      <c r="F4" s="519">
        <v>6</v>
      </c>
    </row>
    <row r="5" spans="1:6" ht="96">
      <c r="A5" s="533" t="s">
        <v>514</v>
      </c>
      <c r="B5" s="534">
        <v>78811</v>
      </c>
      <c r="C5" s="535" t="s">
        <v>504</v>
      </c>
      <c r="D5" s="534"/>
      <c r="E5" s="534">
        <v>78811</v>
      </c>
      <c r="F5" s="536">
        <f aca="true" t="shared" si="0" ref="F5:F23">B5-D5-E5</f>
        <v>0</v>
      </c>
    </row>
    <row r="6" spans="1:6" ht="96">
      <c r="A6" s="533" t="s">
        <v>515</v>
      </c>
      <c r="B6" s="534">
        <v>329211</v>
      </c>
      <c r="C6" s="535" t="s">
        <v>516</v>
      </c>
      <c r="D6" s="534">
        <f>211961-16862</f>
        <v>195099</v>
      </c>
      <c r="E6" s="534">
        <f>128308+5804</f>
        <v>134112</v>
      </c>
      <c r="F6" s="536">
        <f t="shared" si="0"/>
        <v>0</v>
      </c>
    </row>
    <row r="7" spans="1:6" ht="12.75">
      <c r="A7" s="533"/>
      <c r="B7" s="534"/>
      <c r="C7" s="535"/>
      <c r="D7" s="534"/>
      <c r="E7" s="534"/>
      <c r="F7" s="536">
        <f t="shared" si="0"/>
        <v>0</v>
      </c>
    </row>
    <row r="8" spans="1:6" ht="12.75">
      <c r="A8" s="533"/>
      <c r="B8" s="534"/>
      <c r="C8" s="535"/>
      <c r="D8" s="534"/>
      <c r="E8" s="534"/>
      <c r="F8" s="536">
        <f t="shared" si="0"/>
        <v>0</v>
      </c>
    </row>
    <row r="9" spans="1:6" ht="12.75">
      <c r="A9" s="533"/>
      <c r="B9" s="534"/>
      <c r="C9" s="535"/>
      <c r="D9" s="534"/>
      <c r="E9" s="534"/>
      <c r="F9" s="536">
        <f t="shared" si="0"/>
        <v>0</v>
      </c>
    </row>
    <row r="10" spans="1:6" ht="12.75">
      <c r="A10" s="533"/>
      <c r="B10" s="534"/>
      <c r="C10" s="535"/>
      <c r="D10" s="534"/>
      <c r="E10" s="534"/>
      <c r="F10" s="536">
        <f t="shared" si="0"/>
        <v>0</v>
      </c>
    </row>
    <row r="11" spans="1:6" ht="12.75">
      <c r="A11" s="533"/>
      <c r="B11" s="534"/>
      <c r="C11" s="535"/>
      <c r="D11" s="534"/>
      <c r="E11" s="534"/>
      <c r="F11" s="536">
        <f t="shared" si="0"/>
        <v>0</v>
      </c>
    </row>
    <row r="12" spans="1:6" ht="12.75">
      <c r="A12" s="533"/>
      <c r="B12" s="534"/>
      <c r="C12" s="535"/>
      <c r="D12" s="534"/>
      <c r="E12" s="534"/>
      <c r="F12" s="536">
        <f t="shared" si="0"/>
        <v>0</v>
      </c>
    </row>
    <row r="13" spans="1:6" ht="12.75">
      <c r="A13" s="533"/>
      <c r="B13" s="534"/>
      <c r="C13" s="535"/>
      <c r="D13" s="534"/>
      <c r="E13" s="534"/>
      <c r="F13" s="536">
        <f t="shared" si="0"/>
        <v>0</v>
      </c>
    </row>
    <row r="14" spans="1:6" ht="12.75">
      <c r="A14" s="533"/>
      <c r="B14" s="534"/>
      <c r="C14" s="535"/>
      <c r="D14" s="534"/>
      <c r="E14" s="534"/>
      <c r="F14" s="536">
        <f t="shared" si="0"/>
        <v>0</v>
      </c>
    </row>
    <row r="15" spans="1:6" ht="12.75">
      <c r="A15" s="533"/>
      <c r="B15" s="534"/>
      <c r="C15" s="535"/>
      <c r="D15" s="534"/>
      <c r="E15" s="534"/>
      <c r="F15" s="536">
        <f t="shared" si="0"/>
        <v>0</v>
      </c>
    </row>
    <row r="16" spans="1:6" ht="12.75">
      <c r="A16" s="533"/>
      <c r="B16" s="534"/>
      <c r="C16" s="535"/>
      <c r="D16" s="534"/>
      <c r="E16" s="534"/>
      <c r="F16" s="536">
        <f t="shared" si="0"/>
        <v>0</v>
      </c>
    </row>
    <row r="17" spans="1:6" ht="12.75">
      <c r="A17" s="533"/>
      <c r="B17" s="534"/>
      <c r="C17" s="535"/>
      <c r="D17" s="534"/>
      <c r="E17" s="534"/>
      <c r="F17" s="536">
        <f t="shared" si="0"/>
        <v>0</v>
      </c>
    </row>
    <row r="18" spans="1:6" ht="12.75">
      <c r="A18" s="533"/>
      <c r="B18" s="534"/>
      <c r="C18" s="535"/>
      <c r="D18" s="534"/>
      <c r="E18" s="534"/>
      <c r="F18" s="536">
        <f t="shared" si="0"/>
        <v>0</v>
      </c>
    </row>
    <row r="19" spans="1:6" ht="12.75">
      <c r="A19" s="533"/>
      <c r="B19" s="534"/>
      <c r="C19" s="535"/>
      <c r="D19" s="534"/>
      <c r="E19" s="534"/>
      <c r="F19" s="536">
        <f t="shared" si="0"/>
        <v>0</v>
      </c>
    </row>
    <row r="20" spans="1:6" ht="12.75">
      <c r="A20" s="533"/>
      <c r="B20" s="534"/>
      <c r="C20" s="535"/>
      <c r="D20" s="534"/>
      <c r="E20" s="534"/>
      <c r="F20" s="536">
        <f t="shared" si="0"/>
        <v>0</v>
      </c>
    </row>
    <row r="21" spans="1:6" ht="12.75">
      <c r="A21" s="533"/>
      <c r="B21" s="534"/>
      <c r="C21" s="535"/>
      <c r="D21" s="534"/>
      <c r="E21" s="534"/>
      <c r="F21" s="536">
        <f t="shared" si="0"/>
        <v>0</v>
      </c>
    </row>
    <row r="22" spans="1:6" ht="12.75">
      <c r="A22" s="533"/>
      <c r="B22" s="534"/>
      <c r="C22" s="535"/>
      <c r="D22" s="534"/>
      <c r="E22" s="534"/>
      <c r="F22" s="536">
        <f t="shared" si="0"/>
        <v>0</v>
      </c>
    </row>
    <row r="23" spans="1:6" ht="13.5" thickBot="1">
      <c r="A23" s="537"/>
      <c r="B23" s="538"/>
      <c r="C23" s="538"/>
      <c r="D23" s="538"/>
      <c r="E23" s="538"/>
      <c r="F23" s="539">
        <f t="shared" si="0"/>
        <v>0</v>
      </c>
    </row>
    <row r="24" spans="1:6" ht="24.75" thickBot="1">
      <c r="A24" s="529" t="s">
        <v>510</v>
      </c>
      <c r="B24" s="540">
        <f>SUM(B5:B23)</f>
        <v>408022</v>
      </c>
      <c r="C24" s="541"/>
      <c r="D24" s="540">
        <f>SUM(D5:D23)</f>
        <v>195099</v>
      </c>
      <c r="E24" s="540">
        <f>SUM(E5:E23)</f>
        <v>212923</v>
      </c>
      <c r="F24" s="542">
        <f>SUM(F5:F23)</f>
        <v>0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31">
      <selection activeCell="A1" sqref="A1:E52"/>
    </sheetView>
  </sheetViews>
  <sheetFormatPr defaultColWidth="9.00390625" defaultRowHeight="12.75"/>
  <cols>
    <col min="1" max="1" width="21.50390625" style="0" customWidth="1"/>
    <col min="2" max="2" width="16.625" style="0" customWidth="1"/>
    <col min="3" max="3" width="16.00390625" style="0" customWidth="1"/>
    <col min="4" max="4" width="16.125" style="0" customWidth="1"/>
    <col min="5" max="5" width="17.125" style="0" customWidth="1"/>
  </cols>
  <sheetData>
    <row r="1" spans="1:5" ht="12.75">
      <c r="A1" s="543"/>
      <c r="B1" s="543"/>
      <c r="C1" s="543"/>
      <c r="D1" s="543"/>
      <c r="E1" s="543"/>
    </row>
    <row r="2" spans="1:5" ht="15.75">
      <c r="A2" s="544" t="s">
        <v>517</v>
      </c>
      <c r="B2" s="545" t="s">
        <v>540</v>
      </c>
      <c r="C2" s="545"/>
      <c r="D2" s="545"/>
      <c r="E2" s="545"/>
    </row>
    <row r="3" spans="1:5" ht="14.25" thickBot="1">
      <c r="A3" s="543"/>
      <c r="B3" s="543"/>
      <c r="C3" s="543"/>
      <c r="D3" s="546" t="s">
        <v>518</v>
      </c>
      <c r="E3" s="546"/>
    </row>
    <row r="4" spans="1:5" ht="13.5" thickBot="1">
      <c r="A4" s="547" t="s">
        <v>519</v>
      </c>
      <c r="B4" s="548" t="s">
        <v>504</v>
      </c>
      <c r="C4" s="548" t="s">
        <v>520</v>
      </c>
      <c r="D4" s="548" t="s">
        <v>521</v>
      </c>
      <c r="E4" s="549" t="s">
        <v>522</v>
      </c>
    </row>
    <row r="5" spans="1:5" ht="12.75">
      <c r="A5" s="550" t="s">
        <v>523</v>
      </c>
      <c r="B5" s="551">
        <v>6706</v>
      </c>
      <c r="C5" s="551"/>
      <c r="D5" s="551"/>
      <c r="E5" s="552">
        <f aca="true" t="shared" si="0" ref="E5:E11">SUM(B5:D5)</f>
        <v>6706</v>
      </c>
    </row>
    <row r="6" spans="1:5" ht="12.75">
      <c r="A6" s="553" t="s">
        <v>524</v>
      </c>
      <c r="B6" s="554"/>
      <c r="C6" s="554"/>
      <c r="D6" s="554"/>
      <c r="E6" s="555">
        <f t="shared" si="0"/>
        <v>0</v>
      </c>
    </row>
    <row r="7" spans="1:5" ht="12.75">
      <c r="A7" s="556" t="s">
        <v>525</v>
      </c>
      <c r="B7" s="557">
        <v>127406</v>
      </c>
      <c r="C7" s="557"/>
      <c r="D7" s="557"/>
      <c r="E7" s="558">
        <f t="shared" si="0"/>
        <v>127406</v>
      </c>
    </row>
    <row r="8" spans="1:5" ht="12.75">
      <c r="A8" s="556" t="s">
        <v>526</v>
      </c>
      <c r="B8" s="557"/>
      <c r="C8" s="557"/>
      <c r="D8" s="557"/>
      <c r="E8" s="558">
        <f t="shared" si="0"/>
        <v>0</v>
      </c>
    </row>
    <row r="9" spans="1:5" ht="12.75">
      <c r="A9" s="556" t="s">
        <v>527</v>
      </c>
      <c r="B9" s="557"/>
      <c r="C9" s="557"/>
      <c r="D9" s="557"/>
      <c r="E9" s="558">
        <f t="shared" si="0"/>
        <v>0</v>
      </c>
    </row>
    <row r="10" spans="1:5" ht="12.75">
      <c r="A10" s="556" t="s">
        <v>528</v>
      </c>
      <c r="B10" s="557"/>
      <c r="C10" s="557"/>
      <c r="D10" s="557"/>
      <c r="E10" s="558">
        <f t="shared" si="0"/>
        <v>0</v>
      </c>
    </row>
    <row r="11" spans="1:5" ht="13.5" thickBot="1">
      <c r="A11" s="559"/>
      <c r="B11" s="560"/>
      <c r="C11" s="560"/>
      <c r="D11" s="560"/>
      <c r="E11" s="558">
        <f t="shared" si="0"/>
        <v>0</v>
      </c>
    </row>
    <row r="12" spans="1:5" ht="13.5" thickBot="1">
      <c r="A12" s="561" t="s">
        <v>529</v>
      </c>
      <c r="B12" s="562">
        <f>B5+SUM(B7:B11)</f>
        <v>134112</v>
      </c>
      <c r="C12" s="562">
        <f>C5+SUM(C7:C11)</f>
        <v>0</v>
      </c>
      <c r="D12" s="562">
        <f>D5+SUM(D7:D11)</f>
        <v>0</v>
      </c>
      <c r="E12" s="563">
        <f>E5+SUM(E7:E11)</f>
        <v>134112</v>
      </c>
    </row>
    <row r="13" spans="1:5" ht="13.5" thickBot="1">
      <c r="A13" s="564"/>
      <c r="B13" s="564"/>
      <c r="C13" s="564"/>
      <c r="D13" s="564"/>
      <c r="E13" s="564"/>
    </row>
    <row r="14" spans="1:5" ht="13.5" thickBot="1">
      <c r="A14" s="547" t="s">
        <v>530</v>
      </c>
      <c r="B14" s="548" t="s">
        <v>504</v>
      </c>
      <c r="C14" s="548" t="s">
        <v>520</v>
      </c>
      <c r="D14" s="548" t="s">
        <v>521</v>
      </c>
      <c r="E14" s="549" t="s">
        <v>522</v>
      </c>
    </row>
    <row r="15" spans="1:5" ht="12.75">
      <c r="A15" s="550" t="s">
        <v>531</v>
      </c>
      <c r="B15" s="551"/>
      <c r="C15" s="551"/>
      <c r="D15" s="551"/>
      <c r="E15" s="552">
        <f aca="true" t="shared" si="1" ref="E15:E21">SUM(B15:D15)</f>
        <v>0</v>
      </c>
    </row>
    <row r="16" spans="1:5" ht="12.75">
      <c r="A16" s="565" t="s">
        <v>532</v>
      </c>
      <c r="B16" s="557">
        <v>128308</v>
      </c>
      <c r="C16" s="557"/>
      <c r="D16" s="557"/>
      <c r="E16" s="558">
        <f t="shared" si="1"/>
        <v>128308</v>
      </c>
    </row>
    <row r="17" spans="1:5" ht="12.75">
      <c r="A17" s="556" t="s">
        <v>533</v>
      </c>
      <c r="B17" s="557"/>
      <c r="C17" s="557"/>
      <c r="D17" s="557"/>
      <c r="E17" s="558">
        <f t="shared" si="1"/>
        <v>0</v>
      </c>
    </row>
    <row r="18" spans="1:5" ht="12.75">
      <c r="A18" s="556" t="s">
        <v>534</v>
      </c>
      <c r="B18" s="557">
        <v>5804</v>
      </c>
      <c r="C18" s="557"/>
      <c r="D18" s="557"/>
      <c r="E18" s="558">
        <f t="shared" si="1"/>
        <v>5804</v>
      </c>
    </row>
    <row r="19" spans="1:5" ht="12.75">
      <c r="A19" s="566"/>
      <c r="B19" s="557"/>
      <c r="C19" s="557"/>
      <c r="D19" s="557"/>
      <c r="E19" s="558">
        <f t="shared" si="1"/>
        <v>0</v>
      </c>
    </row>
    <row r="20" spans="1:5" ht="12.75">
      <c r="A20" s="566"/>
      <c r="B20" s="557"/>
      <c r="C20" s="557"/>
      <c r="D20" s="557"/>
      <c r="E20" s="558">
        <f t="shared" si="1"/>
        <v>0</v>
      </c>
    </row>
    <row r="21" spans="1:5" ht="13.5" thickBot="1">
      <c r="A21" s="559"/>
      <c r="B21" s="560"/>
      <c r="C21" s="560"/>
      <c r="D21" s="560"/>
      <c r="E21" s="558">
        <f t="shared" si="1"/>
        <v>0</v>
      </c>
    </row>
    <row r="22" spans="1:5" ht="13.5" thickBot="1">
      <c r="A22" s="561" t="s">
        <v>535</v>
      </c>
      <c r="B22" s="562">
        <f>SUM(B15:B21)</f>
        <v>134112</v>
      </c>
      <c r="C22" s="562">
        <f>SUM(C15:C21)</f>
        <v>0</v>
      </c>
      <c r="D22" s="562">
        <f>SUM(D15:D21)</f>
        <v>0</v>
      </c>
      <c r="E22" s="563">
        <f>SUM(E15:E21)</f>
        <v>134112</v>
      </c>
    </row>
    <row r="23" spans="1:5" ht="12.75">
      <c r="A23" s="543"/>
      <c r="B23" s="543"/>
      <c r="C23" s="543"/>
      <c r="D23" s="543"/>
      <c r="E23" s="543"/>
    </row>
    <row r="24" spans="1:5" ht="24.75" customHeight="1">
      <c r="A24" s="543"/>
      <c r="B24" s="543"/>
      <c r="C24" s="543"/>
      <c r="D24" s="543"/>
      <c r="E24" s="543"/>
    </row>
    <row r="25" spans="1:5" ht="15.75">
      <c r="A25" s="544" t="s">
        <v>517</v>
      </c>
      <c r="B25" s="576" t="s">
        <v>541</v>
      </c>
      <c r="C25" s="576"/>
      <c r="D25" s="576"/>
      <c r="E25" s="576"/>
    </row>
    <row r="26" spans="1:5" ht="14.25" thickBot="1">
      <c r="A26" s="543"/>
      <c r="B26" s="543"/>
      <c r="C26" s="543"/>
      <c r="D26" s="546" t="s">
        <v>518</v>
      </c>
      <c r="E26" s="546"/>
    </row>
    <row r="27" spans="1:5" ht="13.5" thickBot="1">
      <c r="A27" s="547" t="s">
        <v>519</v>
      </c>
      <c r="B27" s="548" t="s">
        <v>504</v>
      </c>
      <c r="C27" s="548" t="s">
        <v>520</v>
      </c>
      <c r="D27" s="548" t="s">
        <v>521</v>
      </c>
      <c r="E27" s="549" t="s">
        <v>522</v>
      </c>
    </row>
    <row r="28" spans="1:5" ht="12.75">
      <c r="A28" s="550" t="s">
        <v>523</v>
      </c>
      <c r="B28" s="551">
        <v>5142</v>
      </c>
      <c r="C28" s="551"/>
      <c r="D28" s="551"/>
      <c r="E28" s="552">
        <f aca="true" t="shared" si="2" ref="E28:E34">SUM(B28:D28)</f>
        <v>5142</v>
      </c>
    </row>
    <row r="29" spans="1:5" ht="12.75">
      <c r="A29" s="553" t="s">
        <v>524</v>
      </c>
      <c r="B29" s="554"/>
      <c r="C29" s="554"/>
      <c r="D29" s="554"/>
      <c r="E29" s="555">
        <f t="shared" si="2"/>
        <v>0</v>
      </c>
    </row>
    <row r="30" spans="1:5" ht="12.75">
      <c r="A30" s="556" t="s">
        <v>525</v>
      </c>
      <c r="B30" s="557">
        <v>97695</v>
      </c>
      <c r="C30" s="557"/>
      <c r="D30" s="557"/>
      <c r="E30" s="558">
        <f t="shared" si="2"/>
        <v>97695</v>
      </c>
    </row>
    <row r="31" spans="1:5" ht="12.75">
      <c r="A31" s="556" t="s">
        <v>526</v>
      </c>
      <c r="B31" s="557"/>
      <c r="C31" s="557"/>
      <c r="D31" s="557"/>
      <c r="E31" s="558">
        <f t="shared" si="2"/>
        <v>0</v>
      </c>
    </row>
    <row r="32" spans="1:5" ht="12.75">
      <c r="A32" s="556" t="s">
        <v>527</v>
      </c>
      <c r="B32" s="557"/>
      <c r="C32" s="557"/>
      <c r="D32" s="557"/>
      <c r="E32" s="558">
        <f t="shared" si="2"/>
        <v>0</v>
      </c>
    </row>
    <row r="33" spans="1:5" ht="12.75">
      <c r="A33" s="556" t="s">
        <v>528</v>
      </c>
      <c r="B33" s="557"/>
      <c r="C33" s="557"/>
      <c r="D33" s="557"/>
      <c r="E33" s="558">
        <f t="shared" si="2"/>
        <v>0</v>
      </c>
    </row>
    <row r="34" spans="1:5" ht="13.5" thickBot="1">
      <c r="A34" s="559"/>
      <c r="B34" s="560"/>
      <c r="C34" s="560"/>
      <c r="D34" s="560"/>
      <c r="E34" s="558">
        <f t="shared" si="2"/>
        <v>0</v>
      </c>
    </row>
    <row r="35" spans="1:5" ht="13.5" thickBot="1">
      <c r="A35" s="561" t="s">
        <v>529</v>
      </c>
      <c r="B35" s="562">
        <f>B28+SUM(B30:B34)</f>
        <v>102837</v>
      </c>
      <c r="C35" s="562">
        <f>C28+SUM(C30:C34)</f>
        <v>0</v>
      </c>
      <c r="D35" s="562">
        <f>D28+SUM(D30:D34)</f>
        <v>0</v>
      </c>
      <c r="E35" s="563">
        <f>E28+SUM(E30:E34)</f>
        <v>102837</v>
      </c>
    </row>
    <row r="36" spans="1:5" ht="13.5" thickBot="1">
      <c r="A36" s="564"/>
      <c r="B36" s="564"/>
      <c r="C36" s="564"/>
      <c r="D36" s="564"/>
      <c r="E36" s="564"/>
    </row>
    <row r="37" spans="1:5" ht="13.5" thickBot="1">
      <c r="A37" s="547" t="s">
        <v>530</v>
      </c>
      <c r="B37" s="548" t="s">
        <v>504</v>
      </c>
      <c r="C37" s="548" t="s">
        <v>520</v>
      </c>
      <c r="D37" s="548" t="s">
        <v>521</v>
      </c>
      <c r="E37" s="549" t="s">
        <v>522</v>
      </c>
    </row>
    <row r="38" spans="1:5" ht="12.75">
      <c r="A38" s="550" t="s">
        <v>531</v>
      </c>
      <c r="B38" s="551"/>
      <c r="C38" s="551"/>
      <c r="D38" s="551"/>
      <c r="E38" s="552">
        <f aca="true" t="shared" si="3" ref="E38:E44">SUM(B38:D38)</f>
        <v>0</v>
      </c>
    </row>
    <row r="39" spans="1:5" ht="12.75">
      <c r="A39" s="565" t="s">
        <v>532</v>
      </c>
      <c r="B39" s="557">
        <v>90468</v>
      </c>
      <c r="C39" s="557"/>
      <c r="D39" s="557"/>
      <c r="E39" s="558">
        <f t="shared" si="3"/>
        <v>90468</v>
      </c>
    </row>
    <row r="40" spans="1:5" ht="12.75">
      <c r="A40" s="556" t="s">
        <v>533</v>
      </c>
      <c r="B40" s="557"/>
      <c r="C40" s="557"/>
      <c r="D40" s="557"/>
      <c r="E40" s="558">
        <f t="shared" si="3"/>
        <v>0</v>
      </c>
    </row>
    <row r="41" spans="1:5" ht="12.75">
      <c r="A41" s="556" t="s">
        <v>534</v>
      </c>
      <c r="B41" s="557">
        <v>12369</v>
      </c>
      <c r="C41" s="557"/>
      <c r="D41" s="557"/>
      <c r="E41" s="558">
        <f t="shared" si="3"/>
        <v>12369</v>
      </c>
    </row>
    <row r="42" spans="1:5" ht="12.75">
      <c r="A42" s="566"/>
      <c r="B42" s="557"/>
      <c r="C42" s="557"/>
      <c r="D42" s="557"/>
      <c r="E42" s="558">
        <f t="shared" si="3"/>
        <v>0</v>
      </c>
    </row>
    <row r="43" spans="1:5" ht="12.75">
      <c r="A43" s="566"/>
      <c r="B43" s="557"/>
      <c r="C43" s="557"/>
      <c r="D43" s="557"/>
      <c r="E43" s="558">
        <f t="shared" si="3"/>
        <v>0</v>
      </c>
    </row>
    <row r="44" spans="1:5" ht="13.5" thickBot="1">
      <c r="A44" s="559"/>
      <c r="B44" s="560"/>
      <c r="C44" s="560"/>
      <c r="D44" s="560"/>
      <c r="E44" s="558">
        <f t="shared" si="3"/>
        <v>0</v>
      </c>
    </row>
    <row r="45" spans="1:5" ht="13.5" thickBot="1">
      <c r="A45" s="561" t="s">
        <v>535</v>
      </c>
      <c r="B45" s="562">
        <f>SUM(B38:B44)</f>
        <v>102837</v>
      </c>
      <c r="C45" s="562">
        <f>SUM(C38:C44)</f>
        <v>0</v>
      </c>
      <c r="D45" s="562">
        <f>SUM(D38:D44)</f>
        <v>0</v>
      </c>
      <c r="E45" s="563">
        <f>SUM(E38:E44)</f>
        <v>102837</v>
      </c>
    </row>
    <row r="46" spans="1:5" ht="12.75">
      <c r="A46" s="543"/>
      <c r="B46" s="543"/>
      <c r="C46" s="543"/>
      <c r="D46" s="543"/>
      <c r="E46" s="543"/>
    </row>
    <row r="47" spans="1:5" ht="15.75">
      <c r="A47" s="567" t="s">
        <v>537</v>
      </c>
      <c r="B47" s="567"/>
      <c r="C47" s="567"/>
      <c r="D47" s="567"/>
      <c r="E47" s="567"/>
    </row>
    <row r="48" spans="1:5" ht="13.5" thickBot="1">
      <c r="A48" s="543"/>
      <c r="B48" s="543"/>
      <c r="C48" s="543"/>
      <c r="D48" s="543"/>
      <c r="E48" s="543"/>
    </row>
    <row r="49" spans="1:5" ht="13.5" thickBot="1">
      <c r="A49" s="568" t="s">
        <v>538</v>
      </c>
      <c r="B49" s="568"/>
      <c r="C49" s="568"/>
      <c r="D49" s="569" t="s">
        <v>539</v>
      </c>
      <c r="E49" s="569"/>
    </row>
    <row r="50" spans="1:5" ht="12.75">
      <c r="A50" s="570"/>
      <c r="B50" s="570"/>
      <c r="C50" s="570"/>
      <c r="D50" s="571"/>
      <c r="E50" s="571"/>
    </row>
    <row r="51" spans="1:5" ht="13.5" thickBot="1">
      <c r="A51" s="572"/>
      <c r="B51" s="572"/>
      <c r="C51" s="572"/>
      <c r="D51" s="573"/>
      <c r="E51" s="573"/>
    </row>
    <row r="52" spans="1:5" ht="13.5" thickBot="1">
      <c r="A52" s="574" t="s">
        <v>535</v>
      </c>
      <c r="B52" s="574"/>
      <c r="C52" s="574"/>
      <c r="D52" s="575">
        <f>SUM(D50:E51)</f>
        <v>0</v>
      </c>
      <c r="E52" s="575"/>
    </row>
  </sheetData>
  <mergeCells count="13">
    <mergeCell ref="A51:C51"/>
    <mergeCell ref="D51:E51"/>
    <mergeCell ref="A52:C52"/>
    <mergeCell ref="D52:E52"/>
    <mergeCell ref="A47:E47"/>
    <mergeCell ref="A49:C49"/>
    <mergeCell ref="D49:E49"/>
    <mergeCell ref="A50:C50"/>
    <mergeCell ref="D50:E50"/>
    <mergeCell ref="B2:E2"/>
    <mergeCell ref="D3:E3"/>
    <mergeCell ref="B25:E25"/>
    <mergeCell ref="D26:E26"/>
  </mergeCells>
  <conditionalFormatting sqref="B12:E12 B22:E22 B35:E35 B45:E45 D52:E52 E5:E11 E15:E21 E28:E34 E38:E44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Iktató</cp:lastModifiedBy>
  <cp:lastPrinted>2013-11-15T09:59:31Z</cp:lastPrinted>
  <dcterms:created xsi:type="dcterms:W3CDTF">2013-11-15T10:05:36Z</dcterms:created>
  <dcterms:modified xsi:type="dcterms:W3CDTF">2013-11-15T11:45:33Z</dcterms:modified>
  <cp:category/>
  <cp:version/>
  <cp:contentType/>
  <cp:contentStatus/>
</cp:coreProperties>
</file>