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2019\2019_évi_költségvetés\Sármelléki_önk\Sármellék_2019évi_végleges_ktgvetése\"/>
    </mc:Choice>
  </mc:AlternateContent>
  <bookViews>
    <workbookView xWindow="0" yWindow="0" windowWidth="20490" windowHeight="7455" firstSheet="10" activeTab="24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1a" sheetId="12" r:id="rId12"/>
    <sheet name="11b" sheetId="13" r:id="rId13"/>
    <sheet name="11c" sheetId="14" r:id="rId14"/>
    <sheet name="11d" sheetId="15" r:id="rId15"/>
    <sheet name="11e" sheetId="16" r:id="rId16"/>
    <sheet name="11f" sheetId="28" r:id="rId17"/>
    <sheet name="12" sheetId="17" r:id="rId18"/>
    <sheet name="13" sheetId="18" r:id="rId19"/>
    <sheet name="13a" sheetId="19" r:id="rId20"/>
    <sheet name="13b" sheetId="29" r:id="rId21"/>
    <sheet name="14" sheetId="20" r:id="rId22"/>
    <sheet name="15" sheetId="21" r:id="rId23"/>
    <sheet name="16" sheetId="22" r:id="rId24"/>
    <sheet name="16a" sheetId="23" r:id="rId25"/>
    <sheet name="16b" sheetId="24" r:id="rId26"/>
    <sheet name="16c" sheetId="27" r:id="rId27"/>
    <sheet name="16d" sheetId="26" r:id="rId28"/>
    <sheet name="17" sheetId="25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6" i="23" l="1"/>
  <c r="X35" i="23"/>
  <c r="X32" i="23" s="1"/>
  <c r="X34" i="23"/>
  <c r="X33" i="23"/>
  <c r="AY32" i="23"/>
  <c r="AX32" i="23"/>
  <c r="AX37" i="23" s="1"/>
  <c r="AW32" i="23"/>
  <c r="AW37" i="23" s="1"/>
  <c r="AV32" i="23"/>
  <c r="AU32" i="23"/>
  <c r="AT32" i="23"/>
  <c r="AT37" i="23" s="1"/>
  <c r="AS32" i="23"/>
  <c r="AS37" i="23" s="1"/>
  <c r="AR32" i="23"/>
  <c r="AQ32" i="23"/>
  <c r="AP32" i="23"/>
  <c r="AP37" i="23" s="1"/>
  <c r="AO32" i="23"/>
  <c r="AO37" i="23" s="1"/>
  <c r="AN32" i="23"/>
  <c r="AM32" i="23"/>
  <c r="AL32" i="23"/>
  <c r="AL37" i="23" s="1"/>
  <c r="AK32" i="23"/>
  <c r="AK37" i="23" s="1"/>
  <c r="AJ32" i="23"/>
  <c r="AI32" i="23"/>
  <c r="AH32" i="23"/>
  <c r="AH37" i="23" s="1"/>
  <c r="AG32" i="23"/>
  <c r="AG37" i="23" s="1"/>
  <c r="AF32" i="23"/>
  <c r="AE32" i="23"/>
  <c r="AD32" i="23"/>
  <c r="AD37" i="23" s="1"/>
  <c r="AC32" i="23"/>
  <c r="AC37" i="23" s="1"/>
  <c r="AB32" i="23"/>
  <c r="AA32" i="23"/>
  <c r="Z32" i="23"/>
  <c r="Z37" i="23" s="1"/>
  <c r="Y32" i="23"/>
  <c r="Y37" i="23" s="1"/>
  <c r="X31" i="23"/>
  <c r="X30" i="23"/>
  <c r="AY29" i="23"/>
  <c r="AY37" i="23" s="1"/>
  <c r="AX29" i="23"/>
  <c r="AW29" i="23"/>
  <c r="AV29" i="23"/>
  <c r="AV37" i="23" s="1"/>
  <c r="AU29" i="23"/>
  <c r="AU37" i="23" s="1"/>
  <c r="AT29" i="23"/>
  <c r="AS29" i="23"/>
  <c r="AR29" i="23"/>
  <c r="AR37" i="23" s="1"/>
  <c r="AQ29" i="23"/>
  <c r="AQ37" i="23" s="1"/>
  <c r="AP29" i="23"/>
  <c r="AO29" i="23"/>
  <c r="AN29" i="23"/>
  <c r="AN37" i="23" s="1"/>
  <c r="AM29" i="23"/>
  <c r="AM37" i="23" s="1"/>
  <c r="AL29" i="23"/>
  <c r="AK29" i="23"/>
  <c r="AJ29" i="23"/>
  <c r="AJ37" i="23" s="1"/>
  <c r="AI29" i="23"/>
  <c r="AI37" i="23" s="1"/>
  <c r="AH29" i="23"/>
  <c r="AG29" i="23"/>
  <c r="AF29" i="23"/>
  <c r="AF37" i="23" s="1"/>
  <c r="AE29" i="23"/>
  <c r="AE37" i="23" s="1"/>
  <c r="AD29" i="23"/>
  <c r="AC29" i="23"/>
  <c r="AB29" i="23"/>
  <c r="AB37" i="23" s="1"/>
  <c r="AA29" i="23"/>
  <c r="AA37" i="23" s="1"/>
  <c r="Z29" i="23"/>
  <c r="Y29" i="23"/>
  <c r="X29" i="23"/>
  <c r="X28" i="23"/>
  <c r="X27" i="23"/>
  <c r="X37" i="23" s="1"/>
  <c r="AY26" i="23"/>
  <c r="AX26" i="23"/>
  <c r="AW26" i="23"/>
  <c r="AV26" i="23"/>
  <c r="AU26" i="23"/>
  <c r="AT26" i="23"/>
  <c r="AS26" i="23"/>
  <c r="AR26" i="23"/>
  <c r="AQ26" i="23"/>
  <c r="AP26" i="23"/>
  <c r="AO26" i="23"/>
  <c r="AN26" i="23"/>
  <c r="AM26" i="23"/>
  <c r="AL26" i="23"/>
  <c r="AK26" i="23"/>
  <c r="AJ26" i="23"/>
  <c r="AI26" i="23"/>
  <c r="AH26" i="23"/>
  <c r="AG26" i="23"/>
  <c r="AF26" i="23"/>
  <c r="AE26" i="23"/>
  <c r="AD26" i="23"/>
  <c r="AC26" i="23"/>
  <c r="AB26" i="23"/>
  <c r="AA26" i="23"/>
  <c r="Z26" i="23"/>
  <c r="Y26" i="23"/>
  <c r="X25" i="23"/>
  <c r="X24" i="23"/>
  <c r="X26" i="23" s="1"/>
  <c r="AY23" i="23"/>
  <c r="AX23" i="23"/>
  <c r="AW23" i="23"/>
  <c r="AV23" i="23"/>
  <c r="AU23" i="23"/>
  <c r="AT23" i="23"/>
  <c r="AS23" i="23"/>
  <c r="AR23" i="23"/>
  <c r="AQ23" i="23"/>
  <c r="AP23" i="23"/>
  <c r="AO23" i="23"/>
  <c r="AN23" i="23"/>
  <c r="AM23" i="23"/>
  <c r="AL23" i="23"/>
  <c r="AK23" i="23"/>
  <c r="AJ23" i="23"/>
  <c r="AI23" i="23"/>
  <c r="AH23" i="23"/>
  <c r="AG23" i="23"/>
  <c r="AF23" i="23"/>
  <c r="AE23" i="23"/>
  <c r="AD23" i="23"/>
  <c r="AC23" i="23"/>
  <c r="AB23" i="23"/>
  <c r="AA23" i="23"/>
  <c r="Z23" i="23"/>
  <c r="Y23" i="23"/>
  <c r="X22" i="23"/>
  <c r="X21" i="23"/>
  <c r="X20" i="23"/>
  <c r="X19" i="23"/>
  <c r="X18" i="23"/>
  <c r="X17" i="23"/>
  <c r="X16" i="23"/>
  <c r="X15" i="23"/>
  <c r="X14" i="23"/>
  <c r="X23" i="23" s="1"/>
  <c r="AY13" i="23"/>
  <c r="AX13" i="23"/>
  <c r="AW13" i="23"/>
  <c r="AV13" i="23"/>
  <c r="AU13" i="23"/>
  <c r="AT13" i="23"/>
  <c r="AS13" i="23"/>
  <c r="AR13" i="23"/>
  <c r="AQ13" i="23"/>
  <c r="AP13" i="23"/>
  <c r="AO13" i="23"/>
  <c r="AN13" i="23"/>
  <c r="AM13" i="23"/>
  <c r="AL13" i="23"/>
  <c r="AK13" i="23"/>
  <c r="AJ13" i="23"/>
  <c r="AI13" i="23"/>
  <c r="AH13" i="23"/>
  <c r="AG13" i="23"/>
  <c r="AF13" i="23"/>
  <c r="AE13" i="23"/>
  <c r="AD13" i="23"/>
  <c r="AC13" i="23"/>
  <c r="AB13" i="23"/>
  <c r="AA13" i="23"/>
  <c r="Z13" i="23"/>
  <c r="Y13" i="23"/>
  <c r="X13" i="23"/>
  <c r="X12" i="23"/>
  <c r="X11" i="23"/>
  <c r="AY10" i="23"/>
  <c r="AY38" i="23" s="1"/>
  <c r="AX10" i="23"/>
  <c r="AX38" i="23" s="1"/>
  <c r="AW10" i="23"/>
  <c r="AV10" i="23"/>
  <c r="AV38" i="23" s="1"/>
  <c r="AU10" i="23"/>
  <c r="AU38" i="23" s="1"/>
  <c r="AT10" i="23"/>
  <c r="AT38" i="23" s="1"/>
  <c r="AS10" i="23"/>
  <c r="AR10" i="23"/>
  <c r="AR38" i="23" s="1"/>
  <c r="AQ10" i="23"/>
  <c r="AQ38" i="23" s="1"/>
  <c r="AP10" i="23"/>
  <c r="AP38" i="23" s="1"/>
  <c r="AO10" i="23"/>
  <c r="AN10" i="23"/>
  <c r="AN38" i="23" s="1"/>
  <c r="AM10" i="23"/>
  <c r="AM38" i="23" s="1"/>
  <c r="AL10" i="23"/>
  <c r="AL38" i="23" s="1"/>
  <c r="AK10" i="23"/>
  <c r="AJ10" i="23"/>
  <c r="AJ38" i="23" s="1"/>
  <c r="AI10" i="23"/>
  <c r="AI38" i="23" s="1"/>
  <c r="AH10" i="23"/>
  <c r="AH38" i="23" s="1"/>
  <c r="AG10" i="23"/>
  <c r="AF10" i="23"/>
  <c r="AF38" i="23" s="1"/>
  <c r="AE10" i="23"/>
  <c r="AE38" i="23" s="1"/>
  <c r="AD10" i="23"/>
  <c r="AD38" i="23" s="1"/>
  <c r="AC10" i="23"/>
  <c r="AB10" i="23"/>
  <c r="AB38" i="23" s="1"/>
  <c r="AA10" i="23"/>
  <c r="AA38" i="23" s="1"/>
  <c r="Z10" i="23"/>
  <c r="Z38" i="23" s="1"/>
  <c r="Y10" i="23"/>
  <c r="X9" i="23"/>
  <c r="X8" i="23"/>
  <c r="X10" i="23" s="1"/>
  <c r="X7" i="23"/>
  <c r="X38" i="23" l="1"/>
  <c r="Y38" i="23"/>
  <c r="AC38" i="23"/>
  <c r="AG38" i="23"/>
  <c r="AK38" i="23"/>
  <c r="AO38" i="23"/>
  <c r="AS38" i="23"/>
  <c r="AW38" i="23"/>
  <c r="X39" i="23" l="1"/>
  <c r="F65" i="25" l="1"/>
  <c r="F58" i="25"/>
  <c r="F12" i="25"/>
  <c r="F19" i="25"/>
  <c r="D82" i="25"/>
  <c r="D81" i="21" l="1"/>
  <c r="E15" i="9" l="1"/>
  <c r="I21" i="9"/>
  <c r="V13" i="5"/>
  <c r="V12" i="5"/>
  <c r="V15" i="5" s="1"/>
  <c r="V16" i="5" s="1"/>
  <c r="V18" i="5" s="1"/>
  <c r="V10" i="5"/>
  <c r="U34" i="6"/>
  <c r="U28" i="6"/>
  <c r="U30" i="6" s="1"/>
  <c r="U18" i="6"/>
  <c r="U17" i="6"/>
  <c r="U16" i="6"/>
  <c r="U14" i="6"/>
  <c r="U20" i="6" s="1"/>
  <c r="U12" i="6"/>
  <c r="U31" i="6" l="1"/>
  <c r="G81" i="21" l="1"/>
  <c r="G77" i="21"/>
  <c r="F77" i="21"/>
  <c r="F81" i="21" s="1"/>
  <c r="G69" i="21"/>
  <c r="G74" i="21" s="1"/>
  <c r="F69" i="21"/>
  <c r="F74" i="21" s="1"/>
  <c r="E69" i="21"/>
  <c r="E74" i="21" s="1"/>
  <c r="D69" i="21"/>
  <c r="D74" i="21" s="1"/>
  <c r="G64" i="21"/>
  <c r="G67" i="21" s="1"/>
  <c r="G75" i="21" s="1"/>
  <c r="F64" i="21"/>
  <c r="F67" i="21" s="1"/>
  <c r="F75" i="21" s="1"/>
  <c r="E64" i="21"/>
  <c r="E67" i="21" s="1"/>
  <c r="E75" i="21" s="1"/>
  <c r="D64" i="21"/>
  <c r="D67" i="21" s="1"/>
  <c r="D75" i="21" s="1"/>
  <c r="G54" i="21"/>
  <c r="F54" i="21"/>
  <c r="E54" i="21"/>
  <c r="D54" i="21"/>
  <c r="G51" i="21"/>
  <c r="F51" i="21"/>
  <c r="E51" i="21"/>
  <c r="D51" i="21"/>
  <c r="G48" i="21"/>
  <c r="G58" i="21" s="1"/>
  <c r="F48" i="21"/>
  <c r="F58" i="21" s="1"/>
  <c r="E48" i="21"/>
  <c r="E58" i="21" s="1"/>
  <c r="D48" i="21"/>
  <c r="D58" i="21" s="1"/>
  <c r="G42" i="21"/>
  <c r="F42" i="21"/>
  <c r="E42" i="21"/>
  <c r="D42" i="21"/>
  <c r="G40" i="21"/>
  <c r="F40" i="21"/>
  <c r="E40" i="21" s="1"/>
  <c r="G38" i="21"/>
  <c r="F38" i="21"/>
  <c r="G34" i="21"/>
  <c r="G47" i="21" s="1"/>
  <c r="G61" i="21" s="1"/>
  <c r="G83" i="21" s="1"/>
  <c r="F34" i="21"/>
  <c r="F47" i="21" s="1"/>
  <c r="F61" i="21" s="1"/>
  <c r="F83" i="21" s="1"/>
  <c r="E34" i="21"/>
  <c r="D34" i="21"/>
  <c r="G26" i="21"/>
  <c r="F26" i="21"/>
  <c r="E26" i="21"/>
  <c r="D24" i="21"/>
  <c r="D23" i="21"/>
  <c r="D26" i="21" s="1"/>
  <c r="G20" i="21"/>
  <c r="F20" i="21"/>
  <c r="E20" i="21"/>
  <c r="G14" i="21"/>
  <c r="G22" i="21" s="1"/>
  <c r="G30" i="21" s="1"/>
  <c r="F14" i="21"/>
  <c r="F22" i="21" s="1"/>
  <c r="F30" i="21" s="1"/>
  <c r="E14" i="21"/>
  <c r="E22" i="21" s="1"/>
  <c r="E30" i="21" s="1"/>
  <c r="D14" i="21"/>
  <c r="D11" i="21"/>
  <c r="G62" i="21" l="1"/>
  <c r="G82" i="21"/>
  <c r="E38" i="21"/>
  <c r="E47" i="21" s="1"/>
  <c r="E61" i="21" s="1"/>
  <c r="D40" i="21"/>
  <c r="D38" i="21" s="1"/>
  <c r="D47" i="21" s="1"/>
  <c r="D61" i="21" s="1"/>
  <c r="G85" i="21"/>
  <c r="F82" i="21"/>
  <c r="F85" i="21" s="1"/>
  <c r="F62" i="21"/>
  <c r="E77" i="21"/>
  <c r="D83" i="21" l="1"/>
  <c r="E83" i="21"/>
  <c r="E62" i="21"/>
  <c r="E81" i="21"/>
  <c r="E82" i="21" s="1"/>
  <c r="D77" i="21"/>
  <c r="E85" i="21" l="1"/>
  <c r="N12" i="17" l="1"/>
  <c r="E76" i="11"/>
  <c r="E80" i="11" s="1"/>
  <c r="E68" i="11"/>
  <c r="E73" i="11" s="1"/>
  <c r="E63" i="11"/>
  <c r="E66" i="11" s="1"/>
  <c r="E74" i="11" s="1"/>
  <c r="E53" i="11"/>
  <c r="E57" i="11" s="1"/>
  <c r="E50" i="11"/>
  <c r="E47" i="11"/>
  <c r="E42" i="11"/>
  <c r="E41" i="11"/>
  <c r="E37" i="11"/>
  <c r="E33" i="11"/>
  <c r="E46" i="11" s="1"/>
  <c r="E25" i="11"/>
  <c r="E14" i="11"/>
  <c r="E21" i="11" s="1"/>
  <c r="E29" i="11" s="1"/>
  <c r="L28" i="28"/>
  <c r="P25" i="28"/>
  <c r="L25" i="28"/>
  <c r="M23" i="28"/>
  <c r="N23" i="28" s="1"/>
  <c r="L23" i="28"/>
  <c r="P22" i="28"/>
  <c r="P23" i="28" s="1"/>
  <c r="Q19" i="28"/>
  <c r="L19" i="28"/>
  <c r="L31" i="28" s="1"/>
  <c r="P18" i="28"/>
  <c r="R18" i="28" s="1"/>
  <c r="M18" i="28"/>
  <c r="M19" i="28" s="1"/>
  <c r="L32" i="28" s="1"/>
  <c r="L18" i="28"/>
  <c r="P13" i="28"/>
  <c r="P19" i="28" s="1"/>
  <c r="N13" i="28"/>
  <c r="M13" i="28"/>
  <c r="L13" i="28"/>
  <c r="F69" i="16"/>
  <c r="G68" i="16"/>
  <c r="H68" i="16" s="1"/>
  <c r="G67" i="16"/>
  <c r="H67" i="16" s="1"/>
  <c r="G66" i="16"/>
  <c r="H66" i="16" s="1"/>
  <c r="G65" i="16"/>
  <c r="H65" i="16" s="1"/>
  <c r="G64" i="16"/>
  <c r="H64" i="16" s="1"/>
  <c r="G63" i="16"/>
  <c r="H63" i="16" s="1"/>
  <c r="G62" i="16"/>
  <c r="H62" i="16" s="1"/>
  <c r="G61" i="16"/>
  <c r="G69" i="16" s="1"/>
  <c r="F59" i="16"/>
  <c r="H58" i="16"/>
  <c r="G56" i="16"/>
  <c r="F56" i="16"/>
  <c r="H55" i="16"/>
  <c r="H54" i="16"/>
  <c r="H56" i="16" s="1"/>
  <c r="F51" i="16"/>
  <c r="H51" i="16" s="1"/>
  <c r="H50" i="16"/>
  <c r="F50" i="16"/>
  <c r="H49" i="16"/>
  <c r="H48" i="16"/>
  <c r="F47" i="16"/>
  <c r="H47" i="16" s="1"/>
  <c r="F46" i="16"/>
  <c r="H46" i="16" s="1"/>
  <c r="G45" i="16"/>
  <c r="H45" i="16" s="1"/>
  <c r="G44" i="16"/>
  <c r="H44" i="16" s="1"/>
  <c r="G43" i="16"/>
  <c r="G52" i="16" s="1"/>
  <c r="G42" i="16"/>
  <c r="F42" i="16"/>
  <c r="H41" i="16"/>
  <c r="H42" i="16" s="1"/>
  <c r="G40" i="16"/>
  <c r="H40" i="16" s="1"/>
  <c r="G39" i="16"/>
  <c r="H39" i="16" s="1"/>
  <c r="G38" i="16"/>
  <c r="F38" i="16"/>
  <c r="H37" i="16"/>
  <c r="H38" i="16" s="1"/>
  <c r="G37" i="16"/>
  <c r="G35" i="16"/>
  <c r="F35" i="16"/>
  <c r="H34" i="16"/>
  <c r="H35" i="16" s="1"/>
  <c r="G34" i="16"/>
  <c r="G33" i="16"/>
  <c r="G36" i="16" s="1"/>
  <c r="F33" i="16"/>
  <c r="F36" i="16" s="1"/>
  <c r="G32" i="16"/>
  <c r="H32" i="16" s="1"/>
  <c r="H33" i="16" s="1"/>
  <c r="H36" i="16" s="1"/>
  <c r="F30" i="16"/>
  <c r="F29" i="16"/>
  <c r="H28" i="16"/>
  <c r="G28" i="16"/>
  <c r="G27" i="16"/>
  <c r="H27" i="16" s="1"/>
  <c r="H26" i="16"/>
  <c r="G26" i="16"/>
  <c r="G25" i="16"/>
  <c r="H25" i="16" s="1"/>
  <c r="H24" i="16"/>
  <c r="G24" i="16"/>
  <c r="G23" i="16"/>
  <c r="H23" i="16" s="1"/>
  <c r="H22" i="16"/>
  <c r="G22" i="16"/>
  <c r="G21" i="16"/>
  <c r="H21" i="16" s="1"/>
  <c r="F20" i="16"/>
  <c r="F31" i="16" s="1"/>
  <c r="G19" i="16"/>
  <c r="H19" i="16" s="1"/>
  <c r="G18" i="16"/>
  <c r="G20" i="16" s="1"/>
  <c r="H16" i="16"/>
  <c r="F16" i="16"/>
  <c r="G14" i="16"/>
  <c r="G15" i="16" s="1"/>
  <c r="G17" i="16" s="1"/>
  <c r="F14" i="16"/>
  <c r="H13" i="16"/>
  <c r="H12" i="16"/>
  <c r="H11" i="16"/>
  <c r="H14" i="16" s="1"/>
  <c r="H10" i="16"/>
  <c r="H9" i="16"/>
  <c r="H8" i="16"/>
  <c r="H7" i="16"/>
  <c r="H6" i="16"/>
  <c r="F5" i="16"/>
  <c r="F15" i="16" s="1"/>
  <c r="F17" i="16" s="1"/>
  <c r="H100" i="12"/>
  <c r="G100" i="12"/>
  <c r="F100" i="12"/>
  <c r="H99" i="12"/>
  <c r="G99" i="12"/>
  <c r="F98" i="12"/>
  <c r="F96" i="12"/>
  <c r="G95" i="12"/>
  <c r="H95" i="12" s="1"/>
  <c r="G94" i="12"/>
  <c r="H94" i="12" s="1"/>
  <c r="G93" i="12"/>
  <c r="H93" i="12" s="1"/>
  <c r="G92" i="12"/>
  <c r="H92" i="12" s="1"/>
  <c r="G91" i="12"/>
  <c r="H91" i="12" s="1"/>
  <c r="G90" i="12"/>
  <c r="H90" i="12" s="1"/>
  <c r="G89" i="12"/>
  <c r="H89" i="12" s="1"/>
  <c r="G88" i="12"/>
  <c r="H88" i="12" s="1"/>
  <c r="G87" i="12"/>
  <c r="H87" i="12" s="1"/>
  <c r="G86" i="12"/>
  <c r="H86" i="12" s="1"/>
  <c r="G85" i="12"/>
  <c r="F83" i="12"/>
  <c r="F97" i="12" s="1"/>
  <c r="H82" i="12"/>
  <c r="G82" i="12"/>
  <c r="G81" i="12"/>
  <c r="H81" i="12" s="1"/>
  <c r="H80" i="12"/>
  <c r="G80" i="12"/>
  <c r="G79" i="12"/>
  <c r="G83" i="12" s="1"/>
  <c r="F77" i="12"/>
  <c r="G76" i="12"/>
  <c r="H76" i="12" s="1"/>
  <c r="G75" i="12"/>
  <c r="H75" i="12" s="1"/>
  <c r="G74" i="12"/>
  <c r="H74" i="12" s="1"/>
  <c r="G73" i="12"/>
  <c r="H73" i="12" s="1"/>
  <c r="G72" i="12"/>
  <c r="H72" i="12" s="1"/>
  <c r="G71" i="12"/>
  <c r="H71" i="12" s="1"/>
  <c r="G70" i="12"/>
  <c r="H70" i="12" s="1"/>
  <c r="G69" i="12"/>
  <c r="F67" i="12"/>
  <c r="F66" i="12"/>
  <c r="H66" i="12" s="1"/>
  <c r="G65" i="12"/>
  <c r="G64" i="12"/>
  <c r="F64" i="12"/>
  <c r="H63" i="12"/>
  <c r="F62" i="12"/>
  <c r="H62" i="12" s="1"/>
  <c r="H64" i="12" s="1"/>
  <c r="F60" i="12"/>
  <c r="H58" i="12"/>
  <c r="G58" i="12"/>
  <c r="F58" i="12"/>
  <c r="H57" i="12"/>
  <c r="F57" i="12"/>
  <c r="G57" i="12" s="1"/>
  <c r="H56" i="12"/>
  <c r="G56" i="12"/>
  <c r="F56" i="12"/>
  <c r="F55" i="12"/>
  <c r="H55" i="12" s="1"/>
  <c r="H54" i="12"/>
  <c r="F54" i="12"/>
  <c r="H53" i="12"/>
  <c r="H52" i="12"/>
  <c r="H51" i="12"/>
  <c r="F51" i="12"/>
  <c r="F50" i="12"/>
  <c r="H50" i="12" s="1"/>
  <c r="H49" i="12"/>
  <c r="G49" i="12"/>
  <c r="G48" i="12"/>
  <c r="H48" i="12" s="1"/>
  <c r="H47" i="12"/>
  <c r="H60" i="12" s="1"/>
  <c r="G47" i="12"/>
  <c r="G46" i="12"/>
  <c r="F46" i="12"/>
  <c r="F45" i="12"/>
  <c r="H45" i="12" s="1"/>
  <c r="H46" i="12" s="1"/>
  <c r="G44" i="12"/>
  <c r="H44" i="12" s="1"/>
  <c r="F44" i="12"/>
  <c r="G43" i="12"/>
  <c r="H43" i="12" s="1"/>
  <c r="F42" i="12"/>
  <c r="G41" i="12"/>
  <c r="F41" i="12"/>
  <c r="G39" i="12"/>
  <c r="F39" i="12"/>
  <c r="H38" i="12"/>
  <c r="H39" i="12" s="1"/>
  <c r="G38" i="12"/>
  <c r="F38" i="12"/>
  <c r="G37" i="12"/>
  <c r="G40" i="12" s="1"/>
  <c r="G36" i="12"/>
  <c r="F36" i="12"/>
  <c r="G33" i="12"/>
  <c r="H33" i="12" s="1"/>
  <c r="G32" i="12"/>
  <c r="H32" i="12" s="1"/>
  <c r="G31" i="12"/>
  <c r="H31" i="12" s="1"/>
  <c r="F30" i="12"/>
  <c r="H29" i="12"/>
  <c r="G29" i="12"/>
  <c r="G28" i="12"/>
  <c r="H28" i="12" s="1"/>
  <c r="H27" i="12"/>
  <c r="G27" i="12"/>
  <c r="G26" i="12"/>
  <c r="F26" i="12"/>
  <c r="H26" i="12" s="1"/>
  <c r="G25" i="12"/>
  <c r="H25" i="12" s="1"/>
  <c r="H24" i="12"/>
  <c r="F23" i="12"/>
  <c r="G23" i="12" s="1"/>
  <c r="H23" i="12" s="1"/>
  <c r="G22" i="12"/>
  <c r="H22" i="12" s="1"/>
  <c r="F22" i="12"/>
  <c r="G21" i="12"/>
  <c r="F21" i="12"/>
  <c r="F20" i="12"/>
  <c r="H19" i="12"/>
  <c r="G19" i="12"/>
  <c r="F19" i="12"/>
  <c r="G18" i="12"/>
  <c r="F18" i="12"/>
  <c r="H16" i="12"/>
  <c r="F16" i="12"/>
  <c r="G14" i="12"/>
  <c r="G15" i="12" s="1"/>
  <c r="G17" i="12" s="1"/>
  <c r="F14" i="12"/>
  <c r="H13" i="12"/>
  <c r="H12" i="12"/>
  <c r="H11" i="12"/>
  <c r="H10" i="12"/>
  <c r="H14" i="12" s="1"/>
  <c r="H9" i="12"/>
  <c r="F8" i="12"/>
  <c r="H8" i="12" s="1"/>
  <c r="H7" i="12"/>
  <c r="F7" i="12"/>
  <c r="F6" i="12"/>
  <c r="H6" i="12" s="1"/>
  <c r="H5" i="12"/>
  <c r="F5" i="12"/>
  <c r="F4" i="12"/>
  <c r="E81" i="11" l="1"/>
  <c r="E60" i="11"/>
  <c r="E82" i="11" s="1"/>
  <c r="P31" i="28"/>
  <c r="P33" i="28" s="1"/>
  <c r="L33" i="28"/>
  <c r="N18" i="28"/>
  <c r="R13" i="28"/>
  <c r="R19" i="28" s="1"/>
  <c r="N19" i="28"/>
  <c r="H15" i="16"/>
  <c r="H17" i="16" s="1"/>
  <c r="G70" i="16"/>
  <c r="H70" i="16" s="1"/>
  <c r="F52" i="16"/>
  <c r="F53" i="16" s="1"/>
  <c r="F60" i="16" s="1"/>
  <c r="G53" i="16"/>
  <c r="H43" i="16"/>
  <c r="H52" i="16" s="1"/>
  <c r="H53" i="16" s="1"/>
  <c r="H61" i="16"/>
  <c r="H69" i="16" s="1"/>
  <c r="H5" i="16"/>
  <c r="G29" i="16"/>
  <c r="H29" i="16" s="1"/>
  <c r="H30" i="16" s="1"/>
  <c r="H18" i="16"/>
  <c r="H20" i="16" s="1"/>
  <c r="F15" i="12"/>
  <c r="F17" i="12" s="1"/>
  <c r="H4" i="12"/>
  <c r="H15" i="12" s="1"/>
  <c r="H17" i="12" s="1"/>
  <c r="F34" i="12"/>
  <c r="H21" i="12"/>
  <c r="F37" i="12"/>
  <c r="F40" i="12" s="1"/>
  <c r="H36" i="12"/>
  <c r="H37" i="12" s="1"/>
  <c r="H40" i="12" s="1"/>
  <c r="G42" i="12"/>
  <c r="H41" i="12"/>
  <c r="H42" i="12" s="1"/>
  <c r="H61" i="12" s="1"/>
  <c r="G67" i="12"/>
  <c r="G68" i="12" s="1"/>
  <c r="H65" i="12"/>
  <c r="H67" i="12" s="1"/>
  <c r="G77" i="12"/>
  <c r="G20" i="12"/>
  <c r="H18" i="12"/>
  <c r="H20" i="12" s="1"/>
  <c r="F35" i="12"/>
  <c r="F61" i="12"/>
  <c r="F68" i="12" s="1"/>
  <c r="H68" i="12" s="1"/>
  <c r="G96" i="12"/>
  <c r="G97" i="12" s="1"/>
  <c r="H85" i="12"/>
  <c r="H96" i="12" s="1"/>
  <c r="H97" i="12" s="1"/>
  <c r="G60" i="12"/>
  <c r="G30" i="12"/>
  <c r="G34" i="12" s="1"/>
  <c r="H79" i="12"/>
  <c r="H83" i="12" s="1"/>
  <c r="H69" i="12"/>
  <c r="H77" i="12" s="1"/>
  <c r="E61" i="11" l="1"/>
  <c r="F71" i="16"/>
  <c r="H31" i="16"/>
  <c r="G30" i="16"/>
  <c r="G31" i="16" s="1"/>
  <c r="G57" i="16" s="1"/>
  <c r="G35" i="12"/>
  <c r="H30" i="12"/>
  <c r="H34" i="12" s="1"/>
  <c r="H35" i="12" s="1"/>
  <c r="G61" i="12"/>
  <c r="H98" i="12"/>
  <c r="G98" i="12"/>
  <c r="G59" i="16" l="1"/>
  <c r="G60" i="16" s="1"/>
  <c r="H57" i="16"/>
  <c r="H59" i="16" s="1"/>
  <c r="G71" i="16" l="1"/>
  <c r="H60" i="16"/>
  <c r="H71" i="16" s="1"/>
  <c r="F50" i="25" l="1"/>
  <c r="F49" i="25"/>
  <c r="F48" i="25" s="1"/>
  <c r="F45" i="25"/>
  <c r="F39" i="25"/>
  <c r="F77" i="25"/>
  <c r="F69" i="25"/>
  <c r="F74" i="25" s="1"/>
  <c r="F51" i="25"/>
  <c r="F40" i="25"/>
  <c r="E40" i="25" s="1"/>
  <c r="E76" i="25"/>
  <c r="F76" i="25" s="1"/>
  <c r="F54" i="25"/>
  <c r="E45" i="25"/>
  <c r="E43" i="25"/>
  <c r="E42" i="25" s="1"/>
  <c r="E39" i="25"/>
  <c r="E41" i="25"/>
  <c r="F41" i="25" s="1"/>
  <c r="F38" i="25" s="1"/>
  <c r="E37" i="25"/>
  <c r="F37" i="25" s="1"/>
  <c r="E36" i="25"/>
  <c r="F36" i="25" s="1"/>
  <c r="F34" i="25" s="1"/>
  <c r="E35" i="25"/>
  <c r="F35" i="25" s="1"/>
  <c r="E33" i="25"/>
  <c r="F33" i="25" s="1"/>
  <c r="E24" i="25"/>
  <c r="F24" i="25" s="1"/>
  <c r="E20" i="25"/>
  <c r="F20" i="25" s="1"/>
  <c r="E18" i="25"/>
  <c r="F18" i="25" s="1"/>
  <c r="E16" i="25"/>
  <c r="E34" i="25"/>
  <c r="E48" i="25"/>
  <c r="E51" i="25"/>
  <c r="E54" i="25"/>
  <c r="E69" i="25"/>
  <c r="E74" i="25"/>
  <c r="E58" i="25" l="1"/>
  <c r="E14" i="25"/>
  <c r="F81" i="25"/>
  <c r="F16" i="25"/>
  <c r="F14" i="25" s="1"/>
  <c r="F43" i="25"/>
  <c r="F42" i="25" s="1"/>
  <c r="F47" i="25"/>
  <c r="F61" i="25" s="1"/>
  <c r="E77" i="25"/>
  <c r="E81" i="25" s="1"/>
  <c r="D77" i="25"/>
  <c r="D69" i="25"/>
  <c r="D74" i="25" s="1"/>
  <c r="D67" i="25"/>
  <c r="D75" i="25" s="1"/>
  <c r="D65" i="25"/>
  <c r="E65" i="25" s="1"/>
  <c r="D64" i="25"/>
  <c r="D54" i="25"/>
  <c r="D51" i="25"/>
  <c r="D48" i="25"/>
  <c r="D42" i="25"/>
  <c r="D34" i="25"/>
  <c r="E21" i="25"/>
  <c r="F21" i="25" s="1"/>
  <c r="D12" i="25"/>
  <c r="D11" i="25"/>
  <c r="E10" i="25" l="1"/>
  <c r="F10" i="25"/>
  <c r="D26" i="25"/>
  <c r="F11" i="25"/>
  <c r="E11" i="25"/>
  <c r="D58" i="25"/>
  <c r="F64" i="25"/>
  <c r="F67" i="25" s="1"/>
  <c r="F75" i="25" s="1"/>
  <c r="F83" i="25" s="1"/>
  <c r="E64" i="25"/>
  <c r="E67" i="25" s="1"/>
  <c r="E75" i="25" s="1"/>
  <c r="N28" i="22"/>
  <c r="N8" i="22"/>
  <c r="N9" i="22"/>
  <c r="N10" i="22"/>
  <c r="N11" i="22"/>
  <c r="N12" i="22"/>
  <c r="N13" i="22"/>
  <c r="N14" i="22"/>
  <c r="N15" i="22"/>
  <c r="N16" i="22"/>
  <c r="N17" i="22"/>
  <c r="N7" i="22"/>
  <c r="D67" i="26"/>
  <c r="B67" i="26"/>
  <c r="B68" i="26" s="1"/>
  <c r="B49" i="26"/>
  <c r="B46" i="26" s="1"/>
  <c r="B41" i="26"/>
  <c r="B39" i="26"/>
  <c r="B36" i="26"/>
  <c r="D35" i="26"/>
  <c r="D34" i="26"/>
  <c r="D36" i="26" s="1"/>
  <c r="C34" i="26"/>
  <c r="C36" i="26" s="1"/>
  <c r="D33" i="26"/>
  <c r="D32" i="26"/>
  <c r="D30" i="26"/>
  <c r="C28" i="26"/>
  <c r="C21" i="26"/>
  <c r="B21" i="26"/>
  <c r="C19" i="26"/>
  <c r="D19" i="26" s="1"/>
  <c r="D18" i="26"/>
  <c r="C18" i="26"/>
  <c r="C17" i="26"/>
  <c r="D17" i="26" s="1"/>
  <c r="B14" i="26"/>
  <c r="D11" i="26"/>
  <c r="D10" i="26"/>
  <c r="C9" i="26"/>
  <c r="C14" i="26" s="1"/>
  <c r="D8" i="26"/>
  <c r="D7" i="26"/>
  <c r="D6" i="26"/>
  <c r="C29" i="27"/>
  <c r="B24" i="27"/>
  <c r="B29" i="27" s="1"/>
  <c r="B18" i="27"/>
  <c r="B16" i="27"/>
  <c r="B21" i="27" s="1"/>
  <c r="B14" i="27"/>
  <c r="B13" i="27"/>
  <c r="B11" i="27"/>
  <c r="AD17" i="24"/>
  <c r="AB17" i="24"/>
  <c r="AA17" i="24"/>
  <c r="Z17" i="24"/>
  <c r="AH16" i="24"/>
  <c r="AH18" i="24" s="1"/>
  <c r="AG16" i="24"/>
  <c r="AG18" i="24" s="1"/>
  <c r="AF16" i="24"/>
  <c r="AF18" i="24" s="1"/>
  <c r="AE16" i="24"/>
  <c r="AE18" i="24" s="1"/>
  <c r="AD16" i="24"/>
  <c r="AD18" i="24" s="1"/>
  <c r="AC16" i="24"/>
  <c r="AC18" i="24" s="1"/>
  <c r="AB16" i="24"/>
  <c r="AA16" i="24"/>
  <c r="Z16" i="24"/>
  <c r="Z18" i="24" s="1"/>
  <c r="AB14" i="24"/>
  <c r="Z14" i="24"/>
  <c r="AH13" i="24"/>
  <c r="AG13" i="24"/>
  <c r="AF13" i="24"/>
  <c r="AE13" i="24"/>
  <c r="Z12" i="24"/>
  <c r="Y12" i="24" s="1"/>
  <c r="AE11" i="24"/>
  <c r="AD11" i="24"/>
  <c r="AC11" i="24"/>
  <c r="AB11" i="24"/>
  <c r="AA11" i="24"/>
  <c r="Z11" i="24"/>
  <c r="AG10" i="24"/>
  <c r="AA10" i="24"/>
  <c r="Z10" i="24"/>
  <c r="AD9" i="24"/>
  <c r="AB9" i="24"/>
  <c r="AA9" i="24"/>
  <c r="Z9" i="24"/>
  <c r="AG8" i="24"/>
  <c r="AD8" i="24"/>
  <c r="AB8" i="24"/>
  <c r="AA8" i="24"/>
  <c r="AH7" i="24"/>
  <c r="AF7" i="24"/>
  <c r="AE7" i="24"/>
  <c r="AD7" i="24"/>
  <c r="AC7" i="24"/>
  <c r="AB7" i="24"/>
  <c r="AA7" i="24"/>
  <c r="Y11" i="24" l="1"/>
  <c r="AA18" i="24"/>
  <c r="Y10" i="24"/>
  <c r="AH15" i="24"/>
  <c r="AH19" i="24" s="1"/>
  <c r="AG15" i="24"/>
  <c r="AG19" i="24" s="1"/>
  <c r="E26" i="25"/>
  <c r="F26" i="25"/>
  <c r="E22" i="25"/>
  <c r="AD15" i="24"/>
  <c r="AD19" i="24" s="1"/>
  <c r="Y9" i="24"/>
  <c r="AA15" i="24"/>
  <c r="AA19" i="24" s="1"/>
  <c r="AE15" i="24"/>
  <c r="Y8" i="24"/>
  <c r="Y14" i="24"/>
  <c r="AB18" i="24"/>
  <c r="Y7" i="24"/>
  <c r="AF15" i="24"/>
  <c r="AF19" i="24" s="1"/>
  <c r="Y18" i="24"/>
  <c r="AC15" i="24"/>
  <c r="AC19" i="24" s="1"/>
  <c r="D21" i="26"/>
  <c r="D9" i="26"/>
  <c r="D14" i="26" s="1"/>
  <c r="B32" i="27"/>
  <c r="AE19" i="24"/>
  <c r="AB15" i="24"/>
  <c r="Y13" i="24"/>
  <c r="Y17" i="24"/>
  <c r="Z15" i="24"/>
  <c r="Y16" i="24"/>
  <c r="O22" i="20"/>
  <c r="M22" i="20"/>
  <c r="L22" i="20"/>
  <c r="K22" i="20"/>
  <c r="J22" i="20"/>
  <c r="I22" i="20"/>
  <c r="H22" i="20"/>
  <c r="G22" i="20"/>
  <c r="F22" i="20"/>
  <c r="E22" i="20"/>
  <c r="D22" i="20"/>
  <c r="C22" i="20"/>
  <c r="B22" i="20"/>
  <c r="N22" i="20" s="1"/>
  <c r="N21" i="20"/>
  <c r="N20" i="20"/>
  <c r="B20" i="20"/>
  <c r="N19" i="20"/>
  <c r="N18" i="20"/>
  <c r="N17" i="20"/>
  <c r="B17" i="20"/>
  <c r="N16" i="20"/>
  <c r="B16" i="20"/>
  <c r="O14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N12" i="20"/>
  <c r="N11" i="20"/>
  <c r="N10" i="20"/>
  <c r="N9" i="20"/>
  <c r="N8" i="20"/>
  <c r="N14" i="20" s="1"/>
  <c r="N7" i="20"/>
  <c r="H47" i="19"/>
  <c r="I47" i="19" s="1"/>
  <c r="G46" i="19"/>
  <c r="G48" i="19" s="1"/>
  <c r="F46" i="19"/>
  <c r="F48" i="19" s="1"/>
  <c r="F44" i="19"/>
  <c r="H43" i="19"/>
  <c r="G41" i="19"/>
  <c r="F41" i="19"/>
  <c r="H40" i="19"/>
  <c r="H41" i="19" s="1"/>
  <c r="G37" i="19"/>
  <c r="H37" i="19" s="1"/>
  <c r="I37" i="19" s="1"/>
  <c r="I38" i="19" s="1"/>
  <c r="I39" i="19" s="1"/>
  <c r="H36" i="19"/>
  <c r="F36" i="19"/>
  <c r="G35" i="19"/>
  <c r="G38" i="19" s="1"/>
  <c r="F35" i="19"/>
  <c r="H35" i="19" s="1"/>
  <c r="H38" i="19" s="1"/>
  <c r="F34" i="19"/>
  <c r="H34" i="19" s="1"/>
  <c r="G33" i="19"/>
  <c r="G32" i="19"/>
  <c r="F32" i="19"/>
  <c r="H31" i="19"/>
  <c r="H32" i="19" s="1"/>
  <c r="F31" i="19"/>
  <c r="F29" i="19"/>
  <c r="F28" i="19"/>
  <c r="F26" i="19"/>
  <c r="G26" i="19" s="1"/>
  <c r="H26" i="19" s="1"/>
  <c r="F25" i="19"/>
  <c r="G25" i="19" s="1"/>
  <c r="H24" i="19"/>
  <c r="I24" i="19" s="1"/>
  <c r="F24" i="19"/>
  <c r="F23" i="19"/>
  <c r="F22" i="19"/>
  <c r="H21" i="19"/>
  <c r="G21" i="19"/>
  <c r="F20" i="19"/>
  <c r="G19" i="19"/>
  <c r="F19" i="19"/>
  <c r="H18" i="19"/>
  <c r="G18" i="19"/>
  <c r="H17" i="19"/>
  <c r="H19" i="19" s="1"/>
  <c r="G16" i="19"/>
  <c r="G20" i="19" s="1"/>
  <c r="F16" i="19"/>
  <c r="G15" i="19"/>
  <c r="H15" i="19" s="1"/>
  <c r="H16" i="19" s="1"/>
  <c r="H20" i="19" s="1"/>
  <c r="G14" i="19"/>
  <c r="F14" i="19"/>
  <c r="G13" i="19"/>
  <c r="H12" i="19"/>
  <c r="F12" i="19"/>
  <c r="F11" i="19"/>
  <c r="H11" i="19" s="1"/>
  <c r="I11" i="19" s="1"/>
  <c r="I13" i="19" s="1"/>
  <c r="F9" i="19"/>
  <c r="H9" i="19" s="1"/>
  <c r="F8" i="19"/>
  <c r="H8" i="19" s="1"/>
  <c r="F7" i="19"/>
  <c r="H7" i="19" s="1"/>
  <c r="F6" i="19"/>
  <c r="H6" i="19" s="1"/>
  <c r="F5" i="19"/>
  <c r="F10" i="19" s="1"/>
  <c r="G81" i="18"/>
  <c r="E80" i="18"/>
  <c r="F79" i="18"/>
  <c r="F78" i="18"/>
  <c r="F77" i="18"/>
  <c r="D76" i="18"/>
  <c r="D80" i="18" s="1"/>
  <c r="F80" i="18" s="1"/>
  <c r="F75" i="18"/>
  <c r="F70" i="18"/>
  <c r="F69" i="18"/>
  <c r="F68" i="18"/>
  <c r="D68" i="18"/>
  <c r="D73" i="18" s="1"/>
  <c r="F73" i="18" s="1"/>
  <c r="F67" i="18"/>
  <c r="F66" i="18"/>
  <c r="F74" i="18" s="1"/>
  <c r="E66" i="18"/>
  <c r="E74" i="18" s="1"/>
  <c r="E63" i="18"/>
  <c r="D63" i="18"/>
  <c r="D66" i="18" s="1"/>
  <c r="D74" i="18" s="1"/>
  <c r="G57" i="18"/>
  <c r="G60" i="18" s="1"/>
  <c r="F56" i="18"/>
  <c r="F53" i="18" s="1"/>
  <c r="F55" i="18"/>
  <c r="E53" i="18"/>
  <c r="D53" i="18"/>
  <c r="D57" i="18" s="1"/>
  <c r="F52" i="18"/>
  <c r="F51" i="18"/>
  <c r="F50" i="18"/>
  <c r="E50" i="18"/>
  <c r="D50" i="18"/>
  <c r="F48" i="18"/>
  <c r="F47" i="18"/>
  <c r="E47" i="18"/>
  <c r="E57" i="18" s="1"/>
  <c r="D47" i="18"/>
  <c r="G46" i="18"/>
  <c r="E46" i="18"/>
  <c r="F45" i="18"/>
  <c r="F44" i="18"/>
  <c r="F43" i="18"/>
  <c r="F41" i="18" s="1"/>
  <c r="E41" i="18"/>
  <c r="D41" i="18"/>
  <c r="F39" i="18"/>
  <c r="F37" i="18" s="1"/>
  <c r="E37" i="18"/>
  <c r="D37" i="18"/>
  <c r="F33" i="18"/>
  <c r="E33" i="18"/>
  <c r="D33" i="18"/>
  <c r="D46" i="18" s="1"/>
  <c r="G29" i="18"/>
  <c r="F28" i="18"/>
  <c r="F27" i="18"/>
  <c r="F29" i="18" s="1"/>
  <c r="E25" i="18"/>
  <c r="D25" i="18"/>
  <c r="E21" i="18"/>
  <c r="E29" i="18" s="1"/>
  <c r="D21" i="18"/>
  <c r="D29" i="18" s="1"/>
  <c r="D14" i="18"/>
  <c r="E30" i="25" l="1"/>
  <c r="E82" i="25" s="1"/>
  <c r="H14" i="19"/>
  <c r="AB19" i="24"/>
  <c r="D22" i="26"/>
  <c r="Z19" i="24"/>
  <c r="Y15" i="24"/>
  <c r="H10" i="19"/>
  <c r="F13" i="19"/>
  <c r="H13" i="19" s="1"/>
  <c r="I14" i="19"/>
  <c r="I42" i="19"/>
  <c r="I44" i="19" s="1"/>
  <c r="H25" i="19"/>
  <c r="I25" i="19" s="1"/>
  <c r="I27" i="19" s="1"/>
  <c r="G39" i="19"/>
  <c r="F38" i="19"/>
  <c r="F39" i="19" s="1"/>
  <c r="H5" i="19"/>
  <c r="G23" i="19"/>
  <c r="H23" i="19" s="1"/>
  <c r="F27" i="19"/>
  <c r="F30" i="19" s="1"/>
  <c r="F45" i="19" s="1"/>
  <c r="F49" i="19" s="1"/>
  <c r="H33" i="19"/>
  <c r="H39" i="19" s="1"/>
  <c r="G22" i="19"/>
  <c r="G27" i="19" s="1"/>
  <c r="G28" i="19"/>
  <c r="G29" i="19" s="1"/>
  <c r="H46" i="19"/>
  <c r="D81" i="18"/>
  <c r="D82" i="18" s="1"/>
  <c r="D84" i="18" s="1"/>
  <c r="D61" i="18"/>
  <c r="F81" i="18"/>
  <c r="E81" i="18"/>
  <c r="E82" i="18" s="1"/>
  <c r="E84" i="18" s="1"/>
  <c r="F46" i="18"/>
  <c r="G82" i="18"/>
  <c r="G84" i="18" s="1"/>
  <c r="G61" i="18"/>
  <c r="E60" i="18"/>
  <c r="E61" i="18" s="1"/>
  <c r="F57" i="18"/>
  <c r="D60" i="18"/>
  <c r="F76" i="18"/>
  <c r="Y19" i="24" l="1"/>
  <c r="I45" i="19"/>
  <c r="I49" i="19" s="1"/>
  <c r="I30" i="19"/>
  <c r="H22" i="19"/>
  <c r="H27" i="19" s="1"/>
  <c r="I46" i="19"/>
  <c r="I48" i="19" s="1"/>
  <c r="H48" i="19"/>
  <c r="G30" i="19"/>
  <c r="G42" i="19" s="1"/>
  <c r="H28" i="19"/>
  <c r="H29" i="19" s="1"/>
  <c r="H30" i="19" s="1"/>
  <c r="F60" i="18"/>
  <c r="G44" i="19" l="1"/>
  <c r="G45" i="19" s="1"/>
  <c r="G49" i="19" s="1"/>
  <c r="H42" i="19"/>
  <c r="H44" i="19" s="1"/>
  <c r="F82" i="18"/>
  <c r="F84" i="18" s="1"/>
  <c r="H84" i="18" s="1"/>
  <c r="F61" i="18"/>
  <c r="H45" i="19" l="1"/>
  <c r="H49" i="19" s="1"/>
  <c r="E9" i="29" l="1"/>
  <c r="E12" i="29" s="1"/>
  <c r="E18" i="29" s="1"/>
  <c r="K8" i="29"/>
  <c r="K11" i="29" s="1"/>
  <c r="K18" i="29" s="1"/>
  <c r="H69" i="15" l="1"/>
  <c r="G69" i="15"/>
  <c r="F69" i="15"/>
  <c r="F66" i="15"/>
  <c r="H65" i="15"/>
  <c r="G65" i="15"/>
  <c r="G64" i="15"/>
  <c r="H64" i="15" s="1"/>
  <c r="H63" i="15"/>
  <c r="G63" i="15"/>
  <c r="G62" i="15"/>
  <c r="H62" i="15" s="1"/>
  <c r="H61" i="15"/>
  <c r="G61" i="15"/>
  <c r="G60" i="15"/>
  <c r="H60" i="15" s="1"/>
  <c r="H59" i="15"/>
  <c r="G59" i="15"/>
  <c r="G58" i="15"/>
  <c r="H58" i="15" s="1"/>
  <c r="H57" i="15"/>
  <c r="G57" i="15"/>
  <c r="G56" i="15"/>
  <c r="G66" i="15" s="1"/>
  <c r="G67" i="15" s="1"/>
  <c r="G68" i="15" s="1"/>
  <c r="H68" i="15" s="1"/>
  <c r="H55" i="15"/>
  <c r="G55" i="15"/>
  <c r="F53" i="15"/>
  <c r="F67" i="15" s="1"/>
  <c r="G52" i="15"/>
  <c r="H52" i="15" s="1"/>
  <c r="G51" i="15"/>
  <c r="H51" i="15" s="1"/>
  <c r="G50" i="15"/>
  <c r="H50" i="15" s="1"/>
  <c r="G49" i="15"/>
  <c r="G53" i="15" s="1"/>
  <c r="H47" i="15"/>
  <c r="G47" i="15"/>
  <c r="F47" i="15"/>
  <c r="H46" i="15"/>
  <c r="G46" i="15"/>
  <c r="F46" i="15"/>
  <c r="H45" i="15"/>
  <c r="G45" i="15"/>
  <c r="F45" i="15"/>
  <c r="G44" i="15"/>
  <c r="H44" i="15" s="1"/>
  <c r="G43" i="15"/>
  <c r="F42" i="15"/>
  <c r="F43" i="15" s="1"/>
  <c r="H38" i="15"/>
  <c r="G38" i="15"/>
  <c r="F38" i="15"/>
  <c r="G37" i="15"/>
  <c r="H37" i="15" s="1"/>
  <c r="H36" i="15"/>
  <c r="H40" i="15" s="1"/>
  <c r="G36" i="15"/>
  <c r="G40" i="15" s="1"/>
  <c r="F36" i="15"/>
  <c r="F40" i="15" s="1"/>
  <c r="H35" i="15"/>
  <c r="G35" i="15"/>
  <c r="H34" i="15"/>
  <c r="G34" i="15"/>
  <c r="F34" i="15"/>
  <c r="H33" i="15"/>
  <c r="G33" i="15"/>
  <c r="F33" i="15"/>
  <c r="F35" i="15" s="1"/>
  <c r="F41" i="15" s="1"/>
  <c r="H32" i="15"/>
  <c r="G32" i="15"/>
  <c r="F32" i="15"/>
  <c r="H31" i="15"/>
  <c r="G31" i="15"/>
  <c r="F31" i="15"/>
  <c r="F30" i="15"/>
  <c r="G29" i="15"/>
  <c r="F29" i="15"/>
  <c r="H28" i="15"/>
  <c r="H29" i="15" s="1"/>
  <c r="G28" i="15"/>
  <c r="F28" i="15"/>
  <c r="G27" i="15"/>
  <c r="G30" i="15" s="1"/>
  <c r="F27" i="15"/>
  <c r="G26" i="15"/>
  <c r="H26" i="15" s="1"/>
  <c r="H27" i="15" s="1"/>
  <c r="G23" i="15"/>
  <c r="H23" i="15" s="1"/>
  <c r="H22" i="15"/>
  <c r="G22" i="15"/>
  <c r="G21" i="15"/>
  <c r="H21" i="15" s="1"/>
  <c r="H20" i="15"/>
  <c r="G20" i="15"/>
  <c r="F20" i="15"/>
  <c r="H19" i="15"/>
  <c r="G19" i="15"/>
  <c r="F19" i="15"/>
  <c r="F18" i="15"/>
  <c r="F17" i="15"/>
  <c r="F16" i="15"/>
  <c r="F24" i="15" s="1"/>
  <c r="H15" i="15"/>
  <c r="G15" i="15"/>
  <c r="H14" i="15"/>
  <c r="G14" i="15"/>
  <c r="F14" i="15"/>
  <c r="F15" i="15" s="1"/>
  <c r="H13" i="15"/>
  <c r="G13" i="15"/>
  <c r="F13" i="15"/>
  <c r="G12" i="15"/>
  <c r="F12" i="15"/>
  <c r="F11" i="15"/>
  <c r="H11" i="15" s="1"/>
  <c r="F10" i="15"/>
  <c r="H10" i="15" s="1"/>
  <c r="F9" i="15"/>
  <c r="H9" i="15" s="1"/>
  <c r="F8" i="15"/>
  <c r="H8" i="15" s="1"/>
  <c r="F7" i="15"/>
  <c r="H7" i="15" s="1"/>
  <c r="F6" i="15"/>
  <c r="H6" i="15" s="1"/>
  <c r="F5" i="15"/>
  <c r="H5" i="15" s="1"/>
  <c r="F58" i="14"/>
  <c r="G57" i="14"/>
  <c r="H57" i="14" s="1"/>
  <c r="G56" i="14"/>
  <c r="H56" i="14" s="1"/>
  <c r="G55" i="14"/>
  <c r="H55" i="14" s="1"/>
  <c r="G54" i="14"/>
  <c r="H54" i="14" s="1"/>
  <c r="G53" i="14"/>
  <c r="H53" i="14" s="1"/>
  <c r="G52" i="14"/>
  <c r="H52" i="14" s="1"/>
  <c r="G51" i="14"/>
  <c r="H51" i="14" s="1"/>
  <c r="G50" i="14"/>
  <c r="H50" i="14" s="1"/>
  <c r="G49" i="14"/>
  <c r="H49" i="14" s="1"/>
  <c r="G48" i="14"/>
  <c r="G58" i="14" s="1"/>
  <c r="G47" i="14"/>
  <c r="H47" i="14" s="1"/>
  <c r="F45" i="14"/>
  <c r="H44" i="14"/>
  <c r="H42" i="14"/>
  <c r="G42" i="14"/>
  <c r="F42" i="14"/>
  <c r="H41" i="14"/>
  <c r="G39" i="14"/>
  <c r="F39" i="14"/>
  <c r="G37" i="14"/>
  <c r="H37" i="14" s="1"/>
  <c r="H36" i="14"/>
  <c r="G36" i="14"/>
  <c r="G35" i="14"/>
  <c r="H35" i="14" s="1"/>
  <c r="H39" i="14" s="1"/>
  <c r="H40" i="14" s="1"/>
  <c r="F34" i="14"/>
  <c r="F40" i="14" s="1"/>
  <c r="H33" i="14"/>
  <c r="H32" i="14"/>
  <c r="H34" i="14" s="1"/>
  <c r="G32" i="14"/>
  <c r="G34" i="14" s="1"/>
  <c r="G31" i="14"/>
  <c r="H31" i="14" s="1"/>
  <c r="H30" i="14"/>
  <c r="G30" i="14"/>
  <c r="G28" i="14"/>
  <c r="F28" i="14"/>
  <c r="H27" i="14"/>
  <c r="H28" i="14" s="1"/>
  <c r="G27" i="14"/>
  <c r="G26" i="14"/>
  <c r="G29" i="14" s="1"/>
  <c r="F26" i="14"/>
  <c r="F29" i="14" s="1"/>
  <c r="G25" i="14"/>
  <c r="H25" i="14" s="1"/>
  <c r="H26" i="14" s="1"/>
  <c r="F23" i="14"/>
  <c r="G22" i="14"/>
  <c r="H22" i="14" s="1"/>
  <c r="G21" i="14"/>
  <c r="H21" i="14" s="1"/>
  <c r="G20" i="14"/>
  <c r="H20" i="14" s="1"/>
  <c r="G19" i="14"/>
  <c r="H19" i="14" s="1"/>
  <c r="H18" i="14"/>
  <c r="G17" i="14"/>
  <c r="H17" i="14" s="1"/>
  <c r="H16" i="14"/>
  <c r="G16" i="14"/>
  <c r="F15" i="14"/>
  <c r="F24" i="14" s="1"/>
  <c r="G14" i="14"/>
  <c r="H14" i="14" s="1"/>
  <c r="G13" i="14"/>
  <c r="G15" i="14" s="1"/>
  <c r="F11" i="14"/>
  <c r="H11" i="14" s="1"/>
  <c r="G10" i="14"/>
  <c r="H9" i="14"/>
  <c r="F9" i="14"/>
  <c r="H8" i="14"/>
  <c r="F7" i="14"/>
  <c r="H7" i="14" s="1"/>
  <c r="F6" i="14"/>
  <c r="H6" i="14" s="1"/>
  <c r="F5" i="14"/>
  <c r="F10" i="14" s="1"/>
  <c r="F12" i="14" s="1"/>
  <c r="H12" i="14" s="1"/>
  <c r="F46" i="13"/>
  <c r="H45" i="13"/>
  <c r="G45" i="13"/>
  <c r="G44" i="13"/>
  <c r="H44" i="13" s="1"/>
  <c r="H43" i="13"/>
  <c r="G43" i="13"/>
  <c r="G42" i="13"/>
  <c r="H42" i="13" s="1"/>
  <c r="F40" i="13"/>
  <c r="H39" i="13"/>
  <c r="G37" i="13"/>
  <c r="F37" i="13"/>
  <c r="H36" i="13"/>
  <c r="H37" i="13" s="1"/>
  <c r="G33" i="13"/>
  <c r="H33" i="13" s="1"/>
  <c r="F32" i="13"/>
  <c r="F31" i="13"/>
  <c r="H30" i="13"/>
  <c r="H29" i="13"/>
  <c r="H31" i="13" s="1"/>
  <c r="G29" i="13"/>
  <c r="G31" i="13" s="1"/>
  <c r="G28" i="13"/>
  <c r="H27" i="13"/>
  <c r="G27" i="13"/>
  <c r="F26" i="13"/>
  <c r="F25" i="13"/>
  <c r="F24" i="13"/>
  <c r="G24" i="13" s="1"/>
  <c r="F22" i="13"/>
  <c r="F23" i="13" s="1"/>
  <c r="G21" i="13"/>
  <c r="H21" i="13" s="1"/>
  <c r="G20" i="13"/>
  <c r="H20" i="13" s="1"/>
  <c r="H19" i="13"/>
  <c r="G18" i="13"/>
  <c r="H18" i="13" s="1"/>
  <c r="H17" i="13"/>
  <c r="G17" i="13"/>
  <c r="G16" i="13"/>
  <c r="H16" i="13" s="1"/>
  <c r="F15" i="13"/>
  <c r="G14" i="13"/>
  <c r="G15" i="13" s="1"/>
  <c r="F14" i="13"/>
  <c r="G13" i="13"/>
  <c r="H13" i="13" s="1"/>
  <c r="G11" i="13"/>
  <c r="H9" i="13"/>
  <c r="H8" i="13"/>
  <c r="H7" i="13"/>
  <c r="H6" i="13"/>
  <c r="F5" i="13"/>
  <c r="F10" i="13" s="1"/>
  <c r="H66" i="15" l="1"/>
  <c r="H18" i="15"/>
  <c r="H30" i="15"/>
  <c r="G41" i="15"/>
  <c r="H12" i="15"/>
  <c r="F25" i="15"/>
  <c r="H41" i="15"/>
  <c r="G18" i="15"/>
  <c r="H42" i="15"/>
  <c r="H43" i="15" s="1"/>
  <c r="H49" i="15"/>
  <c r="H53" i="15" s="1"/>
  <c r="G17" i="15"/>
  <c r="H17" i="15" s="1"/>
  <c r="H56" i="15"/>
  <c r="G16" i="15"/>
  <c r="G40" i="14"/>
  <c r="G59" i="14"/>
  <c r="H59" i="14" s="1"/>
  <c r="H23" i="14"/>
  <c r="H29" i="14"/>
  <c r="F46" i="14"/>
  <c r="F60" i="14"/>
  <c r="H5" i="14"/>
  <c r="H10" i="14" s="1"/>
  <c r="H13" i="14"/>
  <c r="H15" i="14" s="1"/>
  <c r="H24" i="14" s="1"/>
  <c r="G23" i="14"/>
  <c r="G24" i="14" s="1"/>
  <c r="H48" i="14"/>
  <c r="H58" i="14" s="1"/>
  <c r="H46" i="13"/>
  <c r="H22" i="13"/>
  <c r="G25" i="13"/>
  <c r="G26" i="13"/>
  <c r="H24" i="13"/>
  <c r="G35" i="13"/>
  <c r="H10" i="13"/>
  <c r="F12" i="13"/>
  <c r="G41" i="13"/>
  <c r="G48" i="13" s="1"/>
  <c r="H5" i="13"/>
  <c r="H11" i="13"/>
  <c r="H14" i="13"/>
  <c r="H15" i="13" s="1"/>
  <c r="G22" i="13"/>
  <c r="G23" i="13" s="1"/>
  <c r="H28" i="13"/>
  <c r="G32" i="13"/>
  <c r="G34" i="13" s="1"/>
  <c r="F34" i="13"/>
  <c r="F35" i="13" s="1"/>
  <c r="G46" i="13"/>
  <c r="G47" i="13" s="1"/>
  <c r="H47" i="13" s="1"/>
  <c r="G12" i="13"/>
  <c r="G24" i="15" l="1"/>
  <c r="G25" i="15" s="1"/>
  <c r="H16" i="15"/>
  <c r="H24" i="15" s="1"/>
  <c r="H25" i="15" s="1"/>
  <c r="H67" i="15"/>
  <c r="G43" i="14"/>
  <c r="H23" i="13"/>
  <c r="H25" i="13"/>
  <c r="H26" i="13"/>
  <c r="G38" i="13"/>
  <c r="H32" i="13"/>
  <c r="H34" i="13" s="1"/>
  <c r="H35" i="13" s="1"/>
  <c r="H12" i="13"/>
  <c r="F41" i="13"/>
  <c r="H43" i="14" l="1"/>
  <c r="H45" i="14" s="1"/>
  <c r="G45" i="14"/>
  <c r="G46" i="14" s="1"/>
  <c r="H41" i="13"/>
  <c r="H48" i="13" s="1"/>
  <c r="F48" i="13"/>
  <c r="H38" i="13"/>
  <c r="H40" i="13" s="1"/>
  <c r="G40" i="13"/>
  <c r="G60" i="14" l="1"/>
  <c r="H46" i="14"/>
  <c r="H60" i="14" s="1"/>
  <c r="Q49" i="17" l="1"/>
  <c r="M22" i="17"/>
  <c r="L22" i="17"/>
  <c r="K22" i="17"/>
  <c r="J22" i="17"/>
  <c r="I22" i="17"/>
  <c r="H22" i="17"/>
  <c r="G22" i="17"/>
  <c r="F22" i="17"/>
  <c r="E22" i="17"/>
  <c r="D22" i="17"/>
  <c r="D23" i="17" s="1"/>
  <c r="C22" i="17"/>
  <c r="B22" i="17"/>
  <c r="B23" i="17" s="1"/>
  <c r="N21" i="17"/>
  <c r="N20" i="17"/>
  <c r="O22" i="17"/>
  <c r="N19" i="17"/>
  <c r="N18" i="17"/>
  <c r="N17" i="17"/>
  <c r="N16" i="17"/>
  <c r="M14" i="17"/>
  <c r="M23" i="17" s="1"/>
  <c r="L14" i="17"/>
  <c r="K14" i="17"/>
  <c r="J14" i="17"/>
  <c r="I14" i="17"/>
  <c r="H14" i="17"/>
  <c r="G14" i="17"/>
  <c r="F14" i="17"/>
  <c r="E14" i="17"/>
  <c r="E23" i="17" s="1"/>
  <c r="D14" i="17"/>
  <c r="C14" i="17"/>
  <c r="B14" i="17"/>
  <c r="N11" i="17"/>
  <c r="N10" i="17"/>
  <c r="O9" i="17"/>
  <c r="N9" i="17"/>
  <c r="O8" i="17"/>
  <c r="O14" i="17" s="1"/>
  <c r="N8" i="17"/>
  <c r="O7" i="17"/>
  <c r="N7" i="17"/>
  <c r="N14" i="17" s="1"/>
  <c r="G81" i="11"/>
  <c r="F80" i="11"/>
  <c r="D80" i="11"/>
  <c r="F79" i="11"/>
  <c r="F78" i="11"/>
  <c r="F77" i="11"/>
  <c r="F76" i="11"/>
  <c r="D76" i="11"/>
  <c r="F75" i="11"/>
  <c r="F70" i="11"/>
  <c r="F69" i="11"/>
  <c r="F68" i="11"/>
  <c r="D68" i="11"/>
  <c r="D73" i="11" s="1"/>
  <c r="F73" i="11" s="1"/>
  <c r="F67" i="11"/>
  <c r="F66" i="11"/>
  <c r="D63" i="11"/>
  <c r="D66" i="11" s="1"/>
  <c r="D74" i="11" s="1"/>
  <c r="G57" i="11"/>
  <c r="F56" i="11"/>
  <c r="F53" i="11" s="1"/>
  <c r="F55" i="11"/>
  <c r="D53" i="11"/>
  <c r="F52" i="11"/>
  <c r="F51" i="11"/>
  <c r="D50" i="11"/>
  <c r="F50" i="11" s="1"/>
  <c r="F48" i="11"/>
  <c r="F47" i="11" s="1"/>
  <c r="F57" i="11" s="1"/>
  <c r="D47" i="11"/>
  <c r="D57" i="11" s="1"/>
  <c r="G46" i="11"/>
  <c r="G60" i="11" s="1"/>
  <c r="F45" i="11"/>
  <c r="F44" i="11"/>
  <c r="F43" i="11"/>
  <c r="F41" i="11" s="1"/>
  <c r="D41" i="11" s="1"/>
  <c r="D42" i="11"/>
  <c r="F39" i="11"/>
  <c r="F37" i="11"/>
  <c r="D37" i="11"/>
  <c r="F33" i="11"/>
  <c r="D33" i="11"/>
  <c r="D46" i="11" s="1"/>
  <c r="D60" i="11" s="1"/>
  <c r="D82" i="11" s="1"/>
  <c r="G29" i="11"/>
  <c r="F28" i="11"/>
  <c r="F27" i="11"/>
  <c r="F25" i="11"/>
  <c r="D25" i="11"/>
  <c r="F21" i="11"/>
  <c r="F29" i="11" s="1"/>
  <c r="D21" i="11"/>
  <c r="D14" i="11"/>
  <c r="H23" i="17" l="1"/>
  <c r="L23" i="17"/>
  <c r="F23" i="17"/>
  <c r="J23" i="17"/>
  <c r="I23" i="17"/>
  <c r="C23" i="17"/>
  <c r="G23" i="17"/>
  <c r="K23" i="17"/>
  <c r="N23" i="17"/>
  <c r="F74" i="11"/>
  <c r="D29" i="11"/>
  <c r="N22" i="17"/>
  <c r="D81" i="11"/>
  <c r="D84" i="11" s="1"/>
  <c r="D61" i="11"/>
  <c r="E84" i="11"/>
  <c r="G82" i="11"/>
  <c r="G84" i="11" s="1"/>
  <c r="G61" i="11"/>
  <c r="F81" i="11"/>
  <c r="F46" i="11"/>
  <c r="F60" i="11" s="1"/>
  <c r="E21" i="7"/>
  <c r="E22" i="7"/>
  <c r="F82" i="11" l="1"/>
  <c r="F84" i="11" s="1"/>
  <c r="H84" i="11" s="1"/>
  <c r="F61" i="11"/>
  <c r="C66" i="4"/>
  <c r="C10" i="4"/>
  <c r="E53" i="4"/>
  <c r="B53" i="4"/>
  <c r="D47" i="4"/>
  <c r="E47" i="4"/>
  <c r="B47" i="4"/>
  <c r="D65" i="4"/>
  <c r="E65" i="4"/>
  <c r="B65" i="4"/>
  <c r="D41" i="4"/>
  <c r="E41" i="4"/>
  <c r="B41" i="4"/>
  <c r="D27" i="4"/>
  <c r="E27" i="4"/>
  <c r="D22" i="4"/>
  <c r="E22" i="4"/>
  <c r="B27" i="4"/>
  <c r="B22" i="4"/>
  <c r="H13" i="3"/>
  <c r="E12" i="2"/>
  <c r="E77" i="2"/>
  <c r="E82" i="2" s="1"/>
  <c r="E74" i="2"/>
  <c r="E69" i="2"/>
  <c r="E65" i="2"/>
  <c r="E64" i="2"/>
  <c r="E67" i="2" s="1"/>
  <c r="E75" i="2" s="1"/>
  <c r="E54" i="2"/>
  <c r="E51" i="2"/>
  <c r="E48" i="2"/>
  <c r="E58" i="2" s="1"/>
  <c r="E42" i="2"/>
  <c r="E34" i="2"/>
  <c r="D12" i="2"/>
  <c r="E11" i="2"/>
  <c r="E10" i="2"/>
  <c r="D65" i="2"/>
  <c r="D21" i="2"/>
  <c r="D11" i="2"/>
  <c r="D10" i="2"/>
  <c r="B10" i="4" l="1"/>
  <c r="B66" i="4"/>
  <c r="D66" i="4"/>
  <c r="E10" i="4"/>
  <c r="E66" i="4"/>
  <c r="D10" i="4"/>
  <c r="O28" i="22" l="1"/>
  <c r="B18" i="22" l="1"/>
  <c r="F15" i="9" l="1"/>
  <c r="G15" i="9"/>
  <c r="H15" i="9"/>
  <c r="I17" i="9"/>
  <c r="I18" i="9"/>
  <c r="I19" i="9"/>
  <c r="I20" i="9"/>
  <c r="D79" i="7"/>
  <c r="C79" i="7"/>
  <c r="B79" i="7"/>
  <c r="E79" i="7" s="1"/>
  <c r="E78" i="7"/>
  <c r="E77" i="7"/>
  <c r="D72" i="7"/>
  <c r="C72" i="7"/>
  <c r="B72" i="7"/>
  <c r="E71" i="7"/>
  <c r="E70" i="7"/>
  <c r="E69" i="7"/>
  <c r="E68" i="7"/>
  <c r="E67" i="7"/>
  <c r="E66" i="7"/>
  <c r="D51" i="7"/>
  <c r="C51" i="7"/>
  <c r="B51" i="7"/>
  <c r="E50" i="7"/>
  <c r="E48" i="7"/>
  <c r="D44" i="7"/>
  <c r="C44" i="7"/>
  <c r="B44" i="7"/>
  <c r="E43" i="7"/>
  <c r="E42" i="7"/>
  <c r="E41" i="7"/>
  <c r="E40" i="7"/>
  <c r="E39" i="7"/>
  <c r="E38" i="7"/>
  <c r="D24" i="7"/>
  <c r="C24" i="7"/>
  <c r="B24" i="7"/>
  <c r="E23" i="7"/>
  <c r="E20" i="7"/>
  <c r="D17" i="7"/>
  <c r="C17" i="7"/>
  <c r="B17" i="7"/>
  <c r="E16" i="7"/>
  <c r="E15" i="7"/>
  <c r="E14" i="7"/>
  <c r="E13" i="7"/>
  <c r="E12" i="7"/>
  <c r="E11" i="7"/>
  <c r="E51" i="7" l="1"/>
  <c r="E44" i="7"/>
  <c r="E24" i="7"/>
  <c r="E72" i="7"/>
  <c r="E17" i="7"/>
  <c r="C67" i="4" l="1"/>
  <c r="D7" i="4"/>
  <c r="E7" i="4"/>
  <c r="B7" i="4"/>
  <c r="F66" i="4"/>
  <c r="D67" i="4" l="1"/>
  <c r="Q55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B29" i="22" s="1"/>
  <c r="N26" i="22"/>
  <c r="N25" i="22"/>
  <c r="N24" i="22"/>
  <c r="N23" i="22"/>
  <c r="N22" i="22"/>
  <c r="N21" i="22"/>
  <c r="N20" i="22"/>
  <c r="O18" i="22"/>
  <c r="M18" i="22"/>
  <c r="L18" i="22"/>
  <c r="L29" i="22" s="1"/>
  <c r="K18" i="22"/>
  <c r="K29" i="22" s="1"/>
  <c r="J18" i="22"/>
  <c r="I18" i="22"/>
  <c r="I29" i="22" s="1"/>
  <c r="H18" i="22"/>
  <c r="H29" i="22" s="1"/>
  <c r="G18" i="22"/>
  <c r="G29" i="22" s="1"/>
  <c r="F18" i="22"/>
  <c r="E18" i="22"/>
  <c r="E29" i="22" s="1"/>
  <c r="D18" i="22"/>
  <c r="D29" i="22" s="1"/>
  <c r="C18" i="22"/>
  <c r="C29" i="22" s="1"/>
  <c r="Q14" i="10"/>
  <c r="J14" i="10"/>
  <c r="C14" i="10"/>
  <c r="C20" i="10" s="1"/>
  <c r="G26" i="9"/>
  <c r="I25" i="9"/>
  <c r="E24" i="9"/>
  <c r="D24" i="9"/>
  <c r="I23" i="9"/>
  <c r="H22" i="9"/>
  <c r="G22" i="9"/>
  <c r="I22" i="9" s="1"/>
  <c r="I16" i="9"/>
  <c r="I15" i="9" s="1"/>
  <c r="D15" i="9"/>
  <c r="I14" i="9"/>
  <c r="I13" i="9"/>
  <c r="H12" i="9"/>
  <c r="H26" i="9" s="1"/>
  <c r="G12" i="9"/>
  <c r="F12" i="9"/>
  <c r="E12" i="9"/>
  <c r="D12" i="9"/>
  <c r="I11" i="9"/>
  <c r="I10" i="9"/>
  <c r="D9" i="9"/>
  <c r="C26" i="8"/>
  <c r="D26" i="8"/>
  <c r="F67" i="4"/>
  <c r="B67" i="4"/>
  <c r="D31" i="3"/>
  <c r="H25" i="3"/>
  <c r="D25" i="3"/>
  <c r="D20" i="3"/>
  <c r="D82" i="2"/>
  <c r="F80" i="2"/>
  <c r="F79" i="2"/>
  <c r="F78" i="2"/>
  <c r="F77" i="2"/>
  <c r="F82" i="2" s="1"/>
  <c r="D77" i="2"/>
  <c r="F71" i="2"/>
  <c r="F70" i="2"/>
  <c r="D69" i="2"/>
  <c r="F69" i="2" s="1"/>
  <c r="F68" i="2"/>
  <c r="F65" i="2"/>
  <c r="F64" i="2" s="1"/>
  <c r="F67" i="2" s="1"/>
  <c r="D64" i="2"/>
  <c r="D67" i="2" s="1"/>
  <c r="F63" i="2"/>
  <c r="G58" i="2"/>
  <c r="G61" i="2" s="1"/>
  <c r="G84" i="2" s="1"/>
  <c r="F57" i="2"/>
  <c r="F56" i="2"/>
  <c r="F55" i="2"/>
  <c r="D54" i="2"/>
  <c r="F53" i="2"/>
  <c r="F52" i="2"/>
  <c r="D51" i="2"/>
  <c r="F51" i="2" s="1"/>
  <c r="F50" i="2"/>
  <c r="F49" i="2"/>
  <c r="G47" i="2"/>
  <c r="F46" i="2"/>
  <c r="F45" i="2"/>
  <c r="F44" i="2"/>
  <c r="F43" i="2"/>
  <c r="F41" i="2"/>
  <c r="F40" i="2"/>
  <c r="E40" i="2" s="1"/>
  <c r="E38" i="2" s="1"/>
  <c r="E47" i="2" s="1"/>
  <c r="E61" i="2" s="1"/>
  <c r="F39" i="2"/>
  <c r="F37" i="2"/>
  <c r="F36" i="2"/>
  <c r="D34" i="2" s="1"/>
  <c r="F35" i="2"/>
  <c r="F33" i="2"/>
  <c r="G30" i="2"/>
  <c r="G83" i="2" s="1"/>
  <c r="F29" i="2"/>
  <c r="F28" i="2"/>
  <c r="E26" i="2"/>
  <c r="D26" i="2"/>
  <c r="F24" i="2"/>
  <c r="F23" i="2"/>
  <c r="F21" i="2"/>
  <c r="F19" i="2"/>
  <c r="F17" i="2"/>
  <c r="E17" i="2"/>
  <c r="F15" i="2"/>
  <c r="E15" i="2"/>
  <c r="F13" i="2"/>
  <c r="E13" i="2"/>
  <c r="F12" i="2"/>
  <c r="F11" i="2"/>
  <c r="F10" i="2"/>
  <c r="D40" i="2" l="1"/>
  <c r="D38" i="2" s="1"/>
  <c r="E67" i="4"/>
  <c r="F26" i="2"/>
  <c r="J29" i="22"/>
  <c r="M29" i="22"/>
  <c r="D15" i="2"/>
  <c r="D13" i="2"/>
  <c r="D17" i="2"/>
  <c r="D48" i="2"/>
  <c r="D58" i="2" s="1"/>
  <c r="F29" i="22"/>
  <c r="N29" i="22"/>
  <c r="N18" i="22"/>
  <c r="I12" i="9"/>
  <c r="D26" i="9"/>
  <c r="E26" i="9"/>
  <c r="F26" i="9"/>
  <c r="D26" i="3"/>
  <c r="F34" i="2"/>
  <c r="F42" i="2"/>
  <c r="H20" i="3"/>
  <c r="H33" i="3" s="1"/>
  <c r="F54" i="2"/>
  <c r="F14" i="2"/>
  <c r="F22" i="2" s="1"/>
  <c r="D42" i="2"/>
  <c r="I24" i="9"/>
  <c r="D33" i="3"/>
  <c r="G86" i="2"/>
  <c r="E14" i="2"/>
  <c r="E22" i="2" s="1"/>
  <c r="F38" i="2"/>
  <c r="F48" i="2"/>
  <c r="G62" i="2"/>
  <c r="D74" i="2"/>
  <c r="F74" i="2" s="1"/>
  <c r="F75" i="2" s="1"/>
  <c r="D14" i="2" l="1"/>
  <c r="D22" i="2" s="1"/>
  <c r="D47" i="2"/>
  <c r="D61" i="2" s="1"/>
  <c r="E84" i="2"/>
  <c r="F58" i="2"/>
  <c r="F30" i="2"/>
  <c r="F83" i="2" s="1"/>
  <c r="D21" i="3"/>
  <c r="I26" i="9"/>
  <c r="E30" i="2"/>
  <c r="E62" i="2" s="1"/>
  <c r="D75" i="2"/>
  <c r="F47" i="2"/>
  <c r="F61" i="2" l="1"/>
  <c r="F84" i="2" s="1"/>
  <c r="F86" i="2" s="1"/>
  <c r="D84" i="2"/>
  <c r="E83" i="2"/>
  <c r="E86" i="2" s="1"/>
  <c r="D30" i="2"/>
  <c r="F62" i="2"/>
  <c r="D83" i="2" l="1"/>
  <c r="D85" i="2" s="1"/>
  <c r="D62" i="2"/>
  <c r="D86" i="2" l="1"/>
  <c r="D17" i="25" l="1"/>
  <c r="D15" i="25"/>
  <c r="D14" i="25" s="1"/>
  <c r="D22" i="25" s="1"/>
  <c r="D30" i="25" s="1"/>
  <c r="E38" i="25" l="1"/>
  <c r="E47" i="25" s="1"/>
  <c r="E61" i="25" s="1"/>
  <c r="D40" i="25"/>
  <c r="D38" i="25"/>
  <c r="D47" i="25"/>
  <c r="D61" i="25" s="1"/>
  <c r="D62" i="25" s="1"/>
  <c r="E62" i="25" l="1"/>
  <c r="E83" i="25"/>
  <c r="D83" i="25"/>
  <c r="D13" i="25"/>
  <c r="F22" i="25"/>
  <c r="F30" i="25" s="1"/>
  <c r="F62" i="25" l="1"/>
  <c r="F82" i="25"/>
  <c r="D10" i="21"/>
  <c r="D22" i="21" s="1"/>
  <c r="D30" i="21" s="1"/>
  <c r="D82" i="21" l="1"/>
  <c r="D85" i="21" s="1"/>
  <c r="D62" i="21"/>
</calcChain>
</file>

<file path=xl/sharedStrings.xml><?xml version="1.0" encoding="utf-8"?>
<sst xmlns="http://schemas.openxmlformats.org/spreadsheetml/2006/main" count="2042" uniqueCount="868">
  <si>
    <t>CÍMREND</t>
  </si>
  <si>
    <t>I.</t>
  </si>
  <si>
    <t>Sármelléki Önkormányzat</t>
  </si>
  <si>
    <t>Sármellék Község Önkormányzata</t>
  </si>
  <si>
    <t>Kiadásainak és bevételeinek fő összesítője</t>
  </si>
  <si>
    <t>2.melléklet</t>
  </si>
  <si>
    <t>Sor-szám</t>
  </si>
  <si>
    <t>Megnevezés</t>
  </si>
  <si>
    <t>Sármellék összesen</t>
  </si>
  <si>
    <t>Kötelező feladat</t>
  </si>
  <si>
    <t>Önként vállalt feladat</t>
  </si>
  <si>
    <t>Állami feladat</t>
  </si>
  <si>
    <t>KIADÁSOK</t>
  </si>
  <si>
    <t>Személyi juttatások</t>
  </si>
  <si>
    <t xml:space="preserve">Munkaadókat terhelő járulékok </t>
  </si>
  <si>
    <t>Dologi és egyéb folyó kiadások</t>
  </si>
  <si>
    <t>4.</t>
  </si>
  <si>
    <t>Ellátottak pénzbeli juttatásai</t>
  </si>
  <si>
    <t>5.</t>
  </si>
  <si>
    <t>Egyéb működési kiadások (a+b+c+d)</t>
  </si>
  <si>
    <t>a.</t>
  </si>
  <si>
    <t>b.</t>
  </si>
  <si>
    <t>Működési célú pénzeszközátadás AHT-n kívülre és belül</t>
  </si>
  <si>
    <t>c.</t>
  </si>
  <si>
    <t>Társadalom-, szociálpolitikai és egyéb juttatás, Önormányzat által folyósított ellátások</t>
  </si>
  <si>
    <t>d.</t>
  </si>
  <si>
    <t>Általános és céltartalék</t>
  </si>
  <si>
    <t>Kötött, - céltartalék</t>
  </si>
  <si>
    <t>Működési kiadások (1+….+5)</t>
  </si>
  <si>
    <t>6.</t>
  </si>
  <si>
    <t>Beruházás</t>
  </si>
  <si>
    <t>7.</t>
  </si>
  <si>
    <t>Felújítás</t>
  </si>
  <si>
    <t>8.</t>
  </si>
  <si>
    <t>Felhalmozási célú támogatásérétkű kiadás</t>
  </si>
  <si>
    <t>II.</t>
  </si>
  <si>
    <t>Felhalmozási kiadások (6+7+8)</t>
  </si>
  <si>
    <t>III.</t>
  </si>
  <si>
    <t>IV.</t>
  </si>
  <si>
    <t>V.</t>
  </si>
  <si>
    <t>A.</t>
  </si>
  <si>
    <r>
      <t xml:space="preserve">Költségvetési kiadások összesen </t>
    </r>
    <r>
      <rPr>
        <i/>
        <sz val="16"/>
        <rFont val="Times New Roman"/>
        <family val="1"/>
        <charset val="238"/>
      </rPr>
      <t>(I+II+III+IV+V)</t>
    </r>
  </si>
  <si>
    <t>BEVÉTELEK</t>
  </si>
  <si>
    <t>1.</t>
  </si>
  <si>
    <t>Intézményi Működési bevételek</t>
  </si>
  <si>
    <t>2.</t>
  </si>
  <si>
    <t>Önkormányzatok sajátos működési bevételei</t>
  </si>
  <si>
    <t>2.1.</t>
  </si>
  <si>
    <t>Helyi adók</t>
  </si>
  <si>
    <t>2.2.</t>
  </si>
  <si>
    <t>Átengedett központi adók</t>
  </si>
  <si>
    <t>2.3.</t>
  </si>
  <si>
    <t>Bírságok, egyéb bevételek</t>
  </si>
  <si>
    <t>3.</t>
  </si>
  <si>
    <t>Működési támogatások</t>
  </si>
  <si>
    <t>3.1.</t>
  </si>
  <si>
    <t>Helyi Önkormányzatok általános működésének támogatása</t>
  </si>
  <si>
    <t>3.2.</t>
  </si>
  <si>
    <t>Központosított előirányzatokból a működési célúak</t>
  </si>
  <si>
    <t>3.3.</t>
  </si>
  <si>
    <t>Helyi önkormányzatok kiegészítő támogatása</t>
  </si>
  <si>
    <t>Egyéb működési bevételek</t>
  </si>
  <si>
    <t>4.1.</t>
  </si>
  <si>
    <t>Támogatásértékű működési bevételek összesen</t>
  </si>
  <si>
    <t>4.2.</t>
  </si>
  <si>
    <t>Működési célú pénzeszköz átvétel államháztartáson kívülről</t>
  </si>
  <si>
    <t>4.3.</t>
  </si>
  <si>
    <t>ÁFA visszaigénylés</t>
  </si>
  <si>
    <t>4.4.</t>
  </si>
  <si>
    <t>Előző évi költségvetési kiegészítések, visszatérülések</t>
  </si>
  <si>
    <t>Működési bevételek (1+2+3+4)</t>
  </si>
  <si>
    <t>Felhalmozási és tőkejellegű bevételek</t>
  </si>
  <si>
    <t>5.1.</t>
  </si>
  <si>
    <t>Tárgyi eszközök, immateriális javak értékesítése</t>
  </si>
  <si>
    <t>5.2.</t>
  </si>
  <si>
    <t>Önkormányzatok sajátos felhalmozási és tőke bevételei</t>
  </si>
  <si>
    <t>Felhalmozási támogatások</t>
  </si>
  <si>
    <t>6.1.</t>
  </si>
  <si>
    <t>Köpontosított előirányzatokból fejlesztési célúak</t>
  </si>
  <si>
    <t>6.2.</t>
  </si>
  <si>
    <t>Fejlesztési célú támogatások</t>
  </si>
  <si>
    <t>Egyéb felhalmozási bevételek</t>
  </si>
  <si>
    <t>7.1.</t>
  </si>
  <si>
    <t>Támogatásértékű felhalmozási bevételek összesen</t>
  </si>
  <si>
    <t>7.2.</t>
  </si>
  <si>
    <t>Felhalmozási célú pénzeszközátvétel államháztartáson kívülről</t>
  </si>
  <si>
    <t>7.3.</t>
  </si>
  <si>
    <t>előző évi felhalmozási célú előirányzat-maradvány</t>
  </si>
  <si>
    <t>Felhalmozási bevételek (5+6+7)</t>
  </si>
  <si>
    <t>Támogatási kölcsönök visszatérülése</t>
  </si>
  <si>
    <t>Pénzforgalom nélküli bevételek</t>
  </si>
  <si>
    <t>B.</t>
  </si>
  <si>
    <t>Költségvetési bevételek összesen (I+II+III+IV)</t>
  </si>
  <si>
    <t>A.Költségvetési kiadások és B.költségvetési bevételek egyenlege (A-B)</t>
  </si>
  <si>
    <t>Felügyeleti szervtől kapott támogatás</t>
  </si>
  <si>
    <t>Pénzmaradvány igénybevétele</t>
  </si>
  <si>
    <t>Működési célra</t>
  </si>
  <si>
    <t>Felhalmozási célra</t>
  </si>
  <si>
    <t>C.</t>
  </si>
  <si>
    <t>Költségvetési hiány belső finanszírozására szolgáló pénzforgalom nélküli bevételek (V)</t>
  </si>
  <si>
    <t>VI.</t>
  </si>
  <si>
    <t>Értékpapír értékesítésének bevétele</t>
  </si>
  <si>
    <t>VII.</t>
  </si>
  <si>
    <t>Hitelek felvétele</t>
  </si>
  <si>
    <t>ÁHT-n kívülre nyújtott működési célú hitel bevétele</t>
  </si>
  <si>
    <t>Felhalmozási célú hitel felvétele</t>
  </si>
  <si>
    <t>Bérhitel</t>
  </si>
  <si>
    <t>Folyószámlahitel</t>
  </si>
  <si>
    <t>D.</t>
  </si>
  <si>
    <t>Költségvetési hiány belső finanszírozását meghaladó összegének külső finanszírozására szolgáló bevételek  (VI+VII)</t>
  </si>
  <si>
    <t>E.</t>
  </si>
  <si>
    <t>Finanszírozási bevételek (C+D)</t>
  </si>
  <si>
    <t>VIII.</t>
  </si>
  <si>
    <t>Felügyeleti szervi támogatás</t>
  </si>
  <si>
    <t>IX.</t>
  </si>
  <si>
    <t>Hitelek törlesztése</t>
  </si>
  <si>
    <t>Működési célú hitel nyújtása (éven belüli)</t>
  </si>
  <si>
    <t>Működési célú hitel nyújtása (éven túli)</t>
  </si>
  <si>
    <t>Felhalmozási célú hitel törlesztése</t>
  </si>
  <si>
    <t>X.</t>
  </si>
  <si>
    <t>F.</t>
  </si>
  <si>
    <t>Finanszírozási kiadások összesen (VIII+IX+X)</t>
  </si>
  <si>
    <t>G.</t>
  </si>
  <si>
    <t>Tárgyévi kiadások  össsesen (A+F)</t>
  </si>
  <si>
    <t>H.</t>
  </si>
  <si>
    <t>Tárgyévi bevételek összesen (B+E)</t>
  </si>
  <si>
    <t xml:space="preserve"> működési és felhalmozási célú bevételi éskiadási előirányzatok bemutatása tájékoztató jelleggel</t>
  </si>
  <si>
    <t>3 melléklet</t>
  </si>
  <si>
    <t>Önkormányzat összesen</t>
  </si>
  <si>
    <t>Működési bevételek</t>
  </si>
  <si>
    <t>Támogatásértékű működési kiadások</t>
  </si>
  <si>
    <t xml:space="preserve">Működési célú pénzeszközátadás </t>
  </si>
  <si>
    <t>Előző évi állami támogatás visszafizetés</t>
  </si>
  <si>
    <t>Irányítószerv alá tartozó költségvetési szervnek folyósított támogatás</t>
  </si>
  <si>
    <t>Működési bevételek (1+2+3+49)</t>
  </si>
  <si>
    <t xml:space="preserve">Működési bevételek és működési kiadások különbözete: </t>
  </si>
  <si>
    <t>Beruházási kiadások</t>
  </si>
  <si>
    <t>Egyéb felhalmozási kiadások</t>
  </si>
  <si>
    <t>Felhalmozási kiadások (6+….+8)</t>
  </si>
  <si>
    <t>Felhalmozási bevételek és kiadások különbözete:</t>
  </si>
  <si>
    <t>9.</t>
  </si>
  <si>
    <t>10.</t>
  </si>
  <si>
    <t>11.</t>
  </si>
  <si>
    <t xml:space="preserve">Hitelek </t>
  </si>
  <si>
    <t>Finanszírozási bevételek (8+9+10+11)</t>
  </si>
  <si>
    <t>Finanszírozási kiadások</t>
  </si>
  <si>
    <t>Költségvetési Bevételek Összesen (A+B+C)</t>
  </si>
  <si>
    <r>
      <t xml:space="preserve">Költségvetési kiadások összesen </t>
    </r>
    <r>
      <rPr>
        <sz val="12"/>
        <rFont val="Times New Roman"/>
        <family val="1"/>
        <charset val="238"/>
      </rPr>
      <t>(A+B+C+D)</t>
    </r>
  </si>
  <si>
    <t>Tárgyévi kiadások és bevételek egyenlege</t>
  </si>
  <si>
    <t>adatok Ft-ban</t>
  </si>
  <si>
    <t>Felhalmozási kiadások feladatonként</t>
  </si>
  <si>
    <t>4.melléklet</t>
  </si>
  <si>
    <t>Felhalmozási kiadás  megnevezése</t>
  </si>
  <si>
    <t>Teljes költség</t>
  </si>
  <si>
    <t>Kivitelezés kezdési és befejezési éve</t>
  </si>
  <si>
    <t>Felújítási kiadások célonként</t>
  </si>
  <si>
    <t>Beruházási kiadások feladatonként</t>
  </si>
  <si>
    <t>Gyerek mesekönyvek (K64)</t>
  </si>
  <si>
    <t>Mágneses kapuzár (K64)</t>
  </si>
  <si>
    <t>Cipőtároló (K64)</t>
  </si>
  <si>
    <t>Tálalószekrény (K64)</t>
  </si>
  <si>
    <t>Ruhaszárító 3 db  (K64)</t>
  </si>
  <si>
    <t>Kés, kenyérszeletelő 2 db  (K64)</t>
  </si>
  <si>
    <t>Szőnyeg 2 csoportszobába  (K64)</t>
  </si>
  <si>
    <t>Tornaszoba ablakokra redőny+szúnyogháló (K64)</t>
  </si>
  <si>
    <t xml:space="preserve">Függönyök </t>
  </si>
  <si>
    <t>Óvoda összesen:</t>
  </si>
  <si>
    <t>Kerékpártároló (K64)</t>
  </si>
  <si>
    <t>Fogas, esernyőtartó (K64)</t>
  </si>
  <si>
    <t>pedagógus asztal (K64)</t>
  </si>
  <si>
    <t>Bölcsőde összesen:</t>
  </si>
  <si>
    <t>ÁMK aula világítás (K64)</t>
  </si>
  <si>
    <t>Könyvtári, közművelődési tev. Összesen:</t>
  </si>
  <si>
    <t>TOP-1.2.1-15 ZA1-2016-00003 Zala Kétkeréken - Kerékpárút fejlesztés Sármellék és Zalaszentgrót településeken</t>
  </si>
  <si>
    <t xml:space="preserve">Beruházási kiadások összesen </t>
  </si>
  <si>
    <t>ÖSSZESEN:</t>
  </si>
  <si>
    <t>Önkormányzatok által folyósított ellátások részletezése</t>
  </si>
  <si>
    <t>ezer forintban</t>
  </si>
  <si>
    <t xml:space="preserve">Lakásfenntartási támogatás  </t>
  </si>
  <si>
    <t>Gyógyszer támogatás</t>
  </si>
  <si>
    <t>Iskolakezdési támogatás</t>
  </si>
  <si>
    <t>Települési támogatás</t>
  </si>
  <si>
    <t>Egyéb rendkívüli települési támogatás</t>
  </si>
  <si>
    <t>Idősek rendkívüli települési támogatás  5000/fő</t>
  </si>
  <si>
    <t>Gyerekek rendkívüli települési támogatás  5000/fő</t>
  </si>
  <si>
    <t>Babakötvény</t>
  </si>
  <si>
    <t>Rendkívüli települési támogatás</t>
  </si>
  <si>
    <t>Települési + rendkívüli települési támogatás</t>
  </si>
  <si>
    <t>Rendszeres gyerekvédelmi támogatás</t>
  </si>
  <si>
    <t>Mindösszesen</t>
  </si>
  <si>
    <t>2018. ÉVI KÖLTSÉGVETÉS</t>
  </si>
  <si>
    <t>Működési célú pénzeszköz-átadások részletezése</t>
  </si>
  <si>
    <t>forintban</t>
  </si>
  <si>
    <t>Eredeti előirányzat</t>
  </si>
  <si>
    <t>Rovatkód</t>
  </si>
  <si>
    <t>Működési célú pénzeszköz átadás ÁHT-n belül</t>
  </si>
  <si>
    <t>Bursa Hungarica ösztöndíj-támogatás</t>
  </si>
  <si>
    <t>K506-04</t>
  </si>
  <si>
    <t>K506-08</t>
  </si>
  <si>
    <t>K506-09</t>
  </si>
  <si>
    <t>Működési célú pénzeszköz átadás ÁHT-n belül összesen</t>
  </si>
  <si>
    <t>Működési célú pénzeszköz átadás ÁHT-n kívül</t>
  </si>
  <si>
    <t>Sármelléki Polgárőrség</t>
  </si>
  <si>
    <t>Sármelléki Sportegyesület</t>
  </si>
  <si>
    <t>K512-03</t>
  </si>
  <si>
    <t>K512-02</t>
  </si>
  <si>
    <t>Keszthelyi Mentőszolg.Alapítvány</t>
  </si>
  <si>
    <t>K512-08</t>
  </si>
  <si>
    <t>Működési célú pénzeszköz átadás ÁHT-n kívül összesen</t>
  </si>
  <si>
    <t>Működési célú pénzeszköz átadás ÁHT-n belűl és kívül összesen</t>
  </si>
  <si>
    <t>K89-02</t>
  </si>
  <si>
    <t>K89-01</t>
  </si>
  <si>
    <t>Felhalmozási célúcélú pénzeszköz átadás  összesen</t>
  </si>
  <si>
    <t>Európai Uniós támogatással megvalósuló projektek bevételei, kiadásai, hozzájárulások</t>
  </si>
  <si>
    <t>EU-s projekt azonosítója:</t>
  </si>
  <si>
    <t>TOP-1.2.1-15-ZA1-2016-00003 Zala Kétkeréken - Kerékpárút fejlesztés Sármellék és Zalaszentgrót településeken</t>
  </si>
  <si>
    <t>Források</t>
  </si>
  <si>
    <t>Összesen</t>
  </si>
  <si>
    <t>Saját erő</t>
  </si>
  <si>
    <t>saját erőből központi támogatás</t>
  </si>
  <si>
    <t>EU-s forrás</t>
  </si>
  <si>
    <t>Társfinanszírozás</t>
  </si>
  <si>
    <t>Hitel</t>
  </si>
  <si>
    <t xml:space="preserve">Egyéb forrás </t>
  </si>
  <si>
    <t>Források összesen</t>
  </si>
  <si>
    <t>Kiadások, költségek</t>
  </si>
  <si>
    <t>Személyi jellegű</t>
  </si>
  <si>
    <t>Beruházások, beszerzések</t>
  </si>
  <si>
    <t>Szolgáltatások igénybevétele</t>
  </si>
  <si>
    <t>Tartalék</t>
  </si>
  <si>
    <t>7.melléklet</t>
  </si>
  <si>
    <t xml:space="preserve">Adott, közvetett támogatások  </t>
  </si>
  <si>
    <t>8.melléklet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</si>
  <si>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</si>
  <si>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</si>
  <si>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</si>
  <si>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</si>
  <si>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</si>
  <si>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</si>
  <si>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</si>
  <si>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</si>
  <si>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</si>
  <si>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</si>
  <si>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</si>
  <si>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</si>
  <si>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</si>
  <si>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</si>
  <si>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</si>
  <si>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</si>
  <si>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</si>
  <si>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</si>
  <si>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</si>
  <si>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</si>
  <si>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</si>
  <si>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</si>
  <si>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</si>
  <si>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</si>
  <si>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</si>
  <si>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</si>
  <si>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</si>
  <si>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</si>
  <si>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Összesen:</t>
  </si>
  <si>
    <t>9.melléklet</t>
  </si>
  <si>
    <t>Többéves kihatással járó kötelezettségvállalások listája</t>
  </si>
  <si>
    <t xml:space="preserve"> Ezer forintban </t>
  </si>
  <si>
    <t>Sor-
szám</t>
  </si>
  <si>
    <t>Kötelezettség jogcíme</t>
  </si>
  <si>
    <t>Köt. váll.
 éve</t>
  </si>
  <si>
    <t>Kiadás vonzata évenként</t>
  </si>
  <si>
    <t>2019.</t>
  </si>
  <si>
    <t>2021. után</t>
  </si>
  <si>
    <t>9=(4+5+6+7+8)</t>
  </si>
  <si>
    <t>Működési célú hiteltörlesztés tőke</t>
  </si>
  <si>
    <t>Felhalmozási célú hiteltörlesztés (tőke+kamat)</t>
  </si>
  <si>
    <t>Beruházás feladatonként</t>
  </si>
  <si>
    <t>............................</t>
  </si>
  <si>
    <t xml:space="preserve">Egyéb </t>
  </si>
  <si>
    <t>Összesen (1+4+7+9+11)</t>
  </si>
  <si>
    <t>10. melléklet</t>
  </si>
  <si>
    <t>Sármelléki Óvoda Művelődési Központ</t>
  </si>
  <si>
    <t>Sármelléki Közös Önkormányzati Hivatal</t>
  </si>
  <si>
    <t>Éves létszám-előirányzat</t>
  </si>
  <si>
    <t>Szakfeladat száma</t>
  </si>
  <si>
    <t>Szakfeladat megnevezése</t>
  </si>
  <si>
    <t>Éves létszám-előirányzat  (fő)</t>
  </si>
  <si>
    <t>096015</t>
  </si>
  <si>
    <t>Iskiolai Intézményi étkeztetés</t>
  </si>
  <si>
    <t>011130</t>
  </si>
  <si>
    <t>Önkormányzatok igazgatási tevékenysége</t>
  </si>
  <si>
    <t>091110</t>
  </si>
  <si>
    <t>Óvodai nevelés szakmai feladatai</t>
  </si>
  <si>
    <t>066020</t>
  </si>
  <si>
    <t>Községgazdálkodás</t>
  </si>
  <si>
    <t>011131</t>
  </si>
  <si>
    <t>Önkományzati jogalkotás</t>
  </si>
  <si>
    <t>082092</t>
  </si>
  <si>
    <t>Közművelődés</t>
  </si>
  <si>
    <t>Önkormányzati jogalkotás</t>
  </si>
  <si>
    <t>011220</t>
  </si>
  <si>
    <t>Bölcsőde</t>
  </si>
  <si>
    <t>074031</t>
  </si>
  <si>
    <t>család és nővédelem</t>
  </si>
  <si>
    <t>Óvoda működtetés</t>
  </si>
  <si>
    <t>Közfoglalkoztatás éves létszám-előirányzata</t>
  </si>
  <si>
    <t>Éves létszám-előirányzat (fő)</t>
  </si>
  <si>
    <t>041233</t>
  </si>
  <si>
    <t>Közfoglalkoztatás</t>
  </si>
  <si>
    <t>Sármelléki Óvoda Általános Művelődési Központ</t>
  </si>
  <si>
    <t>Előző évi működési célú előirányzat-maradvány, pénzmaradvány átadás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</si>
  <si>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</si>
  <si>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Előző évi működési célú előirányzat-maradvány, pénzmaradvány átvétel</t>
  </si>
  <si>
    <t xml:space="preserve">Működési célú hitel felvétele </t>
  </si>
  <si>
    <t>Értékpapír vásárlásainak kiadása</t>
  </si>
  <si>
    <t>Működési célú hitel törlesztése (folyószámlahitel)</t>
  </si>
  <si>
    <t>Működési célú hitel törlesztése (éven túli)</t>
  </si>
  <si>
    <t>Finanszírozási kiadások összesen (VIII+IX)</t>
  </si>
  <si>
    <t>összeg</t>
  </si>
  <si>
    <t>ÁFA</t>
  </si>
  <si>
    <t>Törvény szerinti illetmények, munkabérek (K1101)</t>
  </si>
  <si>
    <t>Céljuttatás, projektprémium (K1103)</t>
  </si>
  <si>
    <t>Béren kívüli juttatások (K1107)</t>
  </si>
  <si>
    <t>Közlekedési költségtérítés (K1109)</t>
  </si>
  <si>
    <t>Foglalkoztatottak személyi juttatásai (K11)</t>
  </si>
  <si>
    <t>Tiszteletdíj: Ferge Józsefné (K122)</t>
  </si>
  <si>
    <t>Tiszteletdíj: Balogh Anikó (K122)</t>
  </si>
  <si>
    <t>Tiszteletdíj: Bakos Sándor (K122)</t>
  </si>
  <si>
    <t>Külső személyi juttatások összesen (K12)</t>
  </si>
  <si>
    <t>SZEMÉLYI JUTTATÁSOK MINDÖSSZESEN (K1)</t>
  </si>
  <si>
    <t>MUNKAADÓKAT TERHELŐ JÁRULÉKOK ÉS SZOCIÁLIS HOZZÁJÁRULÁSI ADÓ (K2)</t>
  </si>
  <si>
    <t>Szakmai ismeretek, folyóirat előfizetése</t>
  </si>
  <si>
    <t>szakmai anyagok csoport foglalkozásokhoz</t>
  </si>
  <si>
    <t>szakmai anyagok beszerzése összesen (K311)</t>
  </si>
  <si>
    <t xml:space="preserve">papír, írószer, fénymásoló papír, nyomtatvány </t>
  </si>
  <si>
    <t>tintaparton, toner</t>
  </si>
  <si>
    <t>tisztítószer</t>
  </si>
  <si>
    <t>Konyharuha, viaszkos vászon, lábtörlő, öntözőkanna</t>
  </si>
  <si>
    <t>10 db 12 személyes asztalterítő</t>
  </si>
  <si>
    <t>Üzemeltetési anyagok beszerzése összesen  (K312)</t>
  </si>
  <si>
    <t>KÉSZLETBESZERZÉS (K31)</t>
  </si>
  <si>
    <t>Adatátviteli célú távközlési díj:internet</t>
  </si>
  <si>
    <t>Informatikai szolgáltatások igénybevétele (K321)</t>
  </si>
  <si>
    <t xml:space="preserve">Telefondíj, mobil telefon díjak </t>
  </si>
  <si>
    <t>Egyéb kommunikációs szolgáltatások (K322)</t>
  </si>
  <si>
    <t>KOMMUNIKÁCIÓS SZOLGÁLTATÁSOK (K32)</t>
  </si>
  <si>
    <t>Közüzemi  díjak (K331)</t>
  </si>
  <si>
    <t>Karbantartási, kisjavítási szolgáltatások (K334)</t>
  </si>
  <si>
    <t>szakmai tréning (K336)</t>
  </si>
  <si>
    <t>Szakmai tevékenységet segítő szolgáltatások (K336)</t>
  </si>
  <si>
    <t>rágcsálóírtás</t>
  </si>
  <si>
    <t>SÖTYE-Nőklub éves működés (K337)</t>
  </si>
  <si>
    <t>Otelló Borbarátok éves működés (K337)</t>
  </si>
  <si>
    <t>BRACCS éves működés (K337)</t>
  </si>
  <si>
    <t>Horváth Szilárd heti 1 óra furulyaoktatás 1500 Ft/óra (K337)</t>
  </si>
  <si>
    <t>Egyéb szolgáltatások (K337)</t>
  </si>
  <si>
    <t>Szolgáltatási kiadások (K33)</t>
  </si>
  <si>
    <t>Kiküldetések kiadásai (K341)</t>
  </si>
  <si>
    <t>ARTISJUS egész éves rendezvény díja (K341)</t>
  </si>
  <si>
    <t>Kiküldetések, reklám- és propagandakiadások (K34)</t>
  </si>
  <si>
    <t>Működési célú általános forgalmi adó (K351)</t>
  </si>
  <si>
    <t>Különféle befizetések és egyéb dologi kiadások (K35)</t>
  </si>
  <si>
    <t>DOLOGI KIADÁSOK ÖSSZESEN (K3)</t>
  </si>
  <si>
    <t>Egyéb dologi kiadás (K355)</t>
  </si>
  <si>
    <t>Egyéb tárgyi eszközök összesen (K64)</t>
  </si>
  <si>
    <t>Beruházási célú előzetesen felszámított ÁFA (K67)</t>
  </si>
  <si>
    <t>KÖLTSÉGVETÉSI KIADÁSOK MINDÖSSZESEN</t>
  </si>
  <si>
    <t>Bőlcsödei folyóirat előfizetése</t>
  </si>
  <si>
    <t>Kicsi kuka, virágosládák, öntözőkanna</t>
  </si>
  <si>
    <t xml:space="preserve">Szakmai ismeretek, folyóirat előfizetése:Kereplő újság </t>
  </si>
  <si>
    <t>ezer ft-ban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</si>
  <si>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</si>
  <si>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</si>
  <si>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</si>
  <si>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</si>
  <si>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</si>
  <si>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</si>
  <si>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</si>
  <si>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</si>
  <si>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</si>
  <si>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</si>
  <si>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</si>
  <si>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</si>
  <si>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</si>
  <si>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Munkaadót terhelő járulékok</t>
  </si>
  <si>
    <t>Végleges pénzeszközátadás, egyéb támogatás</t>
  </si>
  <si>
    <t>Társadalom és szoc.pol. Ellátások</t>
  </si>
  <si>
    <t>Felhalmozási kiadások</t>
  </si>
  <si>
    <t xml:space="preserve">Kiadások összesen </t>
  </si>
  <si>
    <t>Intézményi müködési bevételek</t>
  </si>
  <si>
    <t>Intézményfinanszírozás</t>
  </si>
  <si>
    <t>Támogatásértékű bevételek, átvett pénzeszközök</t>
  </si>
  <si>
    <t xml:space="preserve">Bevételek összesen </t>
  </si>
  <si>
    <t>Közös Önk.Hiv.</t>
  </si>
  <si>
    <t>Foglalkoztatottak egyéb személyi juttatásai (K1113)</t>
  </si>
  <si>
    <t>Költségvetési levelek előfizetése</t>
  </si>
  <si>
    <t>wINsZOC program díja: ABAUS</t>
  </si>
  <si>
    <t>informatikai eszk. Karbantartás:TC Informatika</t>
  </si>
  <si>
    <t>ECOSTAT rendszer karbantartás:CompuTrend</t>
  </si>
  <si>
    <t xml:space="preserve">Internet modem bérleti díja </t>
  </si>
  <si>
    <t>Bérleti és lízing díjak (K333)</t>
  </si>
  <si>
    <t>Szakmai tev.segítő szolg.:üzemorvosi dÍj (K336)</t>
  </si>
  <si>
    <t>Postaköltségek, postafiókbérlet (K337)</t>
  </si>
  <si>
    <t>Bankköltségek (K337)</t>
  </si>
  <si>
    <t>KIADÁSOK MINDÖSSZESEN</t>
  </si>
  <si>
    <t>Sármellék Község Önkormányzat</t>
  </si>
  <si>
    <t>16.melléklet</t>
  </si>
  <si>
    <t>Előző évi állami visszafiz.</t>
  </si>
  <si>
    <t>Intézmény finanszírozás</t>
  </si>
  <si>
    <t>Hitelek</t>
  </si>
  <si>
    <t xml:space="preserve">Dologi és egyéb folyó kiadásai intézményi és összesített kimutatása </t>
  </si>
  <si>
    <t>Rovatszám</t>
  </si>
  <si>
    <t>Tartozik</t>
  </si>
  <si>
    <t>Szakmai anyagok beszerzése</t>
  </si>
  <si>
    <t>01</t>
  </si>
  <si>
    <t>311</t>
  </si>
  <si>
    <t>Üzemeltetési anyagok beszerzése</t>
  </si>
  <si>
    <t>02</t>
  </si>
  <si>
    <t>312</t>
  </si>
  <si>
    <t>5102</t>
  </si>
  <si>
    <t>Árubeszerzés</t>
  </si>
  <si>
    <t>03</t>
  </si>
  <si>
    <t>313</t>
  </si>
  <si>
    <t>5113</t>
  </si>
  <si>
    <t>Készletbeszerzés (01+…+3)</t>
  </si>
  <si>
    <t>04</t>
  </si>
  <si>
    <t>5103</t>
  </si>
  <si>
    <t>Informatikai szolgáltatások igénybevétele</t>
  </si>
  <si>
    <t>05</t>
  </si>
  <si>
    <t>321</t>
  </si>
  <si>
    <t>Egyéb kommunikációs szolgáltatások</t>
  </si>
  <si>
    <t>06</t>
  </si>
  <si>
    <t>322</t>
  </si>
  <si>
    <t>Kommunikációs szolgáltatások (5+6)</t>
  </si>
  <si>
    <t>07</t>
  </si>
  <si>
    <t>Közüzemi díjak</t>
  </si>
  <si>
    <t>08</t>
  </si>
  <si>
    <t>331</t>
  </si>
  <si>
    <t>Vásárolt élelmezés</t>
  </si>
  <si>
    <t>09</t>
  </si>
  <si>
    <t>332</t>
  </si>
  <si>
    <t>5108</t>
  </si>
  <si>
    <t>Bérleti és lízing díjak</t>
  </si>
  <si>
    <t>10</t>
  </si>
  <si>
    <t>333</t>
  </si>
  <si>
    <t>ebből PPP alapuló szerződéses konstrukció</t>
  </si>
  <si>
    <t>11</t>
  </si>
  <si>
    <t>5110</t>
  </si>
  <si>
    <t>Karbantartási kisjavítási szolgáltatások</t>
  </si>
  <si>
    <t>12</t>
  </si>
  <si>
    <t>334</t>
  </si>
  <si>
    <t>Közvetített szolgáltatások</t>
  </si>
  <si>
    <t>13</t>
  </si>
  <si>
    <t>335</t>
  </si>
  <si>
    <t>5112</t>
  </si>
  <si>
    <t>ebből ÁHT-n belül</t>
  </si>
  <si>
    <t>14</t>
  </si>
  <si>
    <t>Szakmai tevékenységet segítő szolgáltatások</t>
  </si>
  <si>
    <t>15</t>
  </si>
  <si>
    <t>336</t>
  </si>
  <si>
    <t>Egyéb szolgáltatások</t>
  </si>
  <si>
    <t>16</t>
  </si>
  <si>
    <t>337</t>
  </si>
  <si>
    <t>5201</t>
  </si>
  <si>
    <t>Szolgáltatási kiadások (08+09+10+12+13+15+16)</t>
  </si>
  <si>
    <t>17</t>
  </si>
  <si>
    <t>Kiküldetés kiadásai</t>
  </si>
  <si>
    <t>18</t>
  </si>
  <si>
    <t>341</t>
  </si>
  <si>
    <t>Reklám- és propaganda kiadások</t>
  </si>
  <si>
    <t>19</t>
  </si>
  <si>
    <t>342</t>
  </si>
  <si>
    <t>Kiküldetés, reklám kiadások (18+19)</t>
  </si>
  <si>
    <t>20</t>
  </si>
  <si>
    <t>5204</t>
  </si>
  <si>
    <t>Műk.c. előzetesen felszámított ÁFA</t>
  </si>
  <si>
    <t>21</t>
  </si>
  <si>
    <t>351</t>
  </si>
  <si>
    <t>5205</t>
  </si>
  <si>
    <t>Fizetendő ÁFA</t>
  </si>
  <si>
    <t>22</t>
  </si>
  <si>
    <t>352</t>
  </si>
  <si>
    <t>Kamatkiadások   (24+25)</t>
  </si>
  <si>
    <t>23</t>
  </si>
  <si>
    <t>353</t>
  </si>
  <si>
    <t>ebből ÁÁHT-n belül</t>
  </si>
  <si>
    <t>24</t>
  </si>
  <si>
    <t>5207</t>
  </si>
  <si>
    <t>ebből fedezeti ügyletek kamatkiadásai</t>
  </si>
  <si>
    <t>25</t>
  </si>
  <si>
    <t>5208</t>
  </si>
  <si>
    <t>Egyéb pénzügyi műveletek kiadásai(27+28+29)</t>
  </si>
  <si>
    <t>26</t>
  </si>
  <si>
    <t>354</t>
  </si>
  <si>
    <t>ebből valuta, deviza eszközök realizált árf. Veszt.</t>
  </si>
  <si>
    <t>27</t>
  </si>
  <si>
    <t>5210</t>
  </si>
  <si>
    <t>ebből hitelviszonyt megtestesítő értékp. Árf. Különbözet</t>
  </si>
  <si>
    <t>28</t>
  </si>
  <si>
    <t>5211</t>
  </si>
  <si>
    <t>ebből deviza kötelezettségek realizált árf. Veszt.</t>
  </si>
  <si>
    <t>29</t>
  </si>
  <si>
    <t>5212</t>
  </si>
  <si>
    <t>Egyéb dologi kiadások</t>
  </si>
  <si>
    <t>30</t>
  </si>
  <si>
    <t>355</t>
  </si>
  <si>
    <t>KLF. Befizetések, egyéb dologi kiadások (21+22+23+26+30)</t>
  </si>
  <si>
    <t>31</t>
  </si>
  <si>
    <t>DOLOGI KIADÁSOK  (4+7+17+20+31)</t>
  </si>
  <si>
    <t>32</t>
  </si>
  <si>
    <t>reprezentáció (K123)</t>
  </si>
  <si>
    <t>Kiadásainak és bevételeinek fő összesítője költségvetési évet követő három év</t>
  </si>
  <si>
    <t>17.melléklet</t>
  </si>
  <si>
    <t>(Ft)</t>
  </si>
  <si>
    <t>Általánostartalék</t>
  </si>
  <si>
    <t>kötött, - céltartalék</t>
  </si>
  <si>
    <t>1. sz. melléklet</t>
  </si>
  <si>
    <t>VPG-7-2-1 Külterületi utak fejlesztése Szentgyörgyvár - Sármellék</t>
  </si>
  <si>
    <t>EFOP-1.5.2-16-2017 Humán szolgáltatások fejlesztése Sármellék térségben</t>
  </si>
  <si>
    <t>EFOP-4.1.7-16 A közösségi művelődési intézmény- és szervezetrendszer tanulást segítő infrastrukturális fejlesztései Sármelléki Művelődséi Ház átalakítása és eszközbeszerzése</t>
  </si>
  <si>
    <t>EFOP-3.7.3.-16 Az egész életen át tartó tanuláshoz hozzáférés biztosítása Sármellék és Alsópáhok településeken</t>
  </si>
  <si>
    <t>EU-s  projekt azonosítója:</t>
  </si>
  <si>
    <t>2017 évi állami visszafizetése</t>
  </si>
  <si>
    <t>Sármellék  öszesen</t>
  </si>
  <si>
    <t>Önkormányzati hivatal működésének általános támogatása</t>
  </si>
  <si>
    <t>B111</t>
  </si>
  <si>
    <t>Települési önkormányzatok egyes köznevelési feladatainak támogatás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</si>
  <si>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</si>
  <si>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</si>
  <si>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</si>
  <si>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</t>
  </si>
  <si>
    <t>B114</t>
  </si>
  <si>
    <t>Kiegészítő támogatás</t>
  </si>
  <si>
    <t>Bérkompenzáció ÁMK</t>
  </si>
  <si>
    <t>B115</t>
  </si>
  <si>
    <t>Bérkompenzáció Közös Hivatal</t>
  </si>
  <si>
    <t>Szociális ágazati és kiegészítő pótlék ÁMK</t>
  </si>
  <si>
    <t>Mezőőri támogatás</t>
  </si>
  <si>
    <t>B16-04</t>
  </si>
  <si>
    <t>B16-06</t>
  </si>
  <si>
    <t>B16-05</t>
  </si>
  <si>
    <t>Rendkívüli gyermekvédelmi tám.</t>
  </si>
  <si>
    <t>B16-02</t>
  </si>
  <si>
    <t>EU-tól kapott támogatások</t>
  </si>
  <si>
    <t>EU Támogatások összesen:</t>
  </si>
  <si>
    <t>Intézményi működési</t>
  </si>
  <si>
    <t>Nettó</t>
  </si>
  <si>
    <t>Bruttó</t>
  </si>
  <si>
    <t>Temető fenntartási ktg.</t>
  </si>
  <si>
    <t>nettó</t>
  </si>
  <si>
    <t>Garázsbérlet</t>
  </si>
  <si>
    <t>B402</t>
  </si>
  <si>
    <t>Lakbér</t>
  </si>
  <si>
    <t>Háziorvosi rezsi hozzájárulás</t>
  </si>
  <si>
    <t>B406</t>
  </si>
  <si>
    <t>Földbérleti díjak</t>
  </si>
  <si>
    <t>Közműfejlesztési hozzáj.</t>
  </si>
  <si>
    <t>Sírhely megváltás</t>
  </si>
  <si>
    <t xml:space="preserve">Helység bérleti díjak </t>
  </si>
  <si>
    <t>Óvodai étkeztetés</t>
  </si>
  <si>
    <t>B405</t>
  </si>
  <si>
    <t>Iskolai étkeztetés</t>
  </si>
  <si>
    <t>Szocétkeztetés</t>
  </si>
  <si>
    <t>Közműfejlesztési hj.</t>
  </si>
  <si>
    <t>Koncessziós díj Iv .név ÁFA</t>
  </si>
  <si>
    <t>levonható ÁFA  étkeztetés, tisztítószer csak iskola+óvoda</t>
  </si>
  <si>
    <t>Visszaigényelhető ÁFA</t>
  </si>
  <si>
    <t>B407</t>
  </si>
  <si>
    <t>Előző évi visszaigényelhető ÁFA</t>
  </si>
  <si>
    <t>összes visszaigényelhető ÁFA</t>
  </si>
  <si>
    <t>ZSA osztalék</t>
  </si>
  <si>
    <t>B404-05</t>
  </si>
  <si>
    <t xml:space="preserve">Hévíz </t>
  </si>
  <si>
    <t>B404-02</t>
  </si>
  <si>
    <t>Koncessziós díj</t>
  </si>
  <si>
    <t>Westel torony</t>
  </si>
  <si>
    <t>Felhalmozási és tőke jellegű bevétel összesen:</t>
  </si>
  <si>
    <t>pénzmaradvány igénybevétele:</t>
  </si>
  <si>
    <t>B8131</t>
  </si>
  <si>
    <t>pénztár</t>
  </si>
  <si>
    <t>elszámolási szlák összesen</t>
  </si>
  <si>
    <t>lakás bevétel</t>
  </si>
  <si>
    <t>B52</t>
  </si>
  <si>
    <t>Lakáseladás részletének bevétele</t>
  </si>
  <si>
    <t>Mándi Imréné</t>
  </si>
  <si>
    <t xml:space="preserve">Nagy Orsolya 570600/év </t>
  </si>
  <si>
    <t xml:space="preserve">Bittó Katalin </t>
  </si>
  <si>
    <t>építmény</t>
  </si>
  <si>
    <t>B34-01</t>
  </si>
  <si>
    <t>B34-03</t>
  </si>
  <si>
    <t>iparűzés</t>
  </si>
  <si>
    <t>B351-07</t>
  </si>
  <si>
    <t>talajtrh.</t>
  </si>
  <si>
    <t>B36-15</t>
  </si>
  <si>
    <t>gépjármű</t>
  </si>
  <si>
    <t>B354-01</t>
  </si>
  <si>
    <t>termőf. Bérbead.</t>
  </si>
  <si>
    <t>B311-03</t>
  </si>
  <si>
    <t>Jövedéki adó</t>
  </si>
  <si>
    <t>B36-12</t>
  </si>
  <si>
    <t>idegenforg.</t>
  </si>
  <si>
    <t>B355-08</t>
  </si>
  <si>
    <t>egyéb bev.:</t>
  </si>
  <si>
    <t>mezőőri jár.</t>
  </si>
  <si>
    <t>Önkormányzat sajátos működési bevételei összesen:</t>
  </si>
  <si>
    <t xml:space="preserve">Összesen: </t>
  </si>
  <si>
    <t xml:space="preserve">Állami támogatás </t>
  </si>
  <si>
    <t xml:space="preserve">Kiadás </t>
  </si>
  <si>
    <t>különbség</t>
  </si>
  <si>
    <t>Óvoda</t>
  </si>
  <si>
    <t>Óvodai állami támogatás összesen</t>
  </si>
  <si>
    <t>Bölcsődei állami támogatás összesen</t>
  </si>
  <si>
    <t>Bölcsőde és Óvodai állami támogatások összesen</t>
  </si>
  <si>
    <t>Kiadás</t>
  </si>
  <si>
    <t>Kulturális illetménypótlék</t>
  </si>
  <si>
    <t>Könyvtári, közművelődési feladatok támogatása mindösszesen</t>
  </si>
  <si>
    <t>Bérleti díj:Nyitok</t>
  </si>
  <si>
    <t>Helység bérleti díjak</t>
  </si>
  <si>
    <t>ÁMK bevételek mindösszesen</t>
  </si>
  <si>
    <t>ÁMK kiadások mindösszesen</t>
  </si>
  <si>
    <t>Különbség</t>
  </si>
  <si>
    <t>Bevétel</t>
  </si>
  <si>
    <t>Önk.hiv. működési támogatás</t>
  </si>
  <si>
    <t>2017. december 31.-i pénzmaradvány</t>
  </si>
  <si>
    <t xml:space="preserve">pénztár: </t>
  </si>
  <si>
    <t>bankszámla</t>
  </si>
  <si>
    <t>KÖLTSÉGVETÉSI BEVÉTELEK  ÖSSZESEN:</t>
  </si>
  <si>
    <t>kiadások</t>
  </si>
  <si>
    <t>Különbözet</t>
  </si>
  <si>
    <t>B75</t>
  </si>
  <si>
    <t xml:space="preserve">2019 ÉVI KÖLTSÉGVETÉS  </t>
  </si>
  <si>
    <t>2019 évi eredeti előirányzat (Ft)</t>
  </si>
  <si>
    <t>Előző évi állami támogatás visszafizetése</t>
  </si>
  <si>
    <t xml:space="preserve">2019. ÉVI KÖLTSÉGVETÉS  </t>
  </si>
  <si>
    <t>2018. évi állami támogatás visszafizetése</t>
  </si>
  <si>
    <t>2019. Évi költségvetés</t>
  </si>
  <si>
    <t>Felhasználás
2019.XII.31-ig</t>
  </si>
  <si>
    <t xml:space="preserve">2019. évi eredeti előirányzat </t>
  </si>
  <si>
    <t>2019. év utáni szükséglet
(6=2 - 4 - 5)</t>
  </si>
  <si>
    <t>MTA-492 szgk. felújítása</t>
  </si>
  <si>
    <t>KDC-494 szgk. Felújítása</t>
  </si>
  <si>
    <t>Homokozóra takaróponyva (K64)</t>
  </si>
  <si>
    <t>Udvari árnyékolás  (K64)</t>
  </si>
  <si>
    <t>Teleszkópos pókhálózó (K64)</t>
  </si>
  <si>
    <t>Teleszkópos ablaklehúzó szett (K64)</t>
  </si>
  <si>
    <t>Ragasztó pisztoly (K64)</t>
  </si>
  <si>
    <t>mentőláda 1 db  (K64)</t>
  </si>
  <si>
    <t>Katlan, főzőüst, üst ház, gázrózsa  (K64)</t>
  </si>
  <si>
    <t>csocsó és ping-pong kellékek (K64)</t>
  </si>
  <si>
    <t>hűtőszekrény vásárlása (K64)</t>
  </si>
  <si>
    <t>Patriot Burst 120GB SSD PC 8 db számítógépre</t>
  </si>
  <si>
    <t xml:space="preserve">szerver </t>
  </si>
  <si>
    <t>Közös Hivatal beszerzése Összesen:</t>
  </si>
  <si>
    <t>TOP 1.4 óvoda pályázat</t>
  </si>
  <si>
    <t>TOP Ipari park pályázat</t>
  </si>
  <si>
    <t>óvoda felújítási pályázat</t>
  </si>
  <si>
    <t>VP6 Külterületi utak pályázat</t>
  </si>
  <si>
    <t>önkormányzati beruházások összesen</t>
  </si>
  <si>
    <t>Szünetmentes tápegység védőnői szolgálat részére</t>
  </si>
  <si>
    <t>vérnyomásmérő készülék</t>
  </si>
  <si>
    <t>tér, látásvizsgáló (Stereo teszt)</t>
  </si>
  <si>
    <t>Stefánia védőnői program</t>
  </si>
  <si>
    <t>Stefánia védőnői program havi rendszer díja</t>
  </si>
  <si>
    <t>Védőnői szolgálat beruházásai összesen</t>
  </si>
  <si>
    <t>2019 ÉVI KÖLTSÉGVETÉS</t>
  </si>
  <si>
    <t>2019. ÉVI KÖLTSÉGVETÉS</t>
  </si>
  <si>
    <t>2019.évi kiadás</t>
  </si>
  <si>
    <t>TÖOSZ 2019. évi tagdíj</t>
  </si>
  <si>
    <t>Sármellék Zalavár Kármentesítő Társulás</t>
  </si>
  <si>
    <t>Keszthelyi és Környéke többcélú Kistérségi Társulás 2019 tagdíj</t>
  </si>
  <si>
    <t>Keszthely város környéki Önkormányztok Ügyelet és orvosi ügyelet éves díja</t>
  </si>
  <si>
    <t>Fogászati  2019 tagdíj</t>
  </si>
  <si>
    <t>Keszthelyi Kistérségi támogatás ( belső ellenőrzési hozzájárulás)</t>
  </si>
  <si>
    <t>Egyéb alapítványok támogatása</t>
  </si>
  <si>
    <t>Erdős Bt (Iskola e.ü.) 8400 Ft/hó</t>
  </si>
  <si>
    <t>TOP ipari park pályázat</t>
  </si>
  <si>
    <t>ÁMK összesen</t>
  </si>
  <si>
    <t>2019. évi eredeti előirányzat (eFt)</t>
  </si>
  <si>
    <t>2019. ÉVI ELŐIRÁNYZAT-FELHASZNÁLÁSI TERV</t>
  </si>
  <si>
    <t>ÁMK 2019. évi KÖLTSÉGVETÉSI KIADÁSAI ÖSSZESEN</t>
  </si>
  <si>
    <t>Foglalkoztatottak személyi juttatásai (K1113)</t>
  </si>
  <si>
    <t>Megbízási díj december havi: Takácsné Ilku Anita (K122)</t>
  </si>
  <si>
    <t xml:space="preserve">SZEMÉLYI JUTTATÁSOK ÉS MUNKAADÓKAT TERHELŐ JÁRULÉKOK ÉS SZOCIÁLIS HOZZÁJÁRULÁSI ADÓ ÖSSZESEN </t>
  </si>
  <si>
    <t>Szakmai ismeretek, folyóirat előfizetése:Kereplő újság +óvoda+bölcsőde</t>
  </si>
  <si>
    <t xml:space="preserve">Szakmai anyagok beszerzése </t>
  </si>
  <si>
    <t>papír, írószer, fénymásoló papír, nyomtatvány+ SHIP irodaköltségek</t>
  </si>
  <si>
    <t xml:space="preserve">tintaparton, toner SHIP iroda költségei </t>
  </si>
  <si>
    <t>tisztítószer ÁMK+SHIP iroda</t>
  </si>
  <si>
    <t>munkaruha 10 fő részére</t>
  </si>
  <si>
    <t>Tisztasági festéséhez anyagok beszerzése</t>
  </si>
  <si>
    <t>12 db tálca, 6 db kancsó beszerzése</t>
  </si>
  <si>
    <t xml:space="preserve">kávés csésze készletek  </t>
  </si>
  <si>
    <t xml:space="preserve">2 dl-es üvegpoharak  100 db </t>
  </si>
  <si>
    <t>programok, rendezvények költségei:koszorú, oklevél, könyvjutalom, dekorációk, liszt beszerzése  kenyérszenteléshez, könyvtári foglalkozásokhoz anyagbeszerzések</t>
  </si>
  <si>
    <t xml:space="preserve"> díszfák, virágosítás, játéktároló kosarak, melléképület betonozása </t>
  </si>
  <si>
    <t xml:space="preserve">Vizdíj, gázdíj, áramdíj </t>
  </si>
  <si>
    <t>Bérleti díj (légvár bérlése (K333)</t>
  </si>
  <si>
    <t>üzemorvosi díj (K336)</t>
  </si>
  <si>
    <t>Üst Gyula heti 6 alkalom 4500 Ft/37 iskolai hét 6 óra (K337)</t>
  </si>
  <si>
    <t>Üst Gyula néptánc felléspések rendezvényeken (K337)</t>
  </si>
  <si>
    <t>Színjátszó csoport éves működési díjA: Lasics Henrietta  (K337)</t>
  </si>
  <si>
    <t>Bánáti György  könyvtári szolgáltatás, közműv.tev. (K337)</t>
  </si>
  <si>
    <t xml:space="preserve">programok, rendezvények költségei: fellépők díja, gyerekelőadások díja, zenekari szolgáltatások, Őrség messemondó díja </t>
  </si>
  <si>
    <t>tűzvédelmi és baleseti oktatás: Vörös Tibor (K337)</t>
  </si>
  <si>
    <t>munkahelyi kockázati tényezők szabályzata: Vörös Tibor  (K337)</t>
  </si>
  <si>
    <t>rágcsálóírtás (K337)</t>
  </si>
  <si>
    <t>bankköltségek   (K337)</t>
  </si>
  <si>
    <t>teleszkópos pókhálózó (K64)</t>
  </si>
  <si>
    <t>teleszkópos ablaklehúzó szett (K64)</t>
  </si>
  <si>
    <t>ragasztó pisztoly  (K64)</t>
  </si>
  <si>
    <t xml:space="preserve">mentőláda </t>
  </si>
  <si>
    <t xml:space="preserve">Katlan, főző üst, üst ház, gázrózsa </t>
  </si>
  <si>
    <t>csocsó és ping-pong kellékek</t>
  </si>
  <si>
    <t>Egyéb tárgyi eszközök összesen közművelődés  (K64)</t>
  </si>
  <si>
    <t>bölcsődei beruházások:</t>
  </si>
  <si>
    <t>bölcsődei beruházások mindösszesen:</t>
  </si>
  <si>
    <t>óvodai beruházások</t>
  </si>
  <si>
    <t>homokozóra takaróponyva (64)</t>
  </si>
  <si>
    <t xml:space="preserve">Udvari árnyékolás </t>
  </si>
  <si>
    <t>Függönyök (64)</t>
  </si>
  <si>
    <t>óvodai beruházások mindösszesen</t>
  </si>
  <si>
    <t>Egyéb tárgyi eszközök mindösszesen óvoda és bölcsőde (K64)</t>
  </si>
  <si>
    <t>Egyéb tárgyi eszközök mindösszesen (K64)</t>
  </si>
  <si>
    <t>BÖLCSŐDE 2019. évi KÖLTSÉGVETÉSI KIADÁSAI ÖSSZESEN</t>
  </si>
  <si>
    <t>munkaruha 3 fő részére</t>
  </si>
  <si>
    <t>tisztasági festéshez anyagbeszerzés</t>
  </si>
  <si>
    <t>Közüzemi  díjak (villany, víz, gáz) (K331)</t>
  </si>
  <si>
    <t>üzemorvosi díj dolgozóknak  (K336)</t>
  </si>
  <si>
    <t xml:space="preserve">tűzvédelmi és baleseti oktatás (3 fő):Vörös Tibor </t>
  </si>
  <si>
    <t>ÓVODA 2019. évi KÖLTSÉGVETÉSI KIADÁSAI ÖSSZESEN</t>
  </si>
  <si>
    <t>munkaruha 7 fő részére</t>
  </si>
  <si>
    <t>tisztasági festés</t>
  </si>
  <si>
    <t>üzemorvosi díj  (K336)</t>
  </si>
  <si>
    <t>munkahelyi tűzvédelmi és baleseti oktatás: Vörös Tibor  (K337)</t>
  </si>
  <si>
    <t>bankköltségek  (K337)</t>
  </si>
  <si>
    <t xml:space="preserve">BÖLCSŐDE ÉS ÓVODA 2019. évi KÖLTSÉGVETÉSE ÖSSZESEN </t>
  </si>
  <si>
    <t>Bőlcsödei folyóirat előfizetése és óvodai folyóiratok</t>
  </si>
  <si>
    <t>Közművelődés 2019. évi KÖLTSÉGVETÉSI KIADÁSAI ÖSSZESEN</t>
  </si>
  <si>
    <t>Könyvtár festéséhez anyagok beszerzése</t>
  </si>
  <si>
    <t>2019. évi</t>
  </si>
  <si>
    <t xml:space="preserve">2018. évi </t>
  </si>
  <si>
    <t>Állami tám.</t>
  </si>
  <si>
    <t>Intézményi bevételek</t>
  </si>
  <si>
    <t>2018. december 31-i pénzkészlet összesen:</t>
  </si>
  <si>
    <t>pénztár 2018.december 31-i egyenlege</t>
  </si>
  <si>
    <t>költségvetési elszámolási számla 2018. december 31-i egyenlege</t>
  </si>
  <si>
    <t>2019. évi bevételek Közös Hivatal Sármellék</t>
  </si>
  <si>
    <t>2019.évi tervezett bevételek</t>
  </si>
  <si>
    <t>2018.évi tervezett bevételek</t>
  </si>
  <si>
    <t>Önk.hiv.KIEGYENLÍTŐ BÉRRENDEZÉS támogatás</t>
  </si>
  <si>
    <t>2018. december 31.-i pénzmaradvány</t>
  </si>
  <si>
    <t>Sármelléki Közös Hivatal 2019. évi kiadásai mindösszesen</t>
  </si>
  <si>
    <t>Új kötelező feladat</t>
  </si>
  <si>
    <t>Megbízási díj (K122)</t>
  </si>
  <si>
    <t>Reprezentáció (K123)</t>
  </si>
  <si>
    <t>Információs biztonsági referens éves díj:Cloudworks Kft</t>
  </si>
  <si>
    <t>Adatvédelmi tevékenység:CloudFactory Internet_kft.</t>
  </si>
  <si>
    <t>Szabályzatok elkészítése (2 Önk +intézm.+ROMA Önk.)(K337)</t>
  </si>
  <si>
    <t xml:space="preserve">szerver  </t>
  </si>
  <si>
    <t>Beruházások mindösszesen (K6)</t>
  </si>
  <si>
    <t>14. melléklet</t>
  </si>
  <si>
    <t xml:space="preserve">Személyi juttatásai és munkaadókat terhelő járulékai intézményi és összesített kimutatása </t>
  </si>
  <si>
    <t>2019. évi költségvetés</t>
  </si>
  <si>
    <t>066020 községgazdálkodás</t>
  </si>
  <si>
    <t>041233 közfoglalkoz-tatás</t>
  </si>
  <si>
    <t>096015    iskolai étkeztetés</t>
  </si>
  <si>
    <t>082092 Közművelődés-ifjúsági garancia program</t>
  </si>
  <si>
    <t>82091       EFOP 1.5.2 pályázat</t>
  </si>
  <si>
    <t>82092       EFOP 4.1.7 pályázat</t>
  </si>
  <si>
    <t>82093        EFOP 3.7.3 pályázat</t>
  </si>
  <si>
    <t>önk.ig.tev.</t>
  </si>
  <si>
    <t>869041 védőnő</t>
  </si>
  <si>
    <t>Törvény szerinti illetmények, munkabérek</t>
  </si>
  <si>
    <t>1101</t>
  </si>
  <si>
    <t>Céljuttatás, projektprémium</t>
  </si>
  <si>
    <t>1103</t>
  </si>
  <si>
    <t>Béren kívüli juttatások</t>
  </si>
  <si>
    <t>1107</t>
  </si>
  <si>
    <t>Közlekedési költségtérítés</t>
  </si>
  <si>
    <t>1109</t>
  </si>
  <si>
    <t>Foglalkoztatottak egyéb személyi juttatásai</t>
  </si>
  <si>
    <t>1113</t>
  </si>
  <si>
    <t xml:space="preserve"> választott tisztségviselők juttatásai</t>
  </si>
  <si>
    <t>121</t>
  </si>
  <si>
    <t>munkavégzésre irányuló egyéb jogv.megbízásidíjai)</t>
  </si>
  <si>
    <t>122</t>
  </si>
  <si>
    <t>egyéb külső személyi juttatás</t>
  </si>
  <si>
    <t>123</t>
  </si>
  <si>
    <t xml:space="preserve">Személyi juttatások összesen </t>
  </si>
  <si>
    <t>Szociális hozzájárulási adó</t>
  </si>
  <si>
    <t>K2</t>
  </si>
  <si>
    <t>Munkáltatói SZJA</t>
  </si>
  <si>
    <t xml:space="preserve">Munkaadókat terhelő járulékok  és szociális hozzárjárulási adó összesen </t>
  </si>
  <si>
    <t xml:space="preserve">Személyi juttatások és munkaadókat terhelő járulékok és szoc.hj.adó összesen </t>
  </si>
  <si>
    <t>62 707 442</t>
  </si>
  <si>
    <t>29 120 300</t>
  </si>
  <si>
    <t>51 468 697</t>
  </si>
  <si>
    <t>2 228 820</t>
  </si>
  <si>
    <t>ÁLLAMI TÁMOGATÁSOK ÉS KIEGÉSZÍTŐ TÁMOGATÁSOK MINDÖSSZESEN</t>
  </si>
  <si>
    <t>Közfoglalkoztatottak támogatása</t>
  </si>
  <si>
    <t>Védőnői támogatás OEP támogatás (iskolaeü. 8400 Ft/hó, védőnő 407200 Ft/hó)</t>
  </si>
  <si>
    <t xml:space="preserve">Ifjúság garancia program támogatása 6 hónapig </t>
  </si>
  <si>
    <t xml:space="preserve">B21 </t>
  </si>
  <si>
    <t>top 1.4 óvoda pályázat</t>
  </si>
  <si>
    <t xml:space="preserve">TOP ipari park pályázat </t>
  </si>
  <si>
    <t>b75</t>
  </si>
  <si>
    <t>Támogatások mindösszesen</t>
  </si>
  <si>
    <t>Dr. Erdős Júlianna 106000/hó</t>
  </si>
  <si>
    <t>magánszemélyek kommunális adója</t>
  </si>
  <si>
    <t xml:space="preserve"> pótlék</t>
  </si>
  <si>
    <t xml:space="preserve">Kiadásainak és bevételeinek fő összesítője </t>
  </si>
  <si>
    <t>2018 évi állami visszafizetése</t>
  </si>
  <si>
    <t>Tartalék (kötött, kötelezettségekkel terhelt)</t>
  </si>
  <si>
    <t xml:space="preserve"> 2019. évi költségevetés</t>
  </si>
  <si>
    <t xml:space="preserve">közművelődés -ifjúságvéd.program </t>
  </si>
  <si>
    <t>5. számú melléklet</t>
  </si>
  <si>
    <t>11.melléklet</t>
  </si>
  <si>
    <t>11.b melléklet</t>
  </si>
  <si>
    <t>11. c melléklet</t>
  </si>
  <si>
    <t>11. d melléklet</t>
  </si>
  <si>
    <t>12. melléklet</t>
  </si>
  <si>
    <t>13. melléklet</t>
  </si>
  <si>
    <t>13.a. számú melléklet</t>
  </si>
  <si>
    <t>13. b melléklet</t>
  </si>
  <si>
    <t>15. számú melléklet</t>
  </si>
  <si>
    <t>16. a melléklet</t>
  </si>
  <si>
    <t>16. b. melléklet</t>
  </si>
  <si>
    <t>SÁRMELLÉK KÖZSÉG ÖNKORMÁNYZAT 2019. ÉVI ÁLLAMI TÁMOGATÁSA                                           16.c. melléklet</t>
  </si>
  <si>
    <t>Sármellék Község Önkormányzat 2019. évi intézményi, működési és felhalmozási bevételei                     16.d. melléklet</t>
  </si>
  <si>
    <t>11.a sz. melléklet</t>
  </si>
  <si>
    <t>11.e sz. melléklet</t>
  </si>
  <si>
    <t>11. f. sz. melléklet</t>
  </si>
  <si>
    <t>2019 Sármellék Önk,</t>
  </si>
  <si>
    <t>2019 ÁMK</t>
  </si>
  <si>
    <t>2019 Közös Hivatal</t>
  </si>
  <si>
    <t>2019év mindösszesen</t>
  </si>
  <si>
    <t>Keszthelyi és Környéke többcélú Kistérségi Társulás 2019. évi  házi segítségnyújtás, család és gyermekjóléti szolgáltatás támogatás</t>
  </si>
  <si>
    <t>6. számú melléklet</t>
  </si>
  <si>
    <t xml:space="preserve">2019 év Költségvetés </t>
  </si>
  <si>
    <t>2021.</t>
  </si>
  <si>
    <t>2019. előtti kifizetés</t>
  </si>
  <si>
    <t>Hungarikum pályázat</t>
  </si>
  <si>
    <t xml:space="preserve">Támogatásértékű működési bevételek összesen </t>
  </si>
  <si>
    <t xml:space="preserve">    091140 Óvodai nevelés</t>
  </si>
  <si>
    <t>3811031     051030  Települési hulladék begyűjt.száll.</t>
  </si>
  <si>
    <t>062020 Településfejlesztési pojektek, támogatása</t>
  </si>
  <si>
    <t>5220011     045160    Közutak, hidak üzemeltetése</t>
  </si>
  <si>
    <t xml:space="preserve">    045161    Kerékpárútak üzemeltetése, fenntartása</t>
  </si>
  <si>
    <t xml:space="preserve">        096015 Gyermekétkeztetés köznevelési intézményben</t>
  </si>
  <si>
    <t xml:space="preserve">        104031 Gyermekek bölcsődei ellátása</t>
  </si>
  <si>
    <t xml:space="preserve">        104035 Gyermekek bölcsődei étkeztetése</t>
  </si>
  <si>
    <t xml:space="preserve">        104037 Intézményen kívüli gyerek- étkeztetés</t>
  </si>
  <si>
    <t>8130001        066010      Zöldterület-kezelés</t>
  </si>
  <si>
    <t>8411261        011130     Önkormányzati jogalkotás</t>
  </si>
  <si>
    <t>8414021        064010       Közvilágítás</t>
  </si>
  <si>
    <t>8414031        066020            községgazdálkodás</t>
  </si>
  <si>
    <t>8621011 072111       Háziorvosi alapellátás</t>
  </si>
  <si>
    <t xml:space="preserve"> 072112       Háziorvosi ügyelet</t>
  </si>
  <si>
    <t xml:space="preserve">  0732311   fogorvosi alapellátás</t>
  </si>
  <si>
    <t xml:space="preserve">  0732312    fogorvosi ügyelet</t>
  </si>
  <si>
    <t>8690411       074031        Család és nővédelem</t>
  </si>
  <si>
    <t>8899211       107051    szociális étkezés</t>
  </si>
  <si>
    <t>082091 közművelődés - közösségi és társadalmi fejlesztés</t>
  </si>
  <si>
    <t>082092 közművelődés-hagyományos közösségi</t>
  </si>
  <si>
    <t>082093 közművelődés-egész életen át tartó</t>
  </si>
  <si>
    <t xml:space="preserve">    041233         közhasznú foglalkoztatás</t>
  </si>
  <si>
    <t xml:space="preserve">    042120         mezőgazd.támogatás</t>
  </si>
  <si>
    <t xml:space="preserve">    042130         növényter-mesztés szolg.</t>
  </si>
  <si>
    <t>9311021         081030         Sportlétesítmények működtetése</t>
  </si>
  <si>
    <t xml:space="preserve">   013320     Köztemető fenntartása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</si>
</sst>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#,##0\ _F_t"/>
    <numFmt numFmtId="165" formatCode="_-* #,##0.00\ _€_-;\-* #,##0.00\ _€_-;_-* &quot;-&quot;??\ _€_-;_-@_-"/>
    <numFmt numFmtId="166" formatCode="_-* #,##0\ _F_t_-;\-* #,##0\ _F_t_-;_-* &quot;-&quot;??\ _F_t_-;_-@_-"/>
    <numFmt numFmtId="167" formatCode="#,###"/>
    <numFmt numFmtId="168" formatCode="0__"/>
    <numFmt numFmtId="169" formatCode="#"/>
    <numFmt numFmtId="170" formatCode="#,##0_ ;\-#,##0\ "/>
  </numFmts>
  <fonts count="8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i/>
      <sz val="16"/>
      <name val="Times New Roman"/>
      <family val="1"/>
      <charset val="238"/>
    </font>
    <font>
      <i/>
      <sz val="16"/>
      <name val="Times New Roman"/>
      <family val="1"/>
      <charset val="238"/>
    </font>
    <font>
      <b/>
      <sz val="14"/>
      <name val="Arial"/>
      <family val="2"/>
      <charset val="238"/>
    </font>
    <font>
      <b/>
      <sz val="13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Arial CE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4"/>
      <name val="Times New Roman CE"/>
      <family val="1"/>
      <charset val="238"/>
    </font>
    <font>
      <sz val="14"/>
      <name val="Arial CE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Arial CE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Arial CE"/>
      <charset val="238"/>
    </font>
    <font>
      <b/>
      <sz val="16"/>
      <name val="Times New Roman CE"/>
      <family val="1"/>
      <charset val="238"/>
    </font>
    <font>
      <b/>
      <sz val="16"/>
      <name val="Times New Roman CE"/>
      <charset val="238"/>
    </font>
    <font>
      <sz val="16"/>
      <name val="Arial CE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14"/>
      <name val="Times New Roman CE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1"/>
      <name val="Times New Roman CE"/>
      <charset val="238"/>
    </font>
    <font>
      <b/>
      <sz val="16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10"/>
      <name val="Arial CE"/>
      <charset val="238"/>
    </font>
    <font>
      <sz val="10"/>
      <color rgb="FFFF0000"/>
      <name val="Arial CE"/>
      <charset val="238"/>
    </font>
    <font>
      <i/>
      <sz val="10"/>
      <name val="Arial CE"/>
      <charset val="238"/>
    </font>
    <font>
      <b/>
      <sz val="12"/>
      <color theme="0"/>
      <name val="Arial CE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6"/>
      <name val="Arial CE"/>
      <charset val="238"/>
    </font>
  </fonts>
  <fills count="16">
    <fill>
      <patternFill patternType="none"/>
    </fill>
    <fill>
      <patternFill patternType="gray125"/>
    </fill>
    <fill>
      <patternFill patternType="gray0625"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Horizontal"/>
    </fill>
    <fill>
      <patternFill patternType="lightHorizontal">
        <bgColor theme="9" tint="0.599963377788628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23" fillId="0" borderId="0"/>
    <xf numFmtId="0" fontId="4" fillId="0" borderId="0"/>
  </cellStyleXfs>
  <cellXfs count="1057">
    <xf numFmtId="0" fontId="0" fillId="0" borderId="0" xfId="0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9" xfId="2" applyFont="1" applyBorder="1" applyAlignment="1">
      <alignment vertical="center"/>
    </xf>
    <xf numFmtId="0" fontId="12" fillId="0" borderId="10" xfId="2" applyFont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0" fontId="13" fillId="2" borderId="12" xfId="2" applyFont="1" applyFill="1" applyBorder="1" applyAlignment="1">
      <alignment horizontal="center" vertical="center" wrapText="1"/>
    </xf>
    <xf numFmtId="0" fontId="13" fillId="2" borderId="13" xfId="2" applyFont="1" applyFill="1" applyBorder="1" applyAlignment="1">
      <alignment horizontal="center" vertical="center" wrapText="1"/>
    </xf>
    <xf numFmtId="164" fontId="6" fillId="0" borderId="14" xfId="2" applyNumberFormat="1" applyFont="1" applyBorder="1" applyAlignment="1">
      <alignment horizontal="center" vertical="center"/>
    </xf>
    <xf numFmtId="164" fontId="6" fillId="0" borderId="5" xfId="3" applyNumberFormat="1" applyFont="1" applyFill="1" applyBorder="1" applyAlignment="1">
      <alignment horizontal="center"/>
    </xf>
    <xf numFmtId="166" fontId="7" fillId="0" borderId="6" xfId="1" applyNumberFormat="1" applyFont="1" applyBorder="1" applyAlignment="1">
      <alignment vertical="center"/>
    </xf>
    <xf numFmtId="166" fontId="6" fillId="0" borderId="6" xfId="1" applyNumberFormat="1" applyFont="1" applyBorder="1" applyAlignment="1">
      <alignment horizontal="center" vertical="center"/>
    </xf>
    <xf numFmtId="166" fontId="7" fillId="0" borderId="15" xfId="1" applyNumberFormat="1" applyFont="1" applyBorder="1" applyAlignment="1">
      <alignment vertical="center"/>
    </xf>
    <xf numFmtId="164" fontId="6" fillId="0" borderId="16" xfId="2" applyNumberFormat="1" applyFont="1" applyBorder="1" applyAlignment="1">
      <alignment horizontal="center" vertical="center"/>
    </xf>
    <xf numFmtId="164" fontId="6" fillId="0" borderId="5" xfId="2" applyNumberFormat="1" applyFont="1" applyBorder="1" applyAlignment="1">
      <alignment horizontal="center" vertical="center"/>
    </xf>
    <xf numFmtId="164" fontId="6" fillId="0" borderId="15" xfId="2" applyNumberFormat="1" applyFont="1" applyBorder="1" applyAlignment="1">
      <alignment horizontal="center" vertical="center"/>
    </xf>
    <xf numFmtId="164" fontId="6" fillId="0" borderId="5" xfId="3" applyNumberFormat="1" applyFont="1" applyBorder="1" applyAlignment="1">
      <alignment horizontal="center"/>
    </xf>
    <xf numFmtId="0" fontId="8" fillId="0" borderId="4" xfId="2" applyFont="1" applyBorder="1" applyAlignment="1">
      <alignment horizontal="center" vertical="center"/>
    </xf>
    <xf numFmtId="164" fontId="8" fillId="3" borderId="5" xfId="2" applyNumberFormat="1" applyFont="1" applyFill="1" applyBorder="1" applyAlignment="1">
      <alignment horizontal="center" vertical="center"/>
    </xf>
    <xf numFmtId="164" fontId="8" fillId="3" borderId="15" xfId="2" applyNumberFormat="1" applyFont="1" applyFill="1" applyBorder="1" applyAlignment="1">
      <alignment horizontal="center" vertical="center"/>
    </xf>
    <xf numFmtId="0" fontId="15" fillId="0" borderId="0" xfId="0" applyFont="1"/>
    <xf numFmtId="164" fontId="8" fillId="3" borderId="5" xfId="3" applyNumberFormat="1" applyFont="1" applyFill="1" applyBorder="1" applyAlignment="1">
      <alignment horizontal="center"/>
    </xf>
    <xf numFmtId="166" fontId="16" fillId="3" borderId="6" xfId="1" applyNumberFormat="1" applyFont="1" applyFill="1" applyBorder="1" applyAlignment="1">
      <alignment vertical="center"/>
    </xf>
    <xf numFmtId="164" fontId="6" fillId="0" borderId="14" xfId="3" applyNumberFormat="1" applyFont="1" applyBorder="1" applyAlignment="1">
      <alignment horizontal="center"/>
    </xf>
    <xf numFmtId="164" fontId="8" fillId="0" borderId="5" xfId="3" applyNumberFormat="1" applyFont="1" applyBorder="1" applyAlignment="1">
      <alignment horizontal="center"/>
    </xf>
    <xf numFmtId="164" fontId="8" fillId="0" borderId="14" xfId="3" applyNumberFormat="1" applyFont="1" applyBorder="1" applyAlignment="1">
      <alignment horizontal="center"/>
    </xf>
    <xf numFmtId="164" fontId="6" fillId="4" borderId="18" xfId="3" applyNumberFormat="1" applyFont="1" applyFill="1" applyBorder="1" applyAlignment="1">
      <alignment horizontal="center"/>
    </xf>
    <xf numFmtId="0" fontId="5" fillId="0" borderId="4" xfId="2" applyFont="1" applyBorder="1" applyAlignment="1">
      <alignment horizontal="center" vertical="center"/>
    </xf>
    <xf numFmtId="164" fontId="5" fillId="5" borderId="16" xfId="3" applyNumberFormat="1" applyFont="1" applyFill="1" applyBorder="1" applyAlignment="1">
      <alignment horizontal="center"/>
    </xf>
    <xf numFmtId="164" fontId="5" fillId="5" borderId="5" xfId="3" applyNumberFormat="1" applyFont="1" applyFill="1" applyBorder="1" applyAlignment="1">
      <alignment horizontal="center"/>
    </xf>
    <xf numFmtId="164" fontId="5" fillId="5" borderId="15" xfId="3" applyNumberFormat="1" applyFont="1" applyFill="1" applyBorder="1" applyAlignment="1">
      <alignment horizontal="center"/>
    </xf>
    <xf numFmtId="0" fontId="6" fillId="6" borderId="4" xfId="2" applyFont="1" applyFill="1" applyBorder="1" applyAlignment="1">
      <alignment horizontal="center" vertical="center"/>
    </xf>
    <xf numFmtId="164" fontId="6" fillId="7" borderId="16" xfId="3" applyNumberFormat="1" applyFont="1" applyFill="1" applyBorder="1" applyAlignment="1">
      <alignment horizontal="center"/>
    </xf>
    <xf numFmtId="164" fontId="6" fillId="7" borderId="5" xfId="3" applyNumberFormat="1" applyFont="1" applyFill="1" applyBorder="1" applyAlignment="1">
      <alignment horizontal="center"/>
    </xf>
    <xf numFmtId="164" fontId="6" fillId="7" borderId="14" xfId="3" applyNumberFormat="1" applyFont="1" applyFill="1" applyBorder="1" applyAlignment="1">
      <alignment horizontal="center"/>
    </xf>
    <xf numFmtId="164" fontId="6" fillId="7" borderId="6" xfId="3" applyNumberFormat="1" applyFont="1" applyFill="1" applyBorder="1" applyAlignment="1">
      <alignment horizontal="center"/>
    </xf>
    <xf numFmtId="164" fontId="6" fillId="5" borderId="5" xfId="3" applyNumberFormat="1" applyFont="1" applyFill="1" applyBorder="1" applyAlignment="1">
      <alignment horizontal="center"/>
    </xf>
    <xf numFmtId="164" fontId="6" fillId="5" borderId="12" xfId="3" applyNumberFormat="1" applyFont="1" applyFill="1" applyBorder="1" applyAlignment="1">
      <alignment horizontal="center"/>
    </xf>
    <xf numFmtId="166" fontId="7" fillId="5" borderId="6" xfId="1" applyNumberFormat="1" applyFont="1" applyFill="1" applyBorder="1" applyAlignment="1">
      <alignment vertical="center"/>
    </xf>
    <xf numFmtId="3" fontId="6" fillId="0" borderId="5" xfId="2" applyNumberFormat="1" applyFont="1" applyBorder="1" applyAlignment="1">
      <alignment horizontal="center" vertical="center"/>
    </xf>
    <xf numFmtId="3" fontId="6" fillId="0" borderId="14" xfId="3" applyNumberFormat="1" applyFont="1" applyBorder="1" applyAlignment="1">
      <alignment horizontal="center"/>
    </xf>
    <xf numFmtId="3" fontId="7" fillId="0" borderId="6" xfId="1" applyNumberFormat="1" applyFont="1" applyBorder="1" applyAlignment="1">
      <alignment vertical="center"/>
    </xf>
    <xf numFmtId="49" fontId="6" fillId="0" borderId="5" xfId="0" applyNumberFormat="1" applyFont="1" applyBorder="1" applyAlignment="1">
      <alignment horizontal="center"/>
    </xf>
    <xf numFmtId="0" fontId="6" fillId="0" borderId="5" xfId="0" applyFont="1" applyBorder="1"/>
    <xf numFmtId="3" fontId="6" fillId="0" borderId="5" xfId="3" applyNumberFormat="1" applyFont="1" applyBorder="1" applyAlignment="1">
      <alignment horizontal="center"/>
    </xf>
    <xf numFmtId="3" fontId="6" fillId="0" borderId="5" xfId="3" applyNumberFormat="1" applyFont="1" applyFill="1" applyBorder="1" applyAlignment="1">
      <alignment horizontal="center"/>
    </xf>
    <xf numFmtId="49" fontId="6" fillId="0" borderId="5" xfId="2" applyNumberFormat="1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6" fillId="0" borderId="5" xfId="2" applyFont="1" applyFill="1" applyBorder="1" applyAlignment="1">
      <alignment horizontal="left"/>
    </xf>
    <xf numFmtId="3" fontId="8" fillId="3" borderId="5" xfId="3" applyNumberFormat="1" applyFont="1" applyFill="1" applyBorder="1" applyAlignment="1">
      <alignment horizontal="center"/>
    </xf>
    <xf numFmtId="3" fontId="8" fillId="3" borderId="15" xfId="3" applyNumberFormat="1" applyFont="1" applyFill="1" applyBorder="1" applyAlignment="1">
      <alignment horizontal="center"/>
    </xf>
    <xf numFmtId="3" fontId="8" fillId="0" borderId="5" xfId="3" applyNumberFormat="1" applyFont="1" applyBorder="1" applyAlignment="1">
      <alignment horizontal="center"/>
    </xf>
    <xf numFmtId="3" fontId="8" fillId="0" borderId="5" xfId="3" applyNumberFormat="1" applyFont="1" applyFill="1" applyBorder="1" applyAlignment="1">
      <alignment horizontal="center"/>
    </xf>
    <xf numFmtId="3" fontId="16" fillId="0" borderId="15" xfId="1" applyNumberFormat="1" applyFont="1" applyBorder="1" applyAlignment="1">
      <alignment vertical="center"/>
    </xf>
    <xf numFmtId="3" fontId="5" fillId="5" borderId="5" xfId="3" applyNumberFormat="1" applyFont="1" applyFill="1" applyBorder="1" applyAlignment="1">
      <alignment horizontal="center"/>
    </xf>
    <xf numFmtId="3" fontId="5" fillId="5" borderId="17" xfId="3" applyNumberFormat="1" applyFont="1" applyFill="1" applyBorder="1" applyAlignment="1">
      <alignment horizontal="center"/>
    </xf>
    <xf numFmtId="3" fontId="5" fillId="5" borderId="15" xfId="3" applyNumberFormat="1" applyFont="1" applyFill="1" applyBorder="1" applyAlignment="1">
      <alignment horizontal="center"/>
    </xf>
    <xf numFmtId="164" fontId="5" fillId="0" borderId="5" xfId="3" applyNumberFormat="1" applyFont="1" applyBorder="1" applyAlignment="1">
      <alignment horizontal="center"/>
    </xf>
    <xf numFmtId="164" fontId="5" fillId="0" borderId="15" xfId="3" applyNumberFormat="1" applyFont="1" applyBorder="1" applyAlignment="1">
      <alignment horizontal="center"/>
    </xf>
    <xf numFmtId="49" fontId="6" fillId="0" borderId="5" xfId="2" applyNumberFormat="1" applyFont="1" applyBorder="1" applyAlignment="1">
      <alignment horizontal="right"/>
    </xf>
    <xf numFmtId="166" fontId="19" fillId="0" borderId="15" xfId="1" applyNumberFormat="1" applyFont="1" applyBorder="1" applyAlignment="1">
      <alignment vertical="center"/>
    </xf>
    <xf numFmtId="164" fontId="5" fillId="0" borderId="17" xfId="3" applyNumberFormat="1" applyFont="1" applyBorder="1" applyAlignment="1">
      <alignment horizontal="center"/>
    </xf>
    <xf numFmtId="164" fontId="5" fillId="0" borderId="14" xfId="3" applyNumberFormat="1" applyFont="1" applyBorder="1" applyAlignment="1">
      <alignment horizontal="center"/>
    </xf>
    <xf numFmtId="164" fontId="5" fillId="0" borderId="5" xfId="3" applyNumberFormat="1" applyFont="1" applyFill="1" applyBorder="1" applyAlignment="1">
      <alignment horizontal="center"/>
    </xf>
    <xf numFmtId="166" fontId="19" fillId="0" borderId="6" xfId="1" applyNumberFormat="1" applyFont="1" applyBorder="1" applyAlignment="1">
      <alignment vertical="center"/>
    </xf>
    <xf numFmtId="164" fontId="10" fillId="0" borderId="5" xfId="3" applyNumberFormat="1" applyFont="1" applyBorder="1" applyAlignment="1">
      <alignment horizontal="center"/>
    </xf>
    <xf numFmtId="164" fontId="10" fillId="0" borderId="14" xfId="3" applyNumberFormat="1" applyFont="1" applyBorder="1" applyAlignment="1">
      <alignment horizontal="center"/>
    </xf>
    <xf numFmtId="164" fontId="10" fillId="0" borderId="5" xfId="3" applyNumberFormat="1" applyFont="1" applyFill="1" applyBorder="1" applyAlignment="1">
      <alignment horizontal="center"/>
    </xf>
    <xf numFmtId="164" fontId="10" fillId="0" borderId="14" xfId="3" applyNumberFormat="1" applyFont="1" applyFill="1" applyBorder="1" applyAlignment="1">
      <alignment horizontal="center"/>
    </xf>
    <xf numFmtId="0" fontId="5" fillId="8" borderId="4" xfId="2" applyFont="1" applyFill="1" applyBorder="1" applyAlignment="1">
      <alignment horizontal="center" vertical="center"/>
    </xf>
    <xf numFmtId="164" fontId="5" fillId="8" borderId="5" xfId="2" applyNumberFormat="1" applyFont="1" applyFill="1" applyBorder="1" applyAlignment="1">
      <alignment horizontal="center"/>
    </xf>
    <xf numFmtId="164" fontId="5" fillId="8" borderId="15" xfId="2" applyNumberFormat="1" applyFont="1" applyFill="1" applyBorder="1" applyAlignment="1">
      <alignment horizontal="center"/>
    </xf>
    <xf numFmtId="0" fontId="5" fillId="8" borderId="7" xfId="2" applyFont="1" applyFill="1" applyBorder="1" applyAlignment="1">
      <alignment horizontal="center" vertical="center"/>
    </xf>
    <xf numFmtId="0" fontId="5" fillId="8" borderId="8" xfId="2" applyFont="1" applyFill="1" applyBorder="1" applyAlignment="1">
      <alignment vertical="center"/>
    </xf>
    <xf numFmtId="164" fontId="5" fillId="8" borderId="8" xfId="2" applyNumberFormat="1" applyFont="1" applyFill="1" applyBorder="1" applyAlignment="1">
      <alignment horizontal="center"/>
    </xf>
    <xf numFmtId="164" fontId="5" fillId="8" borderId="9" xfId="2" applyNumberFormat="1" applyFont="1" applyFill="1" applyBorder="1" applyAlignment="1">
      <alignment horizont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164" fontId="6" fillId="0" borderId="0" xfId="2" applyNumberFormat="1" applyFont="1" applyAlignment="1">
      <alignment horizontal="center" vertical="center" wrapText="1"/>
    </xf>
    <xf numFmtId="0" fontId="0" fillId="0" borderId="0" xfId="0" applyBorder="1"/>
    <xf numFmtId="0" fontId="8" fillId="0" borderId="0" xfId="2" applyFont="1" applyBorder="1" applyAlignment="1">
      <alignment horizontal="right"/>
    </xf>
    <xf numFmtId="0" fontId="0" fillId="0" borderId="1" xfId="0" applyBorder="1"/>
    <xf numFmtId="0" fontId="12" fillId="0" borderId="2" xfId="2" applyFont="1" applyBorder="1" applyAlignment="1">
      <alignment horizontal="center" vertical="center" wrapText="1"/>
    </xf>
    <xf numFmtId="0" fontId="0" fillId="0" borderId="4" xfId="0" applyBorder="1"/>
    <xf numFmtId="0" fontId="12" fillId="0" borderId="5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0" fillId="6" borderId="4" xfId="0" applyFill="1" applyBorder="1"/>
    <xf numFmtId="164" fontId="6" fillId="6" borderId="5" xfId="3" applyNumberFormat="1" applyFont="1" applyFill="1" applyBorder="1" applyAlignment="1">
      <alignment horizontal="center"/>
    </xf>
    <xf numFmtId="0" fontId="0" fillId="6" borderId="21" xfId="0" applyFill="1" applyBorder="1"/>
    <xf numFmtId="164" fontId="6" fillId="6" borderId="22" xfId="3" applyNumberFormat="1" applyFont="1" applyFill="1" applyBorder="1" applyAlignment="1">
      <alignment horizontal="center"/>
    </xf>
    <xf numFmtId="0" fontId="6" fillId="0" borderId="22" xfId="2" applyFont="1" applyBorder="1" applyAlignment="1">
      <alignment horizontal="center" vertical="center"/>
    </xf>
    <xf numFmtId="0" fontId="0" fillId="6" borderId="24" xfId="0" applyFill="1" applyBorder="1"/>
    <xf numFmtId="0" fontId="6" fillId="6" borderId="20" xfId="2" applyFont="1" applyFill="1" applyBorder="1" applyAlignment="1">
      <alignment horizontal="left"/>
    </xf>
    <xf numFmtId="164" fontId="6" fillId="6" borderId="20" xfId="3" applyNumberFormat="1" applyFont="1" applyFill="1" applyBorder="1" applyAlignment="1">
      <alignment horizontal="center"/>
    </xf>
    <xf numFmtId="0" fontId="21" fillId="0" borderId="5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2" fillId="0" borderId="27" xfId="0" applyFont="1" applyBorder="1"/>
    <xf numFmtId="164" fontId="12" fillId="0" borderId="28" xfId="3" applyNumberFormat="1" applyFont="1" applyFill="1" applyBorder="1" applyAlignment="1">
      <alignment horizontal="center"/>
    </xf>
    <xf numFmtId="0" fontId="12" fillId="0" borderId="28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22" fillId="0" borderId="0" xfId="0" applyFont="1"/>
    <xf numFmtId="0" fontId="12" fillId="0" borderId="24" xfId="0" applyFont="1" applyBorder="1"/>
    <xf numFmtId="164" fontId="12" fillId="0" borderId="20" xfId="3" applyNumberFormat="1" applyFont="1" applyFill="1" applyBorder="1" applyAlignment="1">
      <alignment horizontal="center"/>
    </xf>
    <xf numFmtId="0" fontId="12" fillId="0" borderId="20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0" fillId="0" borderId="10" xfId="0" applyBorder="1"/>
    <xf numFmtId="164" fontId="6" fillId="0" borderId="11" xfId="3" applyNumberFormat="1" applyFont="1" applyFill="1" applyBorder="1" applyAlignment="1">
      <alignment horizontal="center"/>
    </xf>
    <xf numFmtId="0" fontId="6" fillId="0" borderId="11" xfId="2" applyFont="1" applyBorder="1" applyAlignment="1">
      <alignment horizontal="center" vertical="center"/>
    </xf>
    <xf numFmtId="0" fontId="0" fillId="0" borderId="21" xfId="0" applyBorder="1"/>
    <xf numFmtId="164" fontId="6" fillId="0" borderId="22" xfId="3" applyNumberFormat="1" applyFont="1" applyFill="1" applyBorder="1" applyAlignment="1">
      <alignment horizontal="center"/>
    </xf>
    <xf numFmtId="0" fontId="12" fillId="0" borderId="20" xfId="2" applyFont="1" applyBorder="1" applyAlignment="1">
      <alignment horizontal="left" vertical="center" wrapText="1"/>
    </xf>
    <xf numFmtId="0" fontId="8" fillId="6" borderId="5" xfId="2" applyFont="1" applyFill="1" applyBorder="1" applyAlignment="1">
      <alignment horizontal="center" vertical="center"/>
    </xf>
    <xf numFmtId="0" fontId="6" fillId="6" borderId="5" xfId="2" applyFont="1" applyFill="1" applyBorder="1" applyAlignment="1">
      <alignment horizontal="center" vertical="center"/>
    </xf>
    <xf numFmtId="0" fontId="22" fillId="0" borderId="4" xfId="0" applyFont="1" applyBorder="1"/>
    <xf numFmtId="164" fontId="12" fillId="0" borderId="5" xfId="3" applyNumberFormat="1" applyFont="1" applyFill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164" fontId="6" fillId="6" borderId="6" xfId="3" applyNumberFormat="1" applyFont="1" applyFill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0" fillId="0" borderId="7" xfId="0" applyBorder="1"/>
    <xf numFmtId="164" fontId="5" fillId="0" borderId="8" xfId="2" applyNumberFormat="1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/>
    </xf>
    <xf numFmtId="164" fontId="6" fillId="0" borderId="0" xfId="2" applyNumberFormat="1" applyFont="1" applyBorder="1" applyAlignment="1">
      <alignment horizontal="center" vertical="center"/>
    </xf>
    <xf numFmtId="164" fontId="5" fillId="0" borderId="0" xfId="3" applyNumberFormat="1" applyFont="1" applyFill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164" fontId="5" fillId="0" borderId="0" xfId="2" applyNumberFormat="1" applyFont="1" applyBorder="1" applyAlignment="1">
      <alignment horizontal="center"/>
    </xf>
    <xf numFmtId="0" fontId="6" fillId="0" borderId="5" xfId="2" applyFont="1" applyBorder="1" applyAlignment="1">
      <alignment horizontal="left" vertical="center"/>
    </xf>
    <xf numFmtId="0" fontId="6" fillId="0" borderId="0" xfId="2" applyFont="1" applyBorder="1" applyAlignment="1">
      <alignment horizontal="left"/>
    </xf>
    <xf numFmtId="167" fontId="23" fillId="0" borderId="0" xfId="4" applyNumberFormat="1" applyFill="1" applyAlignment="1">
      <alignment vertical="center" wrapText="1"/>
    </xf>
    <xf numFmtId="166" fontId="0" fillId="0" borderId="0" xfId="1" applyNumberFormat="1" applyFont="1"/>
    <xf numFmtId="167" fontId="4" fillId="0" borderId="0" xfId="4" applyNumberFormat="1" applyFont="1" applyFill="1" applyAlignment="1">
      <alignment horizontal="right" wrapText="1"/>
    </xf>
    <xf numFmtId="167" fontId="25" fillId="0" borderId="27" xfId="4" applyNumberFormat="1" applyFont="1" applyFill="1" applyBorder="1" applyAlignment="1">
      <alignment horizontal="center" vertical="center" wrapText="1"/>
    </xf>
    <xf numFmtId="167" fontId="25" fillId="0" borderId="28" xfId="4" applyNumberFormat="1" applyFont="1" applyFill="1" applyBorder="1" applyAlignment="1">
      <alignment horizontal="center" vertical="center" wrapText="1"/>
    </xf>
    <xf numFmtId="167" fontId="25" fillId="0" borderId="29" xfId="4" applyNumberFormat="1" applyFont="1" applyFill="1" applyBorder="1" applyAlignment="1" applyProtection="1">
      <alignment horizontal="center" vertical="center" wrapText="1"/>
    </xf>
    <xf numFmtId="167" fontId="26" fillId="0" borderId="32" xfId="4" applyNumberFormat="1" applyFont="1" applyFill="1" applyBorder="1" applyAlignment="1" applyProtection="1">
      <alignment horizontal="center" vertical="center" wrapText="1"/>
    </xf>
    <xf numFmtId="167" fontId="26" fillId="0" borderId="33" xfId="4" applyNumberFormat="1" applyFont="1" applyFill="1" applyBorder="1" applyAlignment="1" applyProtection="1">
      <alignment horizontal="center" vertical="center" wrapText="1"/>
    </xf>
    <xf numFmtId="167" fontId="26" fillId="0" borderId="34" xfId="4" applyNumberFormat="1" applyFont="1" applyFill="1" applyBorder="1" applyAlignment="1" applyProtection="1">
      <alignment horizontal="center" vertical="center" wrapText="1"/>
    </xf>
    <xf numFmtId="167" fontId="24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7" fontId="24" fillId="0" borderId="5" xfId="4" applyNumberFormat="1" applyFont="1" applyFill="1" applyBorder="1" applyAlignment="1" applyProtection="1">
      <alignment vertical="center" wrapText="1"/>
      <protection locked="0"/>
    </xf>
    <xf numFmtId="167" fontId="27" fillId="0" borderId="6" xfId="4" applyNumberFormat="1" applyFont="1" applyFill="1" applyBorder="1" applyAlignment="1" applyProtection="1">
      <alignment vertical="center" wrapText="1"/>
    </xf>
    <xf numFmtId="166" fontId="14" fillId="0" borderId="0" xfId="1" applyNumberFormat="1" applyFont="1"/>
    <xf numFmtId="0" fontId="28" fillId="0" borderId="0" xfId="0" applyFont="1"/>
    <xf numFmtId="167" fontId="29" fillId="0" borderId="5" xfId="4" applyNumberFormat="1" applyFont="1" applyFill="1" applyBorder="1" applyAlignment="1" applyProtection="1">
      <alignment vertical="center" wrapText="1"/>
      <protection locked="0"/>
    </xf>
    <xf numFmtId="1" fontId="29" fillId="0" borderId="5" xfId="4" applyNumberFormat="1" applyFont="1" applyFill="1" applyBorder="1" applyAlignment="1" applyProtection="1">
      <alignment vertical="center" wrapText="1"/>
      <protection locked="0"/>
    </xf>
    <xf numFmtId="167" fontId="30" fillId="0" borderId="6" xfId="4" applyNumberFormat="1" applyFont="1" applyFill="1" applyBorder="1" applyAlignment="1" applyProtection="1">
      <alignment vertical="center" wrapText="1"/>
    </xf>
    <xf numFmtId="166" fontId="0" fillId="0" borderId="0" xfId="0" applyNumberFormat="1"/>
    <xf numFmtId="167" fontId="29" fillId="0" borderId="22" xfId="4" applyNumberFormat="1" applyFont="1" applyFill="1" applyBorder="1" applyAlignment="1" applyProtection="1">
      <alignment vertical="center" wrapText="1"/>
      <protection locked="0"/>
    </xf>
    <xf numFmtId="1" fontId="29" fillId="0" borderId="22" xfId="4" applyNumberFormat="1" applyFont="1" applyFill="1" applyBorder="1" applyAlignment="1" applyProtection="1">
      <alignment vertical="center" wrapText="1"/>
      <protection locked="0"/>
    </xf>
    <xf numFmtId="167" fontId="30" fillId="0" borderId="23" xfId="4" applyNumberFormat="1" applyFont="1" applyFill="1" applyBorder="1" applyAlignment="1" applyProtection="1">
      <alignment vertical="center" wrapText="1"/>
    </xf>
    <xf numFmtId="167" fontId="24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7" fontId="24" fillId="0" borderId="27" xfId="4" applyNumberFormat="1" applyFont="1" applyFill="1" applyBorder="1" applyAlignment="1" applyProtection="1">
      <alignment vertical="center" wrapText="1"/>
      <protection locked="0"/>
    </xf>
    <xf numFmtId="167" fontId="30" fillId="0" borderId="29" xfId="4" applyNumberFormat="1" applyFont="1" applyFill="1" applyBorder="1" applyAlignment="1" applyProtection="1">
      <alignment vertical="center" wrapText="1"/>
    </xf>
    <xf numFmtId="166" fontId="31" fillId="0" borderId="0" xfId="1" applyNumberFormat="1" applyFont="1"/>
    <xf numFmtId="0" fontId="0" fillId="0" borderId="37" xfId="0" applyFont="1" applyBorder="1" applyAlignment="1"/>
    <xf numFmtId="3" fontId="0" fillId="0" borderId="38" xfId="0" applyNumberFormat="1" applyFont="1" applyBorder="1"/>
    <xf numFmtId="0" fontId="0" fillId="0" borderId="33" xfId="0" applyFont="1" applyBorder="1" applyAlignment="1"/>
    <xf numFmtId="167" fontId="30" fillId="0" borderId="13" xfId="4" applyNumberFormat="1" applyFont="1" applyFill="1" applyBorder="1" applyAlignment="1" applyProtection="1">
      <alignment vertical="center" wrapText="1"/>
    </xf>
    <xf numFmtId="3" fontId="0" fillId="0" borderId="35" xfId="0" applyNumberFormat="1" applyFont="1" applyBorder="1"/>
    <xf numFmtId="0" fontId="0" fillId="0" borderId="36" xfId="0" applyFont="1" applyBorder="1" applyAlignment="1"/>
    <xf numFmtId="0" fontId="0" fillId="0" borderId="28" xfId="0" applyFont="1" applyBorder="1" applyAlignment="1"/>
    <xf numFmtId="0" fontId="0" fillId="0" borderId="39" xfId="0" applyFont="1" applyBorder="1" applyAlignment="1"/>
    <xf numFmtId="3" fontId="0" fillId="0" borderId="40" xfId="0" applyNumberFormat="1" applyFont="1" applyBorder="1"/>
    <xf numFmtId="0" fontId="0" fillId="0" borderId="41" xfId="0" applyFont="1" applyBorder="1" applyAlignment="1"/>
    <xf numFmtId="0" fontId="0" fillId="0" borderId="19" xfId="0" applyFont="1" applyBorder="1" applyAlignment="1"/>
    <xf numFmtId="167" fontId="24" fillId="0" borderId="37" xfId="4" applyNumberFormat="1" applyFont="1" applyFill="1" applyBorder="1" applyAlignment="1" applyProtection="1">
      <alignment horizontal="left" vertical="center" wrapText="1" indent="1"/>
      <protection locked="0"/>
    </xf>
    <xf numFmtId="166" fontId="19" fillId="0" borderId="35" xfId="1" applyNumberFormat="1" applyFont="1" applyFill="1" applyBorder="1" applyAlignment="1" applyProtection="1">
      <alignment vertical="center" wrapText="1"/>
      <protection locked="0"/>
    </xf>
    <xf numFmtId="0" fontId="0" fillId="0" borderId="42" xfId="0" applyFont="1" applyBorder="1" applyAlignment="1"/>
    <xf numFmtId="0" fontId="0" fillId="0" borderId="38" xfId="0" applyFont="1" applyBorder="1" applyAlignment="1"/>
    <xf numFmtId="0" fontId="0" fillId="0" borderId="43" xfId="0" applyFont="1" applyBorder="1" applyAlignment="1"/>
    <xf numFmtId="0" fontId="0" fillId="0" borderId="35" xfId="0" applyFont="1" applyBorder="1" applyAlignment="1"/>
    <xf numFmtId="0" fontId="0" fillId="0" borderId="44" xfId="0" applyFont="1" applyBorder="1" applyAlignment="1"/>
    <xf numFmtId="0" fontId="0" fillId="0" borderId="40" xfId="0" applyFont="1" applyBorder="1" applyAlignment="1"/>
    <xf numFmtId="43" fontId="0" fillId="0" borderId="0" xfId="1" applyNumberFormat="1" applyFont="1"/>
    <xf numFmtId="166" fontId="14" fillId="0" borderId="35" xfId="1" applyNumberFormat="1" applyFont="1" applyBorder="1"/>
    <xf numFmtId="166" fontId="29" fillId="0" borderId="11" xfId="1" applyNumberFormat="1" applyFont="1" applyFill="1" applyBorder="1" applyAlignment="1" applyProtection="1">
      <alignment vertical="center" wrapText="1"/>
      <protection locked="0"/>
    </xf>
    <xf numFmtId="1" fontId="29" fillId="0" borderId="14" xfId="4" applyNumberFormat="1" applyFont="1" applyFill="1" applyBorder="1" applyAlignment="1" applyProtection="1">
      <alignment horizontal="right" vertical="center" wrapText="1"/>
      <protection locked="0"/>
    </xf>
    <xf numFmtId="166" fontId="29" fillId="0" borderId="47" xfId="1" applyNumberFormat="1" applyFont="1" applyFill="1" applyBorder="1" applyAlignment="1" applyProtection="1">
      <alignment vertical="center" wrapText="1"/>
      <protection locked="0"/>
    </xf>
    <xf numFmtId="167" fontId="34" fillId="0" borderId="37" xfId="4" applyNumberFormat="1" applyFont="1" applyFill="1" applyBorder="1" applyAlignment="1" applyProtection="1">
      <alignment horizontal="left" vertical="center" wrapText="1" indent="1"/>
      <protection locked="0"/>
    </xf>
    <xf numFmtId="166" fontId="31" fillId="0" borderId="28" xfId="1" applyNumberFormat="1" applyFont="1" applyBorder="1"/>
    <xf numFmtId="166" fontId="35" fillId="0" borderId="0" xfId="1" applyNumberFormat="1" applyFont="1"/>
    <xf numFmtId="0" fontId="35" fillId="0" borderId="0" xfId="0" applyFont="1"/>
    <xf numFmtId="166" fontId="35" fillId="0" borderId="0" xfId="0" applyNumberFormat="1" applyFont="1"/>
    <xf numFmtId="166" fontId="38" fillId="0" borderId="0" xfId="1" applyNumberFormat="1" applyFont="1"/>
    <xf numFmtId="0" fontId="38" fillId="0" borderId="0" xfId="0" applyFont="1"/>
    <xf numFmtId="166" fontId="38" fillId="0" borderId="0" xfId="0" applyNumberFormat="1" applyFont="1"/>
    <xf numFmtId="167" fontId="23" fillId="0" borderId="0" xfId="4" applyNumberFormat="1" applyFill="1" applyAlignment="1">
      <alignment horizontal="center" vertical="center" wrapText="1"/>
    </xf>
    <xf numFmtId="167" fontId="23" fillId="0" borderId="0" xfId="4" applyNumberFormat="1" applyFont="1" applyFill="1" applyAlignment="1">
      <alignment vertical="center" wrapText="1"/>
    </xf>
    <xf numFmtId="167" fontId="32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7" fontId="23" fillId="0" borderId="0" xfId="4" applyNumberFormat="1" applyFont="1" applyFill="1" applyBorder="1" applyAlignment="1">
      <alignment vertical="center" wrapText="1"/>
    </xf>
    <xf numFmtId="0" fontId="23" fillId="0" borderId="0" xfId="4" applyNumberFormat="1" applyFont="1" applyFill="1" applyBorder="1" applyAlignment="1">
      <alignment horizontal="center" vertical="center" wrapText="1"/>
    </xf>
    <xf numFmtId="0" fontId="23" fillId="0" borderId="0" xfId="4" applyNumberFormat="1" applyFill="1" applyAlignment="1">
      <alignment horizontal="center" vertical="center" wrapText="1"/>
    </xf>
    <xf numFmtId="167" fontId="23" fillId="0" borderId="0" xfId="4" applyNumberFormat="1" applyFill="1" applyBorder="1" applyAlignment="1">
      <alignment vertical="center" wrapText="1"/>
    </xf>
    <xf numFmtId="0" fontId="23" fillId="0" borderId="0" xfId="4" applyNumberFormat="1" applyFill="1" applyBorder="1" applyAlignment="1">
      <alignment horizontal="center" vertical="center" wrapText="1"/>
    </xf>
    <xf numFmtId="167" fontId="33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7" fontId="23" fillId="0" borderId="0" xfId="4" applyNumberFormat="1" applyFill="1" applyBorder="1" applyAlignment="1">
      <alignment horizontal="center" vertical="center" wrapText="1"/>
    </xf>
    <xf numFmtId="0" fontId="23" fillId="0" borderId="0" xfId="4" applyNumberFormat="1" applyFill="1" applyBorder="1" applyAlignment="1">
      <alignment vertical="center" wrapText="1"/>
    </xf>
    <xf numFmtId="0" fontId="40" fillId="0" borderId="0" xfId="0" applyFont="1" applyAlignment="1"/>
    <xf numFmtId="166" fontId="39" fillId="0" borderId="0" xfId="1" applyNumberFormat="1" applyFont="1" applyAlignment="1">
      <alignment horizontal="center"/>
    </xf>
    <xf numFmtId="0" fontId="40" fillId="0" borderId="0" xfId="0" applyFont="1"/>
    <xf numFmtId="166" fontId="39" fillId="0" borderId="0" xfId="1" applyNumberFormat="1" applyFont="1" applyAlignment="1">
      <alignment horizontal="center" vertical="center"/>
    </xf>
    <xf numFmtId="166" fontId="40" fillId="0" borderId="0" xfId="1" applyNumberFormat="1" applyFont="1"/>
    <xf numFmtId="0" fontId="40" fillId="0" borderId="0" xfId="0" applyFont="1" applyAlignment="1">
      <alignment horizontal="left"/>
    </xf>
    <xf numFmtId="166" fontId="40" fillId="0" borderId="5" xfId="1" quotePrefix="1" applyNumberFormat="1" applyFont="1" applyFill="1" applyBorder="1" applyAlignment="1">
      <alignment horizontal="center" vertical="center"/>
    </xf>
    <xf numFmtId="166" fontId="41" fillId="0" borderId="5" xfId="1" quotePrefix="1" applyNumberFormat="1" applyFont="1" applyFill="1" applyBorder="1" applyAlignment="1">
      <alignment horizontal="center" vertical="center"/>
    </xf>
    <xf numFmtId="166" fontId="41" fillId="0" borderId="22" xfId="1" quotePrefix="1" applyNumberFormat="1" applyFont="1" applyFill="1" applyBorder="1" applyAlignment="1">
      <alignment horizontal="center" vertical="center"/>
    </xf>
    <xf numFmtId="168" fontId="40" fillId="0" borderId="0" xfId="0" applyNumberFormat="1" applyFont="1"/>
    <xf numFmtId="0" fontId="21" fillId="0" borderId="0" xfId="0" applyFont="1"/>
    <xf numFmtId="0" fontId="6" fillId="0" borderId="0" xfId="0" applyFont="1" applyBorder="1"/>
    <xf numFmtId="166" fontId="6" fillId="0" borderId="0" xfId="1" applyNumberFormat="1" applyFont="1" applyBorder="1"/>
    <xf numFmtId="166" fontId="21" fillId="0" borderId="0" xfId="1" applyNumberFormat="1" applyFont="1"/>
    <xf numFmtId="0" fontId="6" fillId="0" borderId="0" xfId="0" applyFont="1" applyAlignment="1">
      <alignment horizontal="left" vertical="center" wrapText="1"/>
    </xf>
    <xf numFmtId="0" fontId="6" fillId="0" borderId="27" xfId="0" applyFont="1" applyBorder="1"/>
    <xf numFmtId="166" fontId="6" fillId="0" borderId="28" xfId="1" applyNumberFormat="1" applyFont="1" applyBorder="1" applyAlignment="1">
      <alignment horizontal="center"/>
    </xf>
    <xf numFmtId="166" fontId="6" fillId="0" borderId="29" xfId="1" applyNumberFormat="1" applyFont="1" applyBorder="1" applyAlignment="1">
      <alignment horizontal="center"/>
    </xf>
    <xf numFmtId="0" fontId="6" fillId="0" borderId="10" xfId="0" applyFont="1" applyBorder="1"/>
    <xf numFmtId="166" fontId="6" fillId="0" borderId="11" xfId="1" applyNumberFormat="1" applyFont="1" applyBorder="1"/>
    <xf numFmtId="166" fontId="6" fillId="0" borderId="13" xfId="1" applyNumberFormat="1" applyFont="1" applyBorder="1"/>
    <xf numFmtId="0" fontId="42" fillId="0" borderId="4" xfId="0" applyFont="1" applyBorder="1" applyAlignment="1">
      <alignment horizontal="right"/>
    </xf>
    <xf numFmtId="166" fontId="6" fillId="0" borderId="5" xfId="1" applyNumberFormat="1" applyFont="1" applyBorder="1"/>
    <xf numFmtId="0" fontId="6" fillId="0" borderId="4" xfId="0" applyFont="1" applyBorder="1"/>
    <xf numFmtId="0" fontId="6" fillId="0" borderId="21" xfId="0" applyFont="1" applyBorder="1"/>
    <xf numFmtId="166" fontId="6" fillId="0" borderId="22" xfId="1" applyNumberFormat="1" applyFont="1" applyBorder="1"/>
    <xf numFmtId="166" fontId="6" fillId="0" borderId="26" xfId="1" applyNumberFormat="1" applyFont="1" applyBorder="1"/>
    <xf numFmtId="166" fontId="6" fillId="0" borderId="28" xfId="1" applyNumberFormat="1" applyFont="1" applyBorder="1"/>
    <xf numFmtId="166" fontId="6" fillId="0" borderId="29" xfId="1" applyNumberFormat="1" applyFont="1" applyBorder="1"/>
    <xf numFmtId="0" fontId="6" fillId="0" borderId="0" xfId="0" applyFont="1"/>
    <xf numFmtId="166" fontId="6" fillId="0" borderId="0" xfId="1" applyNumberFormat="1" applyFont="1"/>
    <xf numFmtId="0" fontId="23" fillId="0" borderId="0" xfId="4" applyFill="1" applyAlignment="1">
      <alignment horizontal="center" vertical="center" wrapText="1"/>
    </xf>
    <xf numFmtId="0" fontId="23" fillId="0" borderId="0" xfId="4" applyFill="1" applyAlignment="1">
      <alignment vertical="center" wrapText="1"/>
    </xf>
    <xf numFmtId="167" fontId="43" fillId="0" borderId="0" xfId="4" applyNumberFormat="1" applyFont="1" applyFill="1" applyAlignment="1">
      <alignment horizontal="center" vertical="center" wrapText="1"/>
    </xf>
    <xf numFmtId="167" fontId="43" fillId="0" borderId="0" xfId="4" applyNumberFormat="1" applyFont="1" applyFill="1" applyAlignment="1">
      <alignment vertical="center" wrapText="1"/>
    </xf>
    <xf numFmtId="167" fontId="23" fillId="0" borderId="0" xfId="4" applyNumberFormat="1" applyFont="1" applyFill="1" applyAlignment="1">
      <alignment horizontal="right" vertical="center"/>
    </xf>
    <xf numFmtId="0" fontId="25" fillId="0" borderId="27" xfId="4" applyFont="1" applyFill="1" applyBorder="1" applyAlignment="1">
      <alignment horizontal="center" vertical="center" wrapText="1"/>
    </xf>
    <xf numFmtId="0" fontId="25" fillId="0" borderId="28" xfId="4" applyFont="1" applyFill="1" applyBorder="1" applyAlignment="1">
      <alignment horizontal="center" vertical="center" wrapText="1"/>
    </xf>
    <xf numFmtId="0" fontId="25" fillId="0" borderId="29" xfId="4" applyFont="1" applyFill="1" applyBorder="1" applyAlignment="1">
      <alignment horizontal="center" vertical="center" wrapText="1"/>
    </xf>
    <xf numFmtId="0" fontId="44" fillId="0" borderId="0" xfId="4" applyFont="1" applyFill="1" applyAlignment="1">
      <alignment horizontal="center" vertical="center" wrapText="1"/>
    </xf>
    <xf numFmtId="0" fontId="26" fillId="0" borderId="27" xfId="4" applyFont="1" applyFill="1" applyBorder="1" applyAlignment="1">
      <alignment horizontal="center" vertical="center" wrapText="1"/>
    </xf>
    <xf numFmtId="0" fontId="26" fillId="0" borderId="28" xfId="4" applyFont="1" applyFill="1" applyBorder="1" applyAlignment="1">
      <alignment horizontal="center" vertical="center" wrapText="1"/>
    </xf>
    <xf numFmtId="0" fontId="26" fillId="0" borderId="29" xfId="4" applyFont="1" applyFill="1" applyBorder="1" applyAlignment="1">
      <alignment horizontal="center" vertical="center" wrapText="1"/>
    </xf>
    <xf numFmtId="0" fontId="45" fillId="0" borderId="1" xfId="4" applyFont="1" applyFill="1" applyBorder="1" applyAlignment="1">
      <alignment horizontal="center" vertical="center" wrapText="1"/>
    </xf>
    <xf numFmtId="0" fontId="46" fillId="0" borderId="12" xfId="4" applyFont="1" applyFill="1" applyBorder="1" applyAlignment="1" applyProtection="1">
      <alignment horizontal="left" vertical="center" wrapText="1" indent="1"/>
      <protection locked="0"/>
    </xf>
    <xf numFmtId="167" fontId="45" fillId="0" borderId="12" xfId="4" applyNumberFormat="1" applyFont="1" applyFill="1" applyBorder="1" applyAlignment="1" applyProtection="1">
      <alignment horizontal="right" vertical="center" wrapText="1" indent="1"/>
      <protection locked="0"/>
    </xf>
    <xf numFmtId="167" fontId="45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4" xfId="4" applyFont="1" applyFill="1" applyBorder="1" applyAlignment="1">
      <alignment horizontal="center" vertical="center" wrapText="1"/>
    </xf>
    <xf numFmtId="0" fontId="46" fillId="0" borderId="14" xfId="4" applyFont="1" applyFill="1" applyBorder="1" applyAlignment="1" applyProtection="1">
      <alignment horizontal="left" vertical="center" wrapText="1" indent="1"/>
      <protection locked="0"/>
    </xf>
    <xf numFmtId="167" fontId="45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7" fontId="45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46" fillId="0" borderId="14" xfId="4" applyFont="1" applyFill="1" applyBorder="1" applyAlignment="1" applyProtection="1">
      <alignment horizontal="left" vertical="center" wrapText="1" indent="8"/>
      <protection locked="0"/>
    </xf>
    <xf numFmtId="0" fontId="45" fillId="0" borderId="11" xfId="4" applyFont="1" applyFill="1" applyBorder="1" applyAlignment="1" applyProtection="1">
      <alignment vertical="center" wrapText="1"/>
      <protection locked="0"/>
    </xf>
    <xf numFmtId="167" fontId="45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27" xfId="4" applyFont="1" applyFill="1" applyBorder="1" applyAlignment="1">
      <alignment horizontal="center" vertical="center" wrapText="1"/>
    </xf>
    <xf numFmtId="0" fontId="48" fillId="0" borderId="33" xfId="4" applyFont="1" applyFill="1" applyBorder="1" applyAlignment="1">
      <alignment vertical="center" wrapText="1"/>
    </xf>
    <xf numFmtId="167" fontId="47" fillId="0" borderId="33" xfId="4" applyNumberFormat="1" applyFont="1" applyFill="1" applyBorder="1" applyAlignment="1">
      <alignment vertical="center" wrapText="1"/>
    </xf>
    <xf numFmtId="167" fontId="47" fillId="0" borderId="34" xfId="4" applyNumberFormat="1" applyFont="1" applyFill="1" applyBorder="1" applyAlignment="1">
      <alignment vertical="center" wrapText="1"/>
    </xf>
    <xf numFmtId="0" fontId="23" fillId="0" borderId="0" xfId="4" applyFill="1" applyAlignment="1">
      <alignment horizontal="right" vertical="center" wrapText="1"/>
    </xf>
    <xf numFmtId="167" fontId="50" fillId="0" borderId="0" xfId="4" applyNumberFormat="1" applyFont="1" applyFill="1" applyAlignment="1">
      <alignment horizontal="right"/>
    </xf>
    <xf numFmtId="167" fontId="25" fillId="0" borderId="42" xfId="4" applyNumberFormat="1" applyFont="1" applyFill="1" applyBorder="1" applyAlignment="1">
      <alignment horizontal="center" vertical="center"/>
    </xf>
    <xf numFmtId="167" fontId="25" fillId="0" borderId="9" xfId="4" applyNumberFormat="1" applyFont="1" applyFill="1" applyBorder="1" applyAlignment="1">
      <alignment horizontal="center" vertical="center" wrapText="1"/>
    </xf>
    <xf numFmtId="167" fontId="26" fillId="0" borderId="37" xfId="4" applyNumberFormat="1" applyFont="1" applyFill="1" applyBorder="1" applyAlignment="1">
      <alignment horizontal="center" vertical="center" wrapText="1"/>
    </xf>
    <xf numFmtId="167" fontId="26" fillId="0" borderId="35" xfId="4" applyNumberFormat="1" applyFont="1" applyFill="1" applyBorder="1" applyAlignment="1">
      <alignment horizontal="center" vertical="center" wrapText="1"/>
    </xf>
    <xf numFmtId="167" fontId="26" fillId="0" borderId="54" xfId="4" applyNumberFormat="1" applyFont="1" applyFill="1" applyBorder="1" applyAlignment="1">
      <alignment horizontal="center" vertical="center" wrapText="1"/>
    </xf>
    <xf numFmtId="167" fontId="26" fillId="0" borderId="29" xfId="4" applyNumberFormat="1" applyFont="1" applyFill="1" applyBorder="1" applyAlignment="1">
      <alignment horizontal="center" vertical="center" wrapText="1"/>
    </xf>
    <xf numFmtId="167" fontId="26" fillId="0" borderId="55" xfId="4" applyNumberFormat="1" applyFont="1" applyFill="1" applyBorder="1" applyAlignment="1">
      <alignment horizontal="center" vertical="center" wrapText="1"/>
    </xf>
    <xf numFmtId="167" fontId="26" fillId="0" borderId="27" xfId="4" applyNumberFormat="1" applyFont="1" applyFill="1" applyBorder="1" applyAlignment="1">
      <alignment horizontal="center" vertical="center" wrapText="1"/>
    </xf>
    <xf numFmtId="167" fontId="26" fillId="0" borderId="35" xfId="4" applyNumberFormat="1" applyFont="1" applyFill="1" applyBorder="1" applyAlignment="1">
      <alignment horizontal="left" vertical="center" wrapText="1" indent="1"/>
    </xf>
    <xf numFmtId="167" fontId="51" fillId="0" borderId="28" xfId="4" applyNumberFormat="1" applyFont="1" applyFill="1" applyBorder="1" applyAlignment="1" applyProtection="1">
      <alignment horizontal="left" vertical="center" wrapText="1" indent="2"/>
    </xf>
    <xf numFmtId="167" fontId="51" fillId="0" borderId="35" xfId="4" applyNumberFormat="1" applyFont="1" applyFill="1" applyBorder="1" applyAlignment="1" applyProtection="1">
      <alignment vertical="center" wrapText="1"/>
    </xf>
    <xf numFmtId="167" fontId="51" fillId="0" borderId="27" xfId="4" applyNumberFormat="1" applyFont="1" applyFill="1" applyBorder="1" applyAlignment="1" applyProtection="1">
      <alignment vertical="center" wrapText="1"/>
    </xf>
    <xf numFmtId="167" fontId="51" fillId="0" borderId="28" xfId="4" applyNumberFormat="1" applyFont="1" applyFill="1" applyBorder="1" applyAlignment="1" applyProtection="1">
      <alignment vertical="center" wrapText="1"/>
    </xf>
    <xf numFmtId="167" fontId="51" fillId="0" borderId="29" xfId="4" applyNumberFormat="1" applyFont="1" applyFill="1" applyBorder="1" applyAlignment="1" applyProtection="1">
      <alignment vertical="center" wrapText="1"/>
    </xf>
    <xf numFmtId="167" fontId="51" fillId="0" borderId="35" xfId="4" applyNumberFormat="1" applyFont="1" applyFill="1" applyBorder="1" applyAlignment="1">
      <alignment vertical="center" wrapText="1"/>
    </xf>
    <xf numFmtId="167" fontId="26" fillId="0" borderId="4" xfId="4" applyNumberFormat="1" applyFont="1" applyFill="1" applyBorder="1" applyAlignment="1">
      <alignment horizontal="center" vertical="center" wrapText="1"/>
    </xf>
    <xf numFmtId="167" fontId="51" fillId="0" borderId="56" xfId="4" applyNumberFormat="1" applyFont="1" applyFill="1" applyBorder="1" applyAlignment="1" applyProtection="1">
      <alignment horizontal="left" vertical="center" wrapText="1" indent="1"/>
      <protection locked="0"/>
    </xf>
    <xf numFmtId="169" fontId="29" fillId="0" borderId="5" xfId="4" applyNumberFormat="1" applyFont="1" applyFill="1" applyBorder="1" applyAlignment="1" applyProtection="1">
      <alignment horizontal="left" vertical="center" wrapText="1" indent="2"/>
      <protection locked="0"/>
    </xf>
    <xf numFmtId="167" fontId="51" fillId="0" borderId="56" xfId="4" applyNumberFormat="1" applyFont="1" applyFill="1" applyBorder="1" applyAlignment="1" applyProtection="1">
      <alignment vertical="center" wrapText="1"/>
      <protection locked="0"/>
    </xf>
    <xf numFmtId="167" fontId="51" fillId="0" borderId="4" xfId="4" applyNumberFormat="1" applyFont="1" applyFill="1" applyBorder="1" applyAlignment="1" applyProtection="1">
      <alignment vertical="center" wrapText="1"/>
      <protection locked="0"/>
    </xf>
    <xf numFmtId="167" fontId="51" fillId="0" borderId="5" xfId="4" applyNumberFormat="1" applyFont="1" applyFill="1" applyBorder="1" applyAlignment="1" applyProtection="1">
      <alignment vertical="center" wrapText="1"/>
      <protection locked="0"/>
    </xf>
    <xf numFmtId="167" fontId="51" fillId="0" borderId="6" xfId="4" applyNumberFormat="1" applyFont="1" applyFill="1" applyBorder="1" applyAlignment="1" applyProtection="1">
      <alignment vertical="center" wrapText="1"/>
      <protection locked="0"/>
    </xf>
    <xf numFmtId="167" fontId="51" fillId="0" borderId="56" xfId="4" applyNumberFormat="1" applyFont="1" applyFill="1" applyBorder="1" applyAlignment="1">
      <alignment vertical="center" wrapText="1"/>
    </xf>
    <xf numFmtId="167" fontId="26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7" fontId="29" fillId="0" borderId="28" xfId="4" applyNumberFormat="1" applyFont="1" applyFill="1" applyBorder="1" applyAlignment="1" applyProtection="1">
      <alignment horizontal="left" vertical="center" wrapText="1" indent="2"/>
    </xf>
    <xf numFmtId="14" fontId="29" fillId="0" borderId="5" xfId="4" applyNumberFormat="1" applyFont="1" applyFill="1" applyBorder="1" applyAlignment="1" applyProtection="1">
      <alignment horizontal="left" vertical="center" wrapText="1" indent="2"/>
      <protection locked="0"/>
    </xf>
    <xf numFmtId="167" fontId="52" fillId="0" borderId="27" xfId="4" applyNumberFormat="1" applyFont="1" applyFill="1" applyBorder="1" applyAlignment="1">
      <alignment horizontal="center" vertical="center" wrapText="1"/>
    </xf>
    <xf numFmtId="167" fontId="52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7" fontId="52" fillId="0" borderId="28" xfId="4" applyNumberFormat="1" applyFont="1" applyFill="1" applyBorder="1" applyAlignment="1" applyProtection="1">
      <alignment horizontal="left" vertical="center" wrapText="1" indent="2"/>
    </xf>
    <xf numFmtId="167" fontId="52" fillId="0" borderId="35" xfId="4" applyNumberFormat="1" applyFont="1" applyFill="1" applyBorder="1" applyAlignment="1" applyProtection="1">
      <alignment vertical="center" wrapText="1"/>
    </xf>
    <xf numFmtId="167" fontId="52" fillId="0" borderId="27" xfId="4" applyNumberFormat="1" applyFont="1" applyFill="1" applyBorder="1" applyAlignment="1" applyProtection="1">
      <alignment vertical="center" wrapText="1"/>
    </xf>
    <xf numFmtId="167" fontId="52" fillId="0" borderId="0" xfId="4" applyNumberFormat="1" applyFont="1" applyFill="1" applyAlignment="1">
      <alignment vertical="center" wrapText="1"/>
    </xf>
    <xf numFmtId="167" fontId="26" fillId="0" borderId="10" xfId="4" applyNumberFormat="1" applyFont="1" applyFill="1" applyBorder="1" applyAlignment="1">
      <alignment horizontal="center" vertical="center" wrapText="1"/>
    </xf>
    <xf numFmtId="166" fontId="21" fillId="0" borderId="11" xfId="1" applyNumberFormat="1" applyFont="1" applyBorder="1" applyAlignment="1">
      <alignment vertical="distributed" wrapText="1"/>
    </xf>
    <xf numFmtId="167" fontId="29" fillId="0" borderId="13" xfId="4" applyNumberFormat="1" applyFont="1" applyFill="1" applyBorder="1" applyAlignment="1" applyProtection="1">
      <alignment vertical="center" wrapText="1"/>
    </xf>
    <xf numFmtId="167" fontId="29" fillId="0" borderId="11" xfId="4" applyNumberFormat="1" applyFont="1" applyFill="1" applyBorder="1" applyAlignment="1" applyProtection="1">
      <alignment vertical="center" wrapText="1"/>
      <protection locked="0"/>
    </xf>
    <xf numFmtId="167" fontId="29" fillId="0" borderId="13" xfId="4" applyNumberFormat="1" applyFont="1" applyFill="1" applyBorder="1" applyAlignment="1" applyProtection="1">
      <alignment vertical="center" wrapText="1"/>
      <protection locked="0"/>
    </xf>
    <xf numFmtId="167" fontId="29" fillId="0" borderId="57" xfId="4" applyNumberFormat="1" applyFont="1" applyFill="1" applyBorder="1" applyAlignment="1">
      <alignment vertical="center" wrapText="1"/>
    </xf>
    <xf numFmtId="166" fontId="6" fillId="0" borderId="47" xfId="1" applyNumberFormat="1" applyFont="1" applyBorder="1" applyAlignment="1">
      <alignment vertical="distributed" wrapText="1"/>
    </xf>
    <xf numFmtId="166" fontId="6" fillId="0" borderId="5" xfId="1" applyNumberFormat="1" applyFont="1" applyBorder="1" applyAlignment="1">
      <alignment vertical="distributed" wrapText="1"/>
    </xf>
    <xf numFmtId="166" fontId="6" fillId="0" borderId="50" xfId="1" applyNumberFormat="1" applyFont="1" applyBorder="1" applyAlignment="1">
      <alignment vertical="distributed" wrapText="1"/>
    </xf>
    <xf numFmtId="167" fontId="51" fillId="0" borderId="58" xfId="4" applyNumberFormat="1" applyFont="1" applyFill="1" applyBorder="1" applyAlignment="1" applyProtection="1">
      <alignment horizontal="left" vertical="center" wrapText="1" indent="1"/>
      <protection locked="0"/>
    </xf>
    <xf numFmtId="169" fontId="29" fillId="0" borderId="22" xfId="4" applyNumberFormat="1" applyFont="1" applyFill="1" applyBorder="1" applyAlignment="1" applyProtection="1">
      <alignment horizontal="left" vertical="center" wrapText="1" indent="2"/>
      <protection locked="0"/>
    </xf>
    <xf numFmtId="167" fontId="51" fillId="0" borderId="58" xfId="4" applyNumberFormat="1" applyFont="1" applyFill="1" applyBorder="1" applyAlignment="1" applyProtection="1">
      <alignment vertical="center" wrapText="1"/>
      <protection locked="0"/>
    </xf>
    <xf numFmtId="167" fontId="51" fillId="0" borderId="21" xfId="4" applyNumberFormat="1" applyFont="1" applyFill="1" applyBorder="1" applyAlignment="1" applyProtection="1">
      <alignment vertical="center" wrapText="1"/>
      <protection locked="0"/>
    </xf>
    <xf numFmtId="167" fontId="51" fillId="0" borderId="22" xfId="4" applyNumberFormat="1" applyFont="1" applyFill="1" applyBorder="1" applyAlignment="1" applyProtection="1">
      <alignment vertical="center" wrapText="1"/>
      <protection locked="0"/>
    </xf>
    <xf numFmtId="167" fontId="51" fillId="0" borderId="23" xfId="4" applyNumberFormat="1" applyFont="1" applyFill="1" applyBorder="1" applyAlignment="1" applyProtection="1">
      <alignment vertical="center" wrapText="1"/>
      <protection locked="0"/>
    </xf>
    <xf numFmtId="167" fontId="51" fillId="0" borderId="58" xfId="4" applyNumberFormat="1" applyFont="1" applyFill="1" applyBorder="1" applyAlignment="1">
      <alignment vertical="center" wrapText="1"/>
    </xf>
    <xf numFmtId="167" fontId="47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7" fontId="51" fillId="0" borderId="35" xfId="4" applyNumberFormat="1" applyFont="1" applyFill="1" applyBorder="1" applyAlignment="1" applyProtection="1">
      <alignment vertical="center" wrapText="1"/>
      <protection locked="0"/>
    </xf>
    <xf numFmtId="167" fontId="51" fillId="0" borderId="27" xfId="4" applyNumberFormat="1" applyFont="1" applyFill="1" applyBorder="1" applyAlignment="1" applyProtection="1">
      <alignment vertical="center" wrapText="1"/>
      <protection locked="0"/>
    </xf>
    <xf numFmtId="167" fontId="51" fillId="0" borderId="28" xfId="4" applyNumberFormat="1" applyFont="1" applyFill="1" applyBorder="1" applyAlignment="1" applyProtection="1">
      <alignment vertical="center" wrapText="1"/>
      <protection locked="0"/>
    </xf>
    <xf numFmtId="167" fontId="51" fillId="0" borderId="29" xfId="4" applyNumberFormat="1" applyFont="1" applyFill="1" applyBorder="1" applyAlignment="1" applyProtection="1">
      <alignment vertical="center" wrapText="1"/>
      <protection locked="0"/>
    </xf>
    <xf numFmtId="167" fontId="51" fillId="0" borderId="57" xfId="4" applyNumberFormat="1" applyFont="1" applyFill="1" applyBorder="1" applyAlignment="1" applyProtection="1">
      <alignment horizontal="left" vertical="center" wrapText="1" indent="1"/>
      <protection locked="0"/>
    </xf>
    <xf numFmtId="169" fontId="29" fillId="0" borderId="59" xfId="4" applyNumberFormat="1" applyFont="1" applyFill="1" applyBorder="1" applyAlignment="1" applyProtection="1">
      <alignment horizontal="left" vertical="center" wrapText="1" indent="2"/>
      <protection locked="0"/>
    </xf>
    <xf numFmtId="167" fontId="51" fillId="0" borderId="55" xfId="4" applyNumberFormat="1" applyFont="1" applyFill="1" applyBorder="1" applyAlignment="1" applyProtection="1">
      <alignment vertical="center" wrapText="1"/>
      <protection locked="0"/>
    </xf>
    <xf numFmtId="167" fontId="51" fillId="0" borderId="24" xfId="4" applyNumberFormat="1" applyFont="1" applyFill="1" applyBorder="1" applyAlignment="1" applyProtection="1">
      <alignment vertical="center" wrapText="1"/>
      <protection locked="0"/>
    </xf>
    <xf numFmtId="167" fontId="51" fillId="0" borderId="20" xfId="4" applyNumberFormat="1" applyFont="1" applyFill="1" applyBorder="1" applyAlignment="1" applyProtection="1">
      <alignment vertical="center" wrapText="1"/>
      <protection locked="0"/>
    </xf>
    <xf numFmtId="167" fontId="51" fillId="0" borderId="26" xfId="4" applyNumberFormat="1" applyFont="1" applyFill="1" applyBorder="1" applyAlignment="1" applyProtection="1">
      <alignment vertical="center" wrapText="1"/>
      <protection locked="0"/>
    </xf>
    <xf numFmtId="167" fontId="51" fillId="0" borderId="55" xfId="4" applyNumberFormat="1" applyFont="1" applyFill="1" applyBorder="1" applyAlignment="1">
      <alignment vertical="center" wrapText="1"/>
    </xf>
    <xf numFmtId="167" fontId="34" fillId="6" borderId="54" xfId="4" applyNumberFormat="1" applyFont="1" applyFill="1" applyBorder="1" applyAlignment="1" applyProtection="1">
      <alignment horizontal="left" vertical="center" wrapText="1" indent="2"/>
    </xf>
    <xf numFmtId="167" fontId="34" fillId="0" borderId="35" xfId="4" applyNumberFormat="1" applyFont="1" applyFill="1" applyBorder="1" applyAlignment="1" applyProtection="1">
      <alignment vertical="center" wrapText="1"/>
    </xf>
    <xf numFmtId="167" fontId="34" fillId="0" borderId="27" xfId="4" applyNumberFormat="1" applyFont="1" applyFill="1" applyBorder="1" applyAlignment="1" applyProtection="1">
      <alignment vertical="center" wrapText="1"/>
    </xf>
    <xf numFmtId="167" fontId="34" fillId="0" borderId="28" xfId="4" applyNumberFormat="1" applyFont="1" applyFill="1" applyBorder="1" applyAlignment="1" applyProtection="1">
      <alignment vertical="center" wrapText="1"/>
    </xf>
    <xf numFmtId="167" fontId="34" fillId="0" borderId="29" xfId="4" applyNumberFormat="1" applyFont="1" applyFill="1" applyBorder="1" applyAlignment="1" applyProtection="1">
      <alignment vertical="center" wrapText="1"/>
    </xf>
    <xf numFmtId="167" fontId="34" fillId="0" borderId="35" xfId="4" applyNumberFormat="1" applyFont="1" applyFill="1" applyBorder="1" applyAlignment="1">
      <alignment vertical="center" wrapText="1"/>
    </xf>
    <xf numFmtId="167" fontId="34" fillId="0" borderId="0" xfId="4" applyNumberFormat="1" applyFont="1" applyFill="1" applyAlignment="1">
      <alignment vertical="center" wrapText="1"/>
    </xf>
    <xf numFmtId="167" fontId="23" fillId="0" borderId="0" xfId="4" applyNumberFormat="1" applyFont="1" applyFill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6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" fontId="21" fillId="0" borderId="0" xfId="0" applyNumberFormat="1" applyFont="1"/>
    <xf numFmtId="0" fontId="7" fillId="0" borderId="6" xfId="2" applyFont="1" applyBorder="1" applyAlignment="1">
      <alignment vertical="center"/>
    </xf>
    <xf numFmtId="0" fontId="12" fillId="0" borderId="1" xfId="2" applyFont="1" applyBorder="1" applyAlignment="1">
      <alignment horizontal="center" vertical="center" wrapText="1"/>
    </xf>
    <xf numFmtId="0" fontId="13" fillId="6" borderId="3" xfId="2" applyFont="1" applyFill="1" applyBorder="1" applyAlignment="1">
      <alignment horizontal="center" vertical="center" wrapText="1"/>
    </xf>
    <xf numFmtId="0" fontId="13" fillId="6" borderId="14" xfId="2" applyFont="1" applyFill="1" applyBorder="1" applyAlignment="1">
      <alignment horizontal="center" vertical="center" wrapText="1"/>
    </xf>
    <xf numFmtId="0" fontId="13" fillId="6" borderId="5" xfId="2" applyFont="1" applyFill="1" applyBorder="1" applyAlignment="1">
      <alignment horizontal="center" vertical="center" wrapText="1"/>
    </xf>
    <xf numFmtId="164" fontId="6" fillId="0" borderId="6" xfId="2" applyNumberFormat="1" applyFont="1" applyBorder="1" applyAlignment="1">
      <alignment horizontal="center" vertical="center"/>
    </xf>
    <xf numFmtId="164" fontId="6" fillId="0" borderId="6" xfId="3" applyNumberFormat="1" applyFont="1" applyBorder="1" applyAlignment="1">
      <alignment horizontal="center"/>
    </xf>
    <xf numFmtId="164" fontId="6" fillId="0" borderId="18" xfId="3" applyNumberFormat="1" applyFont="1" applyFill="1" applyBorder="1" applyAlignment="1">
      <alignment horizontal="center"/>
    </xf>
    <xf numFmtId="166" fontId="7" fillId="0" borderId="17" xfId="1" applyNumberFormat="1" applyFont="1" applyBorder="1" applyAlignment="1">
      <alignment vertical="center"/>
    </xf>
    <xf numFmtId="0" fontId="0" fillId="0" borderId="5" xfId="0" applyBorder="1"/>
    <xf numFmtId="164" fontId="8" fillId="0" borderId="6" xfId="3" applyNumberFormat="1" applyFont="1" applyBorder="1" applyAlignment="1">
      <alignment horizontal="center"/>
    </xf>
    <xf numFmtId="164" fontId="6" fillId="4" borderId="14" xfId="3" applyNumberFormat="1" applyFont="1" applyFill="1" applyBorder="1" applyAlignment="1">
      <alignment horizontal="center"/>
    </xf>
    <xf numFmtId="164" fontId="5" fillId="0" borderId="6" xfId="3" applyNumberFormat="1" applyFont="1" applyBorder="1" applyAlignment="1">
      <alignment horizontal="center"/>
    </xf>
    <xf numFmtId="164" fontId="5" fillId="0" borderId="16" xfId="3" applyNumberFormat="1" applyFont="1" applyBorder="1" applyAlignment="1">
      <alignment horizontal="center"/>
    </xf>
    <xf numFmtId="164" fontId="6" fillId="6" borderId="14" xfId="3" applyNumberFormat="1" applyFont="1" applyFill="1" applyBorder="1" applyAlignment="1">
      <alignment horizontal="center"/>
    </xf>
    <xf numFmtId="164" fontId="8" fillId="0" borderId="15" xfId="3" applyNumberFormat="1" applyFont="1" applyBorder="1" applyAlignment="1">
      <alignment horizontal="center"/>
    </xf>
    <xf numFmtId="164" fontId="8" fillId="0" borderId="5" xfId="3" applyNumberFormat="1" applyFont="1" applyFill="1" applyBorder="1" applyAlignment="1">
      <alignment horizontal="center"/>
    </xf>
    <xf numFmtId="166" fontId="16" fillId="0" borderId="6" xfId="1" applyNumberFormat="1" applyFont="1" applyBorder="1" applyAlignment="1">
      <alignment vertical="center"/>
    </xf>
    <xf numFmtId="164" fontId="10" fillId="0" borderId="6" xfId="3" applyNumberFormat="1" applyFont="1" applyBorder="1" applyAlignment="1">
      <alignment horizontal="center"/>
    </xf>
    <xf numFmtId="164" fontId="5" fillId="0" borderId="6" xfId="2" applyNumberFormat="1" applyFont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64" fontId="5" fillId="0" borderId="9" xfId="2" applyNumberFormat="1" applyFont="1" applyBorder="1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35" xfId="0" applyNumberFormat="1" applyFont="1" applyBorder="1" applyAlignment="1">
      <alignment horizontal="center"/>
    </xf>
    <xf numFmtId="3" fontId="3" fillId="0" borderId="35" xfId="0" applyNumberFormat="1" applyFont="1" applyBorder="1" applyAlignment="1"/>
    <xf numFmtId="3" fontId="3" fillId="0" borderId="35" xfId="0" applyNumberFormat="1" applyFont="1" applyBorder="1"/>
    <xf numFmtId="0" fontId="0" fillId="0" borderId="0" xfId="0" applyFont="1"/>
    <xf numFmtId="3" fontId="0" fillId="0" borderId="35" xfId="0" applyNumberFormat="1" applyBorder="1"/>
    <xf numFmtId="3" fontId="55" fillId="0" borderId="35" xfId="0" applyNumberFormat="1" applyFont="1" applyBorder="1"/>
    <xf numFmtId="0" fontId="55" fillId="0" borderId="0" xfId="0" applyFont="1"/>
    <xf numFmtId="3" fontId="54" fillId="0" borderId="35" xfId="0" applyNumberFormat="1" applyFont="1" applyBorder="1"/>
    <xf numFmtId="0" fontId="54" fillId="0" borderId="0" xfId="0" applyFont="1"/>
    <xf numFmtId="0" fontId="8" fillId="0" borderId="0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21" fillId="0" borderId="5" xfId="5" applyFont="1" applyBorder="1" applyAlignment="1">
      <alignment horizontal="center" vertical="center"/>
    </xf>
    <xf numFmtId="0" fontId="21" fillId="0" borderId="5" xfId="5" applyFont="1" applyBorder="1" applyAlignment="1">
      <alignment vertical="center"/>
    </xf>
    <xf numFmtId="3" fontId="21" fillId="0" borderId="5" xfId="5" applyNumberFormat="1" applyFont="1" applyBorder="1" applyAlignment="1">
      <alignment vertical="center"/>
    </xf>
    <xf numFmtId="164" fontId="21" fillId="0" borderId="5" xfId="5" applyNumberFormat="1" applyFont="1" applyBorder="1" applyAlignment="1">
      <alignment vertical="center"/>
    </xf>
    <xf numFmtId="164" fontId="13" fillId="0" borderId="5" xfId="5" applyNumberFormat="1" applyFont="1" applyBorder="1" applyAlignment="1">
      <alignment horizontal="center" vertical="center"/>
    </xf>
    <xf numFmtId="0" fontId="13" fillId="0" borderId="5" xfId="5" applyFont="1" applyBorder="1" applyAlignment="1">
      <alignment vertical="center"/>
    </xf>
    <xf numFmtId="0" fontId="56" fillId="6" borderId="5" xfId="5" applyFont="1" applyFill="1" applyBorder="1" applyAlignment="1">
      <alignment vertical="center"/>
    </xf>
    <xf numFmtId="164" fontId="21" fillId="6" borderId="5" xfId="5" applyNumberFormat="1" applyFont="1" applyFill="1" applyBorder="1" applyAlignment="1">
      <alignment vertical="center"/>
    </xf>
    <xf numFmtId="164" fontId="13" fillId="6" borderId="5" xfId="5" applyNumberFormat="1" applyFont="1" applyFill="1" applyBorder="1" applyAlignment="1">
      <alignment horizontal="center" vertical="center"/>
    </xf>
    <xf numFmtId="0" fontId="21" fillId="0" borderId="5" xfId="5" applyFont="1" applyBorder="1" applyAlignment="1">
      <alignment horizontal="left" vertical="center"/>
    </xf>
    <xf numFmtId="0" fontId="12" fillId="0" borderId="5" xfId="5" applyFont="1" applyBorder="1" applyAlignment="1">
      <alignment vertical="center"/>
    </xf>
    <xf numFmtId="164" fontId="13" fillId="0" borderId="5" xfId="5" applyNumberFormat="1" applyFont="1" applyBorder="1" applyAlignment="1">
      <alignment vertical="center"/>
    </xf>
    <xf numFmtId="164" fontId="6" fillId="0" borderId="14" xfId="3" applyNumberFormat="1" applyFont="1" applyFill="1" applyBorder="1" applyAlignment="1">
      <alignment horizontal="center"/>
    </xf>
    <xf numFmtId="164" fontId="13" fillId="0" borderId="20" xfId="5" applyNumberFormat="1" applyFont="1" applyFill="1" applyBorder="1" applyAlignment="1">
      <alignment vertical="center"/>
    </xf>
    <xf numFmtId="164" fontId="21" fillId="0" borderId="5" xfId="5" applyNumberFormat="1" applyFont="1" applyBorder="1" applyAlignment="1">
      <alignment horizontal="center" vertical="center"/>
    </xf>
    <xf numFmtId="164" fontId="6" fillId="6" borderId="16" xfId="3" applyNumberFormat="1" applyFont="1" applyFill="1" applyBorder="1" applyAlignment="1">
      <alignment horizontal="center"/>
    </xf>
    <xf numFmtId="0" fontId="16" fillId="0" borderId="0" xfId="2" applyFont="1" applyAlignment="1">
      <alignment vertical="center"/>
    </xf>
    <xf numFmtId="3" fontId="5" fillId="0" borderId="5" xfId="3" applyNumberFormat="1" applyFont="1" applyBorder="1" applyAlignment="1">
      <alignment horizontal="center"/>
    </xf>
    <xf numFmtId="0" fontId="19" fillId="0" borderId="0" xfId="2" applyFont="1" applyAlignment="1">
      <alignment vertical="center"/>
    </xf>
    <xf numFmtId="164" fontId="5" fillId="0" borderId="5" xfId="2" applyNumberFormat="1" applyFont="1" applyBorder="1" applyAlignment="1">
      <alignment horizontal="center"/>
    </xf>
    <xf numFmtId="3" fontId="57" fillId="0" borderId="0" xfId="5" applyNumberFormat="1" applyFont="1" applyAlignment="1">
      <alignment vertical="center"/>
    </xf>
    <xf numFmtId="0" fontId="57" fillId="0" borderId="0" xfId="5" applyFont="1" applyAlignment="1">
      <alignment vertical="center"/>
    </xf>
    <xf numFmtId="3" fontId="57" fillId="0" borderId="0" xfId="1" applyNumberFormat="1" applyFont="1" applyAlignment="1">
      <alignment vertical="center"/>
    </xf>
    <xf numFmtId="0" fontId="21" fillId="0" borderId="16" xfId="2" applyFont="1" applyBorder="1" applyAlignment="1">
      <alignment horizontal="left"/>
    </xf>
    <xf numFmtId="3" fontId="13" fillId="0" borderId="5" xfId="5" applyNumberFormat="1" applyFont="1" applyBorder="1" applyAlignment="1">
      <alignment horizontal="center" vertical="center"/>
    </xf>
    <xf numFmtId="164" fontId="57" fillId="0" borderId="0" xfId="5" applyNumberFormat="1" applyFont="1" applyAlignment="1">
      <alignment vertical="center"/>
    </xf>
    <xf numFmtId="0" fontId="12" fillId="0" borderId="0" xfId="5" applyFont="1" applyBorder="1" applyAlignment="1">
      <alignment vertical="center"/>
    </xf>
    <xf numFmtId="164" fontId="13" fillId="0" borderId="0" xfId="5" applyNumberFormat="1" applyFont="1" applyBorder="1" applyAlignment="1">
      <alignment vertical="center"/>
    </xf>
    <xf numFmtId="164" fontId="13" fillId="0" borderId="0" xfId="5" applyNumberFormat="1" applyFont="1" applyBorder="1" applyAlignment="1">
      <alignment horizontal="center" vertical="center"/>
    </xf>
    <xf numFmtId="0" fontId="6" fillId="0" borderId="0" xfId="5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5" applyFont="1" applyAlignment="1">
      <alignment horizontal="right" vertical="center"/>
    </xf>
    <xf numFmtId="3" fontId="6" fillId="0" borderId="0" xfId="5" applyNumberFormat="1" applyFont="1" applyAlignment="1">
      <alignment vertical="center"/>
    </xf>
    <xf numFmtId="0" fontId="58" fillId="0" borderId="0" xfId="0" applyFont="1" applyFill="1" applyAlignment="1">
      <alignment horizontal="left"/>
    </xf>
    <xf numFmtId="0" fontId="58" fillId="0" borderId="0" xfId="0" applyFont="1" applyFill="1"/>
    <xf numFmtId="0" fontId="60" fillId="0" borderId="0" xfId="0" applyFont="1" applyFill="1" applyAlignment="1">
      <alignment horizontal="left" vertical="top"/>
    </xf>
    <xf numFmtId="0" fontId="60" fillId="0" borderId="0" xfId="0" applyFont="1" applyFill="1" applyAlignment="1">
      <alignment horizontal="center" vertical="top"/>
    </xf>
    <xf numFmtId="0" fontId="7" fillId="0" borderId="51" xfId="0" applyFont="1" applyBorder="1" applyAlignment="1">
      <alignment horizontal="center" vertical="center" wrapText="1"/>
    </xf>
    <xf numFmtId="0" fontId="13" fillId="6" borderId="15" xfId="2" applyFont="1" applyFill="1" applyBorder="1" applyAlignment="1">
      <alignment horizontal="center" vertical="center" wrapText="1"/>
    </xf>
    <xf numFmtId="0" fontId="22" fillId="0" borderId="54" xfId="0" applyFont="1" applyBorder="1"/>
    <xf numFmtId="0" fontId="22" fillId="0" borderId="59" xfId="0" applyFont="1" applyBorder="1"/>
    <xf numFmtId="0" fontId="12" fillId="0" borderId="59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center" vertical="center" wrapText="1"/>
    </xf>
    <xf numFmtId="0" fontId="13" fillId="6" borderId="56" xfId="2" applyFont="1" applyFill="1" applyBorder="1" applyAlignment="1">
      <alignment horizontal="center" vertical="center" wrapText="1"/>
    </xf>
    <xf numFmtId="164" fontId="6" fillId="0" borderId="56" xfId="2" applyNumberFormat="1" applyFont="1" applyBorder="1" applyAlignment="1">
      <alignment horizontal="center" vertical="center"/>
    </xf>
    <xf numFmtId="164" fontId="6" fillId="0" borderId="56" xfId="3" applyNumberFormat="1" applyFont="1" applyFill="1" applyBorder="1" applyAlignment="1">
      <alignment horizontal="center"/>
    </xf>
    <xf numFmtId="164" fontId="6" fillId="0" borderId="58" xfId="3" applyNumberFormat="1" applyFont="1" applyFill="1" applyBorder="1" applyAlignment="1">
      <alignment horizontal="center"/>
    </xf>
    <xf numFmtId="164" fontId="6" fillId="0" borderId="55" xfId="3" applyNumberFormat="1" applyFont="1" applyFill="1" applyBorder="1" applyAlignment="1">
      <alignment horizontal="center"/>
    </xf>
    <xf numFmtId="164" fontId="12" fillId="0" borderId="35" xfId="3" applyNumberFormat="1" applyFont="1" applyFill="1" applyBorder="1" applyAlignment="1">
      <alignment horizontal="center"/>
    </xf>
    <xf numFmtId="164" fontId="12" fillId="0" borderId="55" xfId="3" applyNumberFormat="1" applyFont="1" applyFill="1" applyBorder="1" applyAlignment="1">
      <alignment horizontal="center"/>
    </xf>
    <xf numFmtId="164" fontId="6" fillId="0" borderId="57" xfId="3" applyNumberFormat="1" applyFont="1" applyFill="1" applyBorder="1" applyAlignment="1">
      <alignment horizontal="center"/>
    </xf>
    <xf numFmtId="164" fontId="12" fillId="0" borderId="35" xfId="3" applyNumberFormat="1" applyFont="1" applyBorder="1" applyAlignment="1">
      <alignment horizontal="center"/>
    </xf>
    <xf numFmtId="164" fontId="12" fillId="0" borderId="55" xfId="3" applyNumberFormat="1" applyFont="1" applyBorder="1" applyAlignment="1">
      <alignment horizontal="center"/>
    </xf>
    <xf numFmtId="164" fontId="8" fillId="6" borderId="56" xfId="3" applyNumberFormat="1" applyFont="1" applyFill="1" applyBorder="1" applyAlignment="1">
      <alignment horizontal="center"/>
    </xf>
    <xf numFmtId="164" fontId="8" fillId="0" borderId="56" xfId="3" applyNumberFormat="1" applyFont="1" applyFill="1" applyBorder="1" applyAlignment="1">
      <alignment horizontal="center"/>
    </xf>
    <xf numFmtId="164" fontId="6" fillId="6" borderId="56" xfId="3" applyNumberFormat="1" applyFont="1" applyFill="1" applyBorder="1" applyAlignment="1">
      <alignment horizontal="center"/>
    </xf>
    <xf numFmtId="164" fontId="5" fillId="0" borderId="56" xfId="3" applyNumberFormat="1" applyFont="1" applyFill="1" applyBorder="1" applyAlignment="1">
      <alignment horizontal="center"/>
    </xf>
    <xf numFmtId="164" fontId="5" fillId="0" borderId="63" xfId="3" applyNumberFormat="1" applyFont="1" applyFill="1" applyBorder="1" applyAlignment="1">
      <alignment horizontal="center"/>
    </xf>
    <xf numFmtId="167" fontId="33" fillId="0" borderId="46" xfId="4" applyNumberFormat="1" applyFont="1" applyFill="1" applyBorder="1" applyAlignment="1" applyProtection="1">
      <alignment horizontal="left" vertical="center" wrapText="1" indent="1"/>
      <protection locked="0"/>
    </xf>
    <xf numFmtId="166" fontId="29" fillId="0" borderId="5" xfId="1" applyNumberFormat="1" applyFont="1" applyFill="1" applyBorder="1" applyAlignment="1" applyProtection="1">
      <alignment vertical="center" wrapText="1"/>
      <protection locked="0"/>
    </xf>
    <xf numFmtId="166" fontId="6" fillId="0" borderId="5" xfId="1" applyNumberFormat="1" applyFont="1" applyBorder="1" applyAlignment="1"/>
    <xf numFmtId="166" fontId="6" fillId="0" borderId="19" xfId="1" applyNumberFormat="1" applyFont="1" applyBorder="1"/>
    <xf numFmtId="166" fontId="6" fillId="0" borderId="16" xfId="1" applyNumberFormat="1" applyFont="1" applyBorder="1" applyAlignment="1">
      <alignment vertical="distributed" wrapText="1"/>
    </xf>
    <xf numFmtId="166" fontId="14" fillId="0" borderId="37" xfId="1" applyNumberFormat="1" applyFont="1" applyBorder="1"/>
    <xf numFmtId="166" fontId="29" fillId="0" borderId="16" xfId="1" applyNumberFormat="1" applyFont="1" applyFill="1" applyBorder="1" applyAlignment="1" applyProtection="1">
      <alignment vertical="center" wrapText="1"/>
      <protection locked="0"/>
    </xf>
    <xf numFmtId="166" fontId="21" fillId="0" borderId="47" xfId="1" applyNumberFormat="1" applyFont="1" applyBorder="1" applyAlignment="1">
      <alignment vertical="distributed" wrapText="1"/>
    </xf>
    <xf numFmtId="166" fontId="21" fillId="0" borderId="50" xfId="1" applyNumberFormat="1" applyFont="1" applyBorder="1" applyAlignment="1">
      <alignment vertical="distributed" wrapText="1"/>
    </xf>
    <xf numFmtId="167" fontId="29" fillId="0" borderId="20" xfId="4" applyNumberFormat="1" applyFont="1" applyFill="1" applyBorder="1" applyAlignment="1" applyProtection="1">
      <alignment vertical="center" wrapText="1"/>
      <protection locked="0"/>
    </xf>
    <xf numFmtId="167" fontId="29" fillId="0" borderId="16" xfId="4" applyNumberFormat="1" applyFont="1" applyFill="1" applyBorder="1" applyAlignment="1" applyProtection="1">
      <alignment vertical="center" wrapText="1"/>
    </xf>
    <xf numFmtId="167" fontId="29" fillId="0" borderId="6" xfId="4" applyNumberFormat="1" applyFont="1" applyFill="1" applyBorder="1" applyAlignment="1" applyProtection="1">
      <alignment vertical="center" wrapText="1"/>
      <protection locked="0"/>
    </xf>
    <xf numFmtId="167" fontId="29" fillId="0" borderId="56" xfId="4" applyNumberFormat="1" applyFont="1" applyFill="1" applyBorder="1" applyAlignment="1">
      <alignment vertical="center" wrapText="1"/>
    </xf>
    <xf numFmtId="166" fontId="6" fillId="0" borderId="16" xfId="1" applyNumberFormat="1" applyFont="1" applyBorder="1" applyAlignment="1">
      <alignment horizontal="distributed" vertical="justify" wrapText="1"/>
    </xf>
    <xf numFmtId="166" fontId="6" fillId="0" borderId="16" xfId="1" applyNumberFormat="1" applyFont="1" applyBorder="1" applyAlignment="1">
      <alignment horizontal="distributed" wrapText="1"/>
    </xf>
    <xf numFmtId="0" fontId="63" fillId="0" borderId="0" xfId="0" applyFont="1"/>
    <xf numFmtId="0" fontId="59" fillId="0" borderId="0" xfId="0" applyFont="1" applyFill="1" applyBorder="1" applyAlignment="1">
      <alignment horizontal="left" vertical="center"/>
    </xf>
    <xf numFmtId="0" fontId="0" fillId="0" borderId="40" xfId="0" applyBorder="1"/>
    <xf numFmtId="0" fontId="0" fillId="10" borderId="0" xfId="0" applyFont="1" applyFill="1" applyAlignment="1">
      <alignment horizontal="center"/>
    </xf>
    <xf numFmtId="166" fontId="0" fillId="10" borderId="0" xfId="1" applyNumberFormat="1" applyFont="1" applyFill="1"/>
    <xf numFmtId="0" fontId="0" fillId="10" borderId="0" xfId="0" applyFont="1" applyFill="1"/>
    <xf numFmtId="0" fontId="0" fillId="11" borderId="0" xfId="0" applyFill="1"/>
    <xf numFmtId="166" fontId="31" fillId="0" borderId="0" xfId="1" applyNumberFormat="1" applyFont="1" applyFill="1"/>
    <xf numFmtId="166" fontId="64" fillId="0" borderId="0" xfId="1" applyNumberFormat="1" applyFont="1"/>
    <xf numFmtId="0" fontId="64" fillId="0" borderId="0" xfId="0" applyFont="1"/>
    <xf numFmtId="0" fontId="65" fillId="0" borderId="0" xfId="0" applyFont="1"/>
    <xf numFmtId="166" fontId="15" fillId="0" borderId="0" xfId="0" applyNumberFormat="1" applyFont="1"/>
    <xf numFmtId="166" fontId="15" fillId="0" borderId="0" xfId="1" applyNumberFormat="1" applyFont="1"/>
    <xf numFmtId="166" fontId="21" fillId="0" borderId="16" xfId="1" applyNumberFormat="1" applyFont="1" applyBorder="1" applyAlignment="1">
      <alignment horizontal="left" vertical="justify" wrapText="1"/>
    </xf>
    <xf numFmtId="166" fontId="21" fillId="0" borderId="16" xfId="1" applyNumberFormat="1" applyFont="1" applyBorder="1" applyAlignment="1">
      <alignment horizontal="left" wrapText="1"/>
    </xf>
    <xf numFmtId="0" fontId="31" fillId="0" borderId="0" xfId="0" applyFont="1"/>
    <xf numFmtId="166" fontId="31" fillId="13" borderId="0" xfId="1" applyNumberFormat="1" applyFont="1" applyFill="1"/>
    <xf numFmtId="166" fontId="21" fillId="0" borderId="22" xfId="1" applyNumberFormat="1" applyFont="1" applyBorder="1" applyAlignment="1">
      <alignment vertical="distributed" wrapText="1"/>
    </xf>
    <xf numFmtId="0" fontId="31" fillId="0" borderId="16" xfId="0" applyFont="1" applyBorder="1"/>
    <xf numFmtId="166" fontId="14" fillId="0" borderId="57" xfId="1" applyNumberFormat="1" applyFont="1" applyBorder="1"/>
    <xf numFmtId="166" fontId="31" fillId="13" borderId="35" xfId="1" applyNumberFormat="1" applyFont="1" applyFill="1" applyBorder="1"/>
    <xf numFmtId="166" fontId="64" fillId="0" borderId="0" xfId="1" applyNumberFormat="1" applyFont="1" applyBorder="1"/>
    <xf numFmtId="166" fontId="66" fillId="0" borderId="0" xfId="1" applyNumberFormat="1" applyFont="1"/>
    <xf numFmtId="166" fontId="64" fillId="10" borderId="0" xfId="1" applyNumberFormat="1" applyFont="1" applyFill="1" applyBorder="1"/>
    <xf numFmtId="166" fontId="31" fillId="14" borderId="0" xfId="1" applyNumberFormat="1" applyFont="1" applyFill="1"/>
    <xf numFmtId="166" fontId="22" fillId="0" borderId="0" xfId="1" applyNumberFormat="1" applyFont="1"/>
    <xf numFmtId="166" fontId="67" fillId="0" borderId="0" xfId="1" applyNumberFormat="1" applyFont="1" applyFill="1"/>
    <xf numFmtId="43" fontId="0" fillId="0" borderId="0" xfId="1" applyFont="1"/>
    <xf numFmtId="0" fontId="15" fillId="14" borderId="5" xfId="0" applyFont="1" applyFill="1" applyBorder="1"/>
    <xf numFmtId="166" fontId="15" fillId="10" borderId="5" xfId="1" applyNumberFormat="1" applyFont="1" applyFill="1" applyBorder="1"/>
    <xf numFmtId="166" fontId="15" fillId="10" borderId="0" xfId="1" applyNumberFormat="1" applyFont="1" applyFill="1"/>
    <xf numFmtId="166" fontId="22" fillId="14" borderId="5" xfId="1" applyNumberFormat="1" applyFont="1" applyFill="1" applyBorder="1"/>
    <xf numFmtId="0" fontId="68" fillId="10" borderId="5" xfId="0" applyFont="1" applyFill="1" applyBorder="1"/>
    <xf numFmtId="166" fontId="31" fillId="10" borderId="5" xfId="1" applyNumberFormat="1" applyFont="1" applyFill="1" applyBorder="1"/>
    <xf numFmtId="0" fontId="0" fillId="14" borderId="0" xfId="0" applyFill="1"/>
    <xf numFmtId="166" fontId="15" fillId="0" borderId="40" xfId="1" applyNumberFormat="1" applyFont="1" applyBorder="1"/>
    <xf numFmtId="166" fontId="0" fillId="0" borderId="0" xfId="1" applyNumberFormat="1" applyFont="1" applyAlignment="1">
      <alignment horizontal="center"/>
    </xf>
    <xf numFmtId="166" fontId="0" fillId="10" borderId="5" xfId="1" applyNumberFormat="1" applyFont="1" applyFill="1" applyBorder="1"/>
    <xf numFmtId="166" fontId="64" fillId="10" borderId="5" xfId="1" applyNumberFormat="1" applyFont="1" applyFill="1" applyBorder="1"/>
    <xf numFmtId="0" fontId="0" fillId="13" borderId="0" xfId="0" applyFill="1"/>
    <xf numFmtId="166" fontId="0" fillId="13" borderId="0" xfId="1" applyNumberFormat="1" applyFont="1" applyFill="1"/>
    <xf numFmtId="0" fontId="0" fillId="10" borderId="0" xfId="0" applyFill="1"/>
    <xf numFmtId="166" fontId="31" fillId="10" borderId="35" xfId="1" applyNumberFormat="1" applyFont="1" applyFill="1" applyBorder="1"/>
    <xf numFmtId="166" fontId="15" fillId="10" borderId="0" xfId="1" applyNumberFormat="1" applyFont="1" applyFill="1" applyBorder="1"/>
    <xf numFmtId="0" fontId="69" fillId="0" borderId="0" xfId="0" applyFont="1"/>
    <xf numFmtId="0" fontId="70" fillId="0" borderId="0" xfId="0" applyFont="1"/>
    <xf numFmtId="0" fontId="3" fillId="0" borderId="35" xfId="0" applyFont="1" applyBorder="1" applyAlignment="1">
      <alignment horizontal="center"/>
    </xf>
    <xf numFmtId="0" fontId="3" fillId="0" borderId="37" xfId="0" applyFont="1" applyBorder="1"/>
    <xf numFmtId="0" fontId="3" fillId="0" borderId="35" xfId="0" applyFont="1" applyBorder="1"/>
    <xf numFmtId="3" fontId="54" fillId="0" borderId="37" xfId="0" applyNumberFormat="1" applyFont="1" applyBorder="1"/>
    <xf numFmtId="3" fontId="3" fillId="0" borderId="37" xfId="0" applyNumberFormat="1" applyFont="1" applyBorder="1"/>
    <xf numFmtId="3" fontId="71" fillId="0" borderId="35" xfId="0" applyNumberFormat="1" applyFont="1" applyBorder="1"/>
    <xf numFmtId="0" fontId="71" fillId="0" borderId="0" xfId="0" applyFont="1"/>
    <xf numFmtId="166" fontId="2" fillId="0" borderId="35" xfId="1" applyNumberFormat="1" applyFont="1" applyBorder="1" applyAlignment="1">
      <alignment horizontal="right"/>
    </xf>
    <xf numFmtId="0" fontId="0" fillId="0" borderId="35" xfId="0" applyBorder="1" applyAlignment="1">
      <alignment horizontal="center"/>
    </xf>
    <xf numFmtId="166" fontId="72" fillId="10" borderId="59" xfId="1" applyNumberFormat="1" applyFont="1" applyFill="1" applyBorder="1" applyAlignment="1">
      <alignment horizontal="right"/>
    </xf>
    <xf numFmtId="0" fontId="0" fillId="0" borderId="38" xfId="0" applyBorder="1"/>
    <xf numFmtId="3" fontId="0" fillId="0" borderId="35" xfId="0" applyNumberFormat="1" applyBorder="1" applyAlignment="1">
      <alignment horizontal="center"/>
    </xf>
    <xf numFmtId="3" fontId="0" fillId="0" borderId="38" xfId="0" applyNumberFormat="1" applyBorder="1"/>
    <xf numFmtId="0" fontId="0" fillId="0" borderId="0" xfId="0" applyAlignment="1"/>
    <xf numFmtId="167" fontId="24" fillId="0" borderId="0" xfId="4" applyNumberFormat="1" applyFont="1" applyFill="1" applyAlignment="1">
      <alignment horizontal="center" vertical="center" wrapText="1"/>
    </xf>
    <xf numFmtId="167" fontId="24" fillId="0" borderId="0" xfId="4" applyNumberFormat="1" applyFont="1" applyFill="1" applyAlignment="1">
      <alignment vertical="center" wrapText="1"/>
    </xf>
    <xf numFmtId="3" fontId="73" fillId="0" borderId="0" xfId="0" applyNumberFormat="1" applyFont="1"/>
    <xf numFmtId="3" fontId="73" fillId="10" borderId="0" xfId="0" applyNumberFormat="1" applyFont="1" applyFill="1"/>
    <xf numFmtId="3" fontId="73" fillId="12" borderId="0" xfId="0" applyNumberFormat="1" applyFont="1" applyFill="1"/>
    <xf numFmtId="3" fontId="31" fillId="13" borderId="35" xfId="1" applyNumberFormat="1" applyFont="1" applyFill="1" applyBorder="1"/>
    <xf numFmtId="167" fontId="24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6" fontId="19" fillId="0" borderId="0" xfId="1" applyNumberFormat="1" applyFont="1" applyFill="1" applyBorder="1" applyAlignment="1" applyProtection="1">
      <alignment vertical="center" wrapText="1"/>
      <protection locked="0"/>
    </xf>
    <xf numFmtId="167" fontId="30" fillId="0" borderId="0" xfId="4" applyNumberFormat="1" applyFont="1" applyFill="1" applyBorder="1" applyAlignment="1" applyProtection="1">
      <alignment vertical="center" wrapText="1"/>
    </xf>
    <xf numFmtId="166" fontId="6" fillId="0" borderId="0" xfId="1" applyNumberFormat="1" applyFont="1" applyBorder="1" applyAlignment="1"/>
    <xf numFmtId="166" fontId="8" fillId="0" borderId="37" xfId="1" applyNumberFormat="1" applyFont="1" applyBorder="1" applyAlignment="1">
      <alignment horizontal="left"/>
    </xf>
    <xf numFmtId="166" fontId="8" fillId="0" borderId="28" xfId="1" applyNumberFormat="1" applyFont="1" applyBorder="1"/>
    <xf numFmtId="166" fontId="8" fillId="0" borderId="36" xfId="1" applyNumberFormat="1" applyFont="1" applyBorder="1" applyAlignment="1"/>
    <xf numFmtId="166" fontId="6" fillId="0" borderId="59" xfId="1" applyNumberFormat="1" applyFont="1" applyBorder="1"/>
    <xf numFmtId="166" fontId="6" fillId="0" borderId="30" xfId="1" applyNumberFormat="1" applyFont="1" applyBorder="1"/>
    <xf numFmtId="166" fontId="6" fillId="0" borderId="40" xfId="1" applyNumberFormat="1" applyFont="1" applyBorder="1" applyAlignment="1"/>
    <xf numFmtId="166" fontId="6" fillId="0" borderId="55" xfId="1" applyNumberFormat="1" applyFont="1" applyBorder="1" applyAlignment="1"/>
    <xf numFmtId="166" fontId="6" fillId="0" borderId="46" xfId="1" applyNumberFormat="1" applyFont="1" applyBorder="1" applyAlignment="1">
      <alignment horizontal="left"/>
    </xf>
    <xf numFmtId="166" fontId="6" fillId="0" borderId="64" xfId="1" applyNumberFormat="1" applyFont="1" applyBorder="1" applyAlignment="1">
      <alignment horizontal="left"/>
    </xf>
    <xf numFmtId="166" fontId="31" fillId="0" borderId="35" xfId="1" applyNumberFormat="1" applyFont="1" applyBorder="1"/>
    <xf numFmtId="166" fontId="1" fillId="0" borderId="0" xfId="1" applyNumberFormat="1" applyFont="1"/>
    <xf numFmtId="0" fontId="1" fillId="0" borderId="0" xfId="0" applyFont="1"/>
    <xf numFmtId="166" fontId="1" fillId="0" borderId="0" xfId="0" applyNumberFormat="1" applyFont="1"/>
    <xf numFmtId="167" fontId="25" fillId="0" borderId="54" xfId="4" applyNumberFormat="1" applyFont="1" applyFill="1" applyBorder="1" applyAlignment="1">
      <alignment horizontal="center" vertical="center" wrapText="1"/>
    </xf>
    <xf numFmtId="167" fontId="26" fillId="0" borderId="65" xfId="4" applyNumberFormat="1" applyFont="1" applyFill="1" applyBorder="1" applyAlignment="1" applyProtection="1">
      <alignment horizontal="center" vertical="center" wrapText="1"/>
    </xf>
    <xf numFmtId="0" fontId="0" fillId="0" borderId="54" xfId="0" applyFont="1" applyBorder="1" applyAlignment="1"/>
    <xf numFmtId="0" fontId="0" fillId="0" borderId="65" xfId="0" applyFont="1" applyBorder="1" applyAlignment="1"/>
    <xf numFmtId="166" fontId="31" fillId="0" borderId="37" xfId="1" applyNumberFormat="1" applyFont="1" applyBorder="1"/>
    <xf numFmtId="166" fontId="8" fillId="0" borderId="54" xfId="1" applyNumberFormat="1" applyFont="1" applyBorder="1"/>
    <xf numFmtId="167" fontId="25" fillId="0" borderId="35" xfId="4" applyNumberFormat="1" applyFont="1" applyFill="1" applyBorder="1" applyAlignment="1" applyProtection="1">
      <alignment horizontal="center" vertical="center" wrapText="1"/>
    </xf>
    <xf numFmtId="167" fontId="26" fillId="0" borderId="38" xfId="4" applyNumberFormat="1" applyFont="1" applyFill="1" applyBorder="1" applyAlignment="1" applyProtection="1">
      <alignment horizontal="center" vertical="center" wrapText="1"/>
    </xf>
    <xf numFmtId="167" fontId="30" fillId="0" borderId="35" xfId="4" applyNumberFormat="1" applyFont="1" applyFill="1" applyBorder="1" applyAlignment="1" applyProtection="1">
      <alignment vertical="center" wrapText="1"/>
    </xf>
    <xf numFmtId="167" fontId="30" fillId="0" borderId="57" xfId="4" applyNumberFormat="1" applyFont="1" applyFill="1" applyBorder="1" applyAlignment="1" applyProtection="1">
      <alignment vertical="center" wrapText="1"/>
    </xf>
    <xf numFmtId="167" fontId="30" fillId="0" borderId="56" xfId="4" applyNumberFormat="1" applyFont="1" applyFill="1" applyBorder="1" applyAlignment="1" applyProtection="1">
      <alignment vertical="center" wrapText="1"/>
    </xf>
    <xf numFmtId="166" fontId="8" fillId="0" borderId="0" xfId="1" applyNumberFormat="1" applyFont="1" applyBorder="1" applyAlignment="1">
      <alignment horizontal="left"/>
    </xf>
    <xf numFmtId="166" fontId="8" fillId="0" borderId="0" xfId="1" applyNumberFormat="1" applyFont="1" applyBorder="1"/>
    <xf numFmtId="166" fontId="8" fillId="0" borderId="0" xfId="1" applyNumberFormat="1" applyFont="1" applyBorder="1" applyAlignment="1"/>
    <xf numFmtId="166" fontId="31" fillId="0" borderId="54" xfId="1" applyNumberFormat="1" applyFont="1" applyBorder="1"/>
    <xf numFmtId="167" fontId="30" fillId="0" borderId="58" xfId="4" applyNumberFormat="1" applyFont="1" applyFill="1" applyBorder="1" applyAlignment="1" applyProtection="1">
      <alignment vertical="center" wrapText="1"/>
    </xf>
    <xf numFmtId="167" fontId="36" fillId="0" borderId="38" xfId="4" applyNumberFormat="1" applyFont="1" applyFill="1" applyBorder="1" applyAlignment="1" applyProtection="1">
      <alignment vertical="center" wrapText="1"/>
    </xf>
    <xf numFmtId="167" fontId="33" fillId="0" borderId="35" xfId="4" applyNumberFormat="1" applyFont="1" applyFill="1" applyBorder="1" applyAlignment="1" applyProtection="1">
      <alignment vertical="center" wrapText="1"/>
    </xf>
    <xf numFmtId="167" fontId="32" fillId="0" borderId="66" xfId="4" applyNumberFormat="1" applyFont="1" applyFill="1" applyBorder="1" applyAlignment="1" applyProtection="1">
      <alignment horizontal="left" vertical="center" wrapText="1" indent="1"/>
      <protection locked="0"/>
    </xf>
    <xf numFmtId="1" fontId="29" fillId="0" borderId="12" xfId="4" applyNumberFormat="1" applyFont="1" applyFill="1" applyBorder="1" applyAlignment="1" applyProtection="1">
      <alignment horizontal="right" vertical="center" wrapText="1"/>
      <protection locked="0"/>
    </xf>
    <xf numFmtId="1" fontId="29" fillId="0" borderId="18" xfId="4" applyNumberFormat="1" applyFont="1" applyFill="1" applyBorder="1" applyAlignment="1" applyProtection="1">
      <alignment horizontal="right" vertical="center" wrapText="1"/>
      <protection locked="0"/>
    </xf>
    <xf numFmtId="0" fontId="0" fillId="0" borderId="30" xfId="0" applyFont="1" applyBorder="1" applyAlignment="1"/>
    <xf numFmtId="167" fontId="36" fillId="0" borderId="42" xfId="4" applyNumberFormat="1" applyFont="1" applyFill="1" applyBorder="1" applyAlignment="1">
      <alignment horizontal="left" vertical="center" wrapText="1"/>
    </xf>
    <xf numFmtId="167" fontId="37" fillId="0" borderId="33" xfId="4" applyNumberFormat="1" applyFont="1" applyFill="1" applyBorder="1" applyAlignment="1">
      <alignment vertical="center" wrapText="1"/>
    </xf>
    <xf numFmtId="167" fontId="37" fillId="0" borderId="65" xfId="4" applyNumberFormat="1" applyFont="1" applyFill="1" applyBorder="1" applyAlignment="1">
      <alignment vertical="center" wrapText="1"/>
    </xf>
    <xf numFmtId="166" fontId="39" fillId="0" borderId="11" xfId="1" quotePrefix="1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Continuous"/>
    </xf>
    <xf numFmtId="0" fontId="4" fillId="0" borderId="5" xfId="0" applyFont="1" applyBorder="1"/>
    <xf numFmtId="164" fontId="4" fillId="0" borderId="0" xfId="0" applyNumberFormat="1" applyFont="1"/>
    <xf numFmtId="168" fontId="4" fillId="0" borderId="0" xfId="0" applyNumberFormat="1" applyFont="1"/>
    <xf numFmtId="0" fontId="6" fillId="0" borderId="5" xfId="2" applyFont="1" applyBorder="1" applyAlignment="1">
      <alignment horizontal="left"/>
    </xf>
    <xf numFmtId="0" fontId="6" fillId="0" borderId="5" xfId="2" applyFont="1" applyBorder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8" fillId="0" borderId="0" xfId="5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7" fillId="0" borderId="0" xfId="1" applyNumberFormat="1" applyFont="1" applyAlignment="1">
      <alignment vertical="center"/>
    </xf>
    <xf numFmtId="166" fontId="16" fillId="0" borderId="0" xfId="1" applyNumberFormat="1" applyFont="1" applyAlignment="1">
      <alignment vertical="center"/>
    </xf>
    <xf numFmtId="166" fontId="19" fillId="0" borderId="0" xfId="1" applyNumberFormat="1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4" fillId="0" borderId="0" xfId="5" applyFont="1" applyAlignment="1">
      <alignment vertical="center"/>
    </xf>
    <xf numFmtId="3" fontId="2" fillId="0" borderId="35" xfId="0" applyNumberFormat="1" applyFont="1" applyBorder="1"/>
    <xf numFmtId="0" fontId="2" fillId="0" borderId="0" xfId="0" applyFont="1"/>
    <xf numFmtId="0" fontId="0" fillId="0" borderId="35" xfId="0" applyBorder="1"/>
    <xf numFmtId="0" fontId="0" fillId="0" borderId="55" xfId="0" applyBorder="1"/>
    <xf numFmtId="3" fontId="55" fillId="0" borderId="36" xfId="0" applyNumberFormat="1" applyFont="1" applyBorder="1"/>
    <xf numFmtId="0" fontId="71" fillId="0" borderId="35" xfId="0" applyFont="1" applyBorder="1"/>
    <xf numFmtId="0" fontId="71" fillId="0" borderId="55" xfId="0" applyFont="1" applyBorder="1"/>
    <xf numFmtId="166" fontId="72" fillId="10" borderId="55" xfId="1" applyNumberFormat="1" applyFont="1" applyFill="1" applyBorder="1" applyAlignment="1">
      <alignment horizontal="right"/>
    </xf>
    <xf numFmtId="166" fontId="3" fillId="0" borderId="35" xfId="0" applyNumberFormat="1" applyFont="1" applyBorder="1"/>
    <xf numFmtId="0" fontId="3" fillId="0" borderId="55" xfId="0" applyFont="1" applyBorder="1"/>
    <xf numFmtId="166" fontId="55" fillId="0" borderId="35" xfId="0" applyNumberFormat="1" applyFont="1" applyBorder="1"/>
    <xf numFmtId="3" fontId="0" fillId="0" borderId="40" xfId="0" applyNumberFormat="1" applyBorder="1"/>
    <xf numFmtId="3" fontId="76" fillId="0" borderId="35" xfId="0" applyNumberFormat="1" applyFont="1" applyBorder="1"/>
    <xf numFmtId="0" fontId="76" fillId="0" borderId="0" xfId="0" applyFont="1" applyBorder="1"/>
    <xf numFmtId="0" fontId="76" fillId="0" borderId="55" xfId="0" applyFont="1" applyBorder="1"/>
    <xf numFmtId="0" fontId="77" fillId="0" borderId="0" xfId="0" applyFont="1"/>
    <xf numFmtId="3" fontId="70" fillId="0" borderId="0" xfId="0" applyNumberFormat="1" applyFont="1"/>
    <xf numFmtId="3" fontId="78" fillId="0" borderId="35" xfId="0" applyNumberFormat="1" applyFont="1" applyBorder="1" applyAlignment="1">
      <alignment horizontal="center"/>
    </xf>
    <xf numFmtId="3" fontId="78" fillId="0" borderId="35" xfId="0" applyNumberFormat="1" applyFont="1" applyBorder="1" applyAlignment="1"/>
    <xf numFmtId="3" fontId="79" fillId="0" borderId="35" xfId="0" applyNumberFormat="1" applyFont="1" applyBorder="1" applyAlignment="1">
      <alignment horizontal="center"/>
    </xf>
    <xf numFmtId="3" fontId="70" fillId="0" borderId="35" xfId="0" applyNumberFormat="1" applyFont="1" applyBorder="1"/>
    <xf numFmtId="3" fontId="78" fillId="0" borderId="35" xfId="0" applyNumberFormat="1" applyFont="1" applyBorder="1"/>
    <xf numFmtId="0" fontId="78" fillId="0" borderId="0" xfId="0" applyFont="1"/>
    <xf numFmtId="3" fontId="75" fillId="0" borderId="35" xfId="0" applyNumberFormat="1" applyFont="1" applyBorder="1"/>
    <xf numFmtId="3" fontId="55" fillId="0" borderId="35" xfId="0" applyNumberFormat="1" applyFont="1" applyBorder="1" applyAlignment="1">
      <alignment horizontal="center"/>
    </xf>
    <xf numFmtId="0" fontId="81" fillId="0" borderId="0" xfId="0" applyFont="1" applyFill="1"/>
    <xf numFmtId="0" fontId="55" fillId="0" borderId="2" xfId="0" applyFont="1" applyBorder="1"/>
    <xf numFmtId="0" fontId="55" fillId="0" borderId="61" xfId="0" applyFont="1" applyBorder="1"/>
    <xf numFmtId="0" fontId="75" fillId="0" borderId="19" xfId="0" quotePrefix="1" applyFont="1" applyBorder="1" applyAlignment="1">
      <alignment wrapText="1"/>
    </xf>
    <xf numFmtId="0" fontId="75" fillId="0" borderId="2" xfId="0" applyFont="1" applyBorder="1"/>
    <xf numFmtId="0" fontId="75" fillId="0" borderId="11" xfId="0" quotePrefix="1" applyFont="1" applyBorder="1" applyAlignment="1">
      <alignment wrapText="1"/>
    </xf>
    <xf numFmtId="0" fontId="75" fillId="0" borderId="16" xfId="0" applyFont="1" applyBorder="1" applyAlignment="1">
      <alignment horizontal="center" wrapText="1"/>
    </xf>
    <xf numFmtId="166" fontId="0" fillId="0" borderId="4" xfId="0" applyNumberFormat="1" applyBorder="1"/>
    <xf numFmtId="166" fontId="4" fillId="0" borderId="16" xfId="1" applyNumberFormat="1" applyFont="1" applyBorder="1"/>
    <xf numFmtId="3" fontId="4" fillId="0" borderId="35" xfId="0" applyNumberFormat="1" applyFont="1" applyBorder="1" applyAlignment="1">
      <alignment wrapText="1"/>
    </xf>
    <xf numFmtId="166" fontId="4" fillId="0" borderId="14" xfId="1" applyNumberFormat="1" applyFont="1" applyBorder="1"/>
    <xf numFmtId="166" fontId="4" fillId="0" borderId="5" xfId="1" applyNumberFormat="1" applyFont="1" applyBorder="1"/>
    <xf numFmtId="166" fontId="4" fillId="0" borderId="13" xfId="1" applyNumberFormat="1" applyFont="1" applyBorder="1"/>
    <xf numFmtId="166" fontId="4" fillId="0" borderId="11" xfId="1" applyNumberFormat="1" applyFont="1" applyBorder="1"/>
    <xf numFmtId="166" fontId="4" fillId="0" borderId="6" xfId="1" applyNumberFormat="1" applyFont="1" applyBorder="1"/>
    <xf numFmtId="0" fontId="81" fillId="0" borderId="15" xfId="0" applyFont="1" applyFill="1" applyBorder="1" applyAlignment="1">
      <alignment horizontal="left" vertical="center" wrapText="1"/>
    </xf>
    <xf numFmtId="166" fontId="4" fillId="0" borderId="5" xfId="1" applyNumberFormat="1" applyFont="1" applyFill="1" applyBorder="1"/>
    <xf numFmtId="166" fontId="55" fillId="0" borderId="4" xfId="0" applyNumberFormat="1" applyFont="1" applyBorder="1"/>
    <xf numFmtId="166" fontId="16" fillId="0" borderId="4" xfId="1" applyNumberFormat="1" applyFont="1" applyBorder="1"/>
    <xf numFmtId="166" fontId="16" fillId="0" borderId="56" xfId="1" applyNumberFormat="1" applyFont="1" applyBorder="1"/>
    <xf numFmtId="166" fontId="4" fillId="0" borderId="22" xfId="1" applyNumberFormat="1" applyFont="1" applyBorder="1"/>
    <xf numFmtId="166" fontId="4" fillId="0" borderId="48" xfId="1" applyNumberFormat="1" applyFont="1" applyBorder="1"/>
    <xf numFmtId="166" fontId="4" fillId="0" borderId="23" xfId="1" applyNumberFormat="1" applyFont="1" applyBorder="1"/>
    <xf numFmtId="166" fontId="16" fillId="0" borderId="69" xfId="0" applyNumberFormat="1" applyFont="1" applyBorder="1"/>
    <xf numFmtId="166" fontId="16" fillId="0" borderId="28" xfId="0" applyNumberFormat="1" applyFont="1" applyBorder="1"/>
    <xf numFmtId="166" fontId="16" fillId="0" borderId="29" xfId="0" applyNumberFormat="1" applyFont="1" applyBorder="1"/>
    <xf numFmtId="166" fontId="16" fillId="0" borderId="7" xfId="0" applyNumberFormat="1" applyFont="1" applyBorder="1"/>
    <xf numFmtId="166" fontId="16" fillId="0" borderId="63" xfId="0" applyNumberFormat="1" applyFont="1" applyBorder="1"/>
    <xf numFmtId="0" fontId="16" fillId="0" borderId="0" xfId="0" applyFont="1"/>
    <xf numFmtId="166" fontId="4" fillId="0" borderId="0" xfId="0" applyNumberFormat="1" applyFont="1"/>
    <xf numFmtId="0" fontId="7" fillId="0" borderId="0" xfId="0" applyFont="1"/>
    <xf numFmtId="0" fontId="76" fillId="10" borderId="37" xfId="0" applyFont="1" applyFill="1" applyBorder="1" applyAlignment="1">
      <alignment horizontal="center"/>
    </xf>
    <xf numFmtId="170" fontId="19" fillId="0" borderId="44" xfId="1" applyNumberFormat="1" applyFont="1" applyBorder="1"/>
    <xf numFmtId="0" fontId="76" fillId="0" borderId="0" xfId="0" applyFont="1"/>
    <xf numFmtId="3" fontId="83" fillId="0" borderId="0" xfId="0" applyNumberFormat="1" applyFont="1"/>
    <xf numFmtId="166" fontId="80" fillId="0" borderId="35" xfId="1" applyNumberFormat="1" applyFont="1" applyBorder="1"/>
    <xf numFmtId="166" fontId="84" fillId="10" borderId="5" xfId="1" applyNumberFormat="1" applyFont="1" applyFill="1" applyBorder="1" applyAlignment="1">
      <alignment horizontal="center"/>
    </xf>
    <xf numFmtId="164" fontId="10" fillId="0" borderId="22" xfId="3" applyNumberFormat="1" applyFont="1" applyBorder="1" applyAlignment="1">
      <alignment horizontal="center"/>
    </xf>
    <xf numFmtId="164" fontId="5" fillId="0" borderId="11" xfId="3" applyNumberFormat="1" applyFont="1" applyBorder="1" applyAlignment="1">
      <alignment horizontal="center"/>
    </xf>
    <xf numFmtId="0" fontId="6" fillId="0" borderId="5" xfId="2" applyFont="1" applyBorder="1" applyAlignment="1">
      <alignment horizontal="left"/>
    </xf>
    <xf numFmtId="0" fontId="6" fillId="0" borderId="5" xfId="2" applyFont="1" applyBorder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71" fillId="0" borderId="36" xfId="0" applyFont="1" applyBorder="1" applyAlignment="1">
      <alignment horizontal="center"/>
    </xf>
    <xf numFmtId="0" fontId="76" fillId="0" borderId="36" xfId="0" applyFont="1" applyBorder="1" applyAlignment="1">
      <alignment horizontal="center"/>
    </xf>
    <xf numFmtId="0" fontId="71" fillId="0" borderId="44" xfId="0" applyFont="1" applyBorder="1" applyAlignment="1">
      <alignment horizontal="center"/>
    </xf>
    <xf numFmtId="3" fontId="85" fillId="0" borderId="0" xfId="0" applyNumberFormat="1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5" xfId="0" applyFont="1" applyFill="1" applyBorder="1" applyAlignment="1">
      <alignment horizontal="center"/>
    </xf>
    <xf numFmtId="0" fontId="40" fillId="0" borderId="11" xfId="0" applyFont="1" applyFill="1" applyBorder="1" applyAlignment="1">
      <alignment horizontal="center"/>
    </xf>
    <xf numFmtId="0" fontId="40" fillId="0" borderId="22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3" fillId="6" borderId="72" xfId="2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/>
    </xf>
    <xf numFmtId="166" fontId="40" fillId="0" borderId="0" xfId="0" applyNumberFormat="1" applyFont="1"/>
    <xf numFmtId="166" fontId="21" fillId="0" borderId="5" xfId="1" applyNumberFormat="1" applyFont="1" applyBorder="1" applyAlignment="1">
      <alignment vertical="distributed" wrapText="1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 wrapText="1"/>
    </xf>
    <xf numFmtId="0" fontId="5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Border="1" applyAlignment="1">
      <alignment horizontal="right"/>
    </xf>
    <xf numFmtId="0" fontId="12" fillId="0" borderId="1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/>
    </xf>
    <xf numFmtId="0" fontId="6" fillId="0" borderId="5" xfId="2" applyFont="1" applyBorder="1" applyAlignment="1">
      <alignment horizontal="left" vertical="center"/>
    </xf>
    <xf numFmtId="0" fontId="6" fillId="0" borderId="5" xfId="2" applyFont="1" applyBorder="1" applyAlignment="1">
      <alignment horizontal="right" vertical="center"/>
    </xf>
    <xf numFmtId="0" fontId="6" fillId="0" borderId="16" xfId="2" applyFont="1" applyBorder="1" applyAlignment="1">
      <alignment horizontal="right" wrapText="1"/>
    </xf>
    <xf numFmtId="0" fontId="6" fillId="0" borderId="14" xfId="2" applyFont="1" applyBorder="1" applyAlignment="1">
      <alignment horizontal="right" wrapText="1"/>
    </xf>
    <xf numFmtId="0" fontId="6" fillId="0" borderId="5" xfId="2" applyFont="1" applyBorder="1" applyAlignment="1">
      <alignment horizontal="right" vertical="center" wrapText="1"/>
    </xf>
    <xf numFmtId="0" fontId="6" fillId="0" borderId="16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5" fillId="3" borderId="16" xfId="2" applyFont="1" applyFill="1" applyBorder="1" applyAlignment="1">
      <alignment horizontal="left" vertical="center"/>
    </xf>
    <xf numFmtId="0" fontId="14" fillId="3" borderId="14" xfId="0" applyFont="1" applyFill="1" applyBorder="1" applyAlignment="1"/>
    <xf numFmtId="0" fontId="6" fillId="0" borderId="5" xfId="2" applyFont="1" applyBorder="1" applyAlignment="1">
      <alignment horizontal="left"/>
    </xf>
    <xf numFmtId="0" fontId="5" fillId="3" borderId="5" xfId="2" applyFont="1" applyFill="1" applyBorder="1" applyAlignment="1">
      <alignment horizontal="left" vertical="center" wrapText="1"/>
    </xf>
    <xf numFmtId="0" fontId="6" fillId="0" borderId="5" xfId="2" applyFont="1" applyBorder="1" applyAlignment="1">
      <alignment horizontal="left" wrapText="1"/>
    </xf>
    <xf numFmtId="0" fontId="17" fillId="5" borderId="5" xfId="2" applyFont="1" applyFill="1" applyBorder="1" applyAlignment="1">
      <alignment horizontal="left" wrapText="1"/>
    </xf>
    <xf numFmtId="0" fontId="6" fillId="7" borderId="5" xfId="2" applyFont="1" applyFill="1" applyBorder="1" applyAlignment="1">
      <alignment horizontal="center"/>
    </xf>
    <xf numFmtId="0" fontId="8" fillId="5" borderId="5" xfId="2" applyFont="1" applyFill="1" applyBorder="1" applyAlignment="1">
      <alignment horizontal="center"/>
    </xf>
    <xf numFmtId="0" fontId="5" fillId="0" borderId="5" xfId="2" applyFont="1" applyBorder="1" applyAlignment="1">
      <alignment horizontal="left" wrapText="1"/>
    </xf>
    <xf numFmtId="0" fontId="5" fillId="3" borderId="5" xfId="2" applyFont="1" applyFill="1" applyBorder="1" applyAlignment="1">
      <alignment horizontal="left"/>
    </xf>
    <xf numFmtId="0" fontId="8" fillId="0" borderId="5" xfId="2" applyFont="1" applyBorder="1" applyAlignment="1">
      <alignment horizontal="left"/>
    </xf>
    <xf numFmtId="0" fontId="17" fillId="5" borderId="5" xfId="2" applyFont="1" applyFill="1" applyBorder="1" applyAlignment="1">
      <alignment horizontal="left"/>
    </xf>
    <xf numFmtId="0" fontId="5" fillId="0" borderId="5" xfId="2" applyFont="1" applyBorder="1" applyAlignment="1">
      <alignment horizontal="left"/>
    </xf>
    <xf numFmtId="0" fontId="6" fillId="0" borderId="16" xfId="2" applyFont="1" applyBorder="1" applyAlignment="1">
      <alignment horizontal="left"/>
    </xf>
    <xf numFmtId="0" fontId="0" fillId="0" borderId="14" xfId="0" applyBorder="1" applyAlignment="1">
      <alignment horizontal="left"/>
    </xf>
    <xf numFmtId="0" fontId="5" fillId="8" borderId="5" xfId="2" applyFont="1" applyFill="1" applyBorder="1" applyAlignment="1">
      <alignment horizontal="left"/>
    </xf>
    <xf numFmtId="0" fontId="6" fillId="0" borderId="14" xfId="2" applyFont="1" applyBorder="1" applyAlignment="1">
      <alignment horizontal="left"/>
    </xf>
    <xf numFmtId="0" fontId="20" fillId="0" borderId="5" xfId="2" applyFont="1" applyBorder="1" applyAlignment="1">
      <alignment horizontal="left" wrapText="1"/>
    </xf>
    <xf numFmtId="0" fontId="12" fillId="0" borderId="2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61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/>
    </xf>
    <xf numFmtId="0" fontId="6" fillId="0" borderId="16" xfId="2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6" fillId="6" borderId="5" xfId="2" applyFont="1" applyFill="1" applyBorder="1" applyAlignment="1">
      <alignment horizontal="left"/>
    </xf>
    <xf numFmtId="0" fontId="0" fillId="0" borderId="16" xfId="0" applyBorder="1" applyAlignment="1">
      <alignment horizontal="right" vertical="center"/>
    </xf>
    <xf numFmtId="0" fontId="0" fillId="0" borderId="16" xfId="0" applyBorder="1" applyAlignment="1">
      <alignment horizontal="right" vertical="center" wrapText="1"/>
    </xf>
    <xf numFmtId="0" fontId="6" fillId="6" borderId="22" xfId="2" applyFont="1" applyFill="1" applyBorder="1" applyAlignment="1">
      <alignment horizontal="left"/>
    </xf>
    <xf numFmtId="0" fontId="21" fillId="0" borderId="16" xfId="2" applyFont="1" applyBorder="1" applyAlignment="1">
      <alignment horizontal="right" wrapText="1"/>
    </xf>
    <xf numFmtId="0" fontId="21" fillId="0" borderId="17" xfId="2" applyFont="1" applyBorder="1" applyAlignment="1">
      <alignment horizontal="right" wrapText="1"/>
    </xf>
    <xf numFmtId="0" fontId="6" fillId="0" borderId="16" xfId="2" applyFont="1" applyBorder="1" applyAlignment="1">
      <alignment horizontal="right" vertical="center" wrapText="1"/>
    </xf>
    <xf numFmtId="0" fontId="6" fillId="0" borderId="25" xfId="2" applyFont="1" applyBorder="1" applyAlignment="1">
      <alignment horizontal="right" vertical="center" wrapText="1"/>
    </xf>
    <xf numFmtId="0" fontId="6" fillId="0" borderId="62" xfId="2" applyFont="1" applyBorder="1" applyAlignment="1">
      <alignment horizontal="right" vertical="center" wrapText="1"/>
    </xf>
    <xf numFmtId="0" fontId="12" fillId="0" borderId="28" xfId="2" applyFont="1" applyBorder="1" applyAlignment="1">
      <alignment horizontal="left"/>
    </xf>
    <xf numFmtId="0" fontId="12" fillId="0" borderId="30" xfId="2" applyFont="1" applyBorder="1" applyAlignment="1">
      <alignment horizontal="left"/>
    </xf>
    <xf numFmtId="0" fontId="12" fillId="0" borderId="31" xfId="2" applyFont="1" applyBorder="1" applyAlignment="1">
      <alignment horizontal="left"/>
    </xf>
    <xf numFmtId="0" fontId="6" fillId="0" borderId="11" xfId="2" applyFont="1" applyBorder="1" applyAlignment="1">
      <alignment horizontal="left"/>
    </xf>
    <xf numFmtId="0" fontId="6" fillId="0" borderId="11" xfId="2" applyFont="1" applyBorder="1" applyAlignment="1">
      <alignment horizontal="left" vertical="center" wrapText="1"/>
    </xf>
    <xf numFmtId="0" fontId="6" fillId="0" borderId="47" xfId="2" applyFont="1" applyBorder="1" applyAlignment="1">
      <alignment horizontal="left" vertical="center" wrapText="1"/>
    </xf>
    <xf numFmtId="0" fontId="8" fillId="6" borderId="5" xfId="2" applyFont="1" applyFill="1" applyBorder="1" applyAlignment="1">
      <alignment horizontal="left" wrapText="1"/>
    </xf>
    <xf numFmtId="0" fontId="8" fillId="6" borderId="16" xfId="2" applyFont="1" applyFill="1" applyBorder="1" applyAlignment="1">
      <alignment horizontal="left" wrapText="1"/>
    </xf>
    <xf numFmtId="0" fontId="6" fillId="0" borderId="22" xfId="2" applyFont="1" applyBorder="1" applyAlignment="1">
      <alignment horizontal="left"/>
    </xf>
    <xf numFmtId="0" fontId="6" fillId="0" borderId="22" xfId="2" applyFont="1" applyBorder="1" applyAlignment="1">
      <alignment horizontal="left" vertical="center" wrapText="1"/>
    </xf>
    <xf numFmtId="0" fontId="6" fillId="0" borderId="48" xfId="2" applyFont="1" applyBorder="1" applyAlignment="1">
      <alignment horizontal="left" vertical="center" wrapText="1"/>
    </xf>
    <xf numFmtId="0" fontId="12" fillId="0" borderId="28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0" fontId="6" fillId="6" borderId="5" xfId="2" applyFont="1" applyFill="1" applyBorder="1" applyAlignment="1">
      <alignment horizontal="left" wrapText="1"/>
    </xf>
    <xf numFmtId="0" fontId="6" fillId="6" borderId="16" xfId="2" applyFont="1" applyFill="1" applyBorder="1" applyAlignment="1">
      <alignment horizontal="left" wrapText="1"/>
    </xf>
    <xf numFmtId="0" fontId="8" fillId="6" borderId="17" xfId="2" applyFont="1" applyFill="1" applyBorder="1" applyAlignment="1">
      <alignment horizontal="left" wrapText="1"/>
    </xf>
    <xf numFmtId="0" fontId="12" fillId="0" borderId="5" xfId="2" applyFont="1" applyBorder="1" applyAlignment="1">
      <alignment horizontal="left"/>
    </xf>
    <xf numFmtId="0" fontId="8" fillId="0" borderId="16" xfId="2" applyFont="1" applyBorder="1" applyAlignment="1">
      <alignment horizontal="left" wrapText="1"/>
    </xf>
    <xf numFmtId="0" fontId="8" fillId="0" borderId="17" xfId="2" applyFont="1" applyBorder="1" applyAlignment="1">
      <alignment horizontal="left" wrapText="1"/>
    </xf>
    <xf numFmtId="0" fontId="6" fillId="6" borderId="5" xfId="2" applyFont="1" applyFill="1" applyBorder="1" applyAlignment="1">
      <alignment horizontal="center"/>
    </xf>
    <xf numFmtId="0" fontId="6" fillId="6" borderId="16" xfId="2" applyFont="1" applyFill="1" applyBorder="1" applyAlignment="1">
      <alignment horizontal="center"/>
    </xf>
    <xf numFmtId="0" fontId="6" fillId="0" borderId="0" xfId="2" applyFont="1" applyBorder="1" applyAlignment="1">
      <alignment horizontal="left"/>
    </xf>
    <xf numFmtId="0" fontId="5" fillId="0" borderId="16" xfId="2" applyFont="1" applyBorder="1" applyAlignment="1">
      <alignment horizontal="left" wrapText="1"/>
    </xf>
    <xf numFmtId="0" fontId="5" fillId="0" borderId="8" xfId="2" applyFont="1" applyBorder="1" applyAlignment="1">
      <alignment horizontal="left"/>
    </xf>
    <xf numFmtId="0" fontId="5" fillId="0" borderId="8" xfId="2" applyFont="1" applyBorder="1" applyAlignment="1">
      <alignment horizontal="left" wrapText="1"/>
    </xf>
    <xf numFmtId="0" fontId="5" fillId="0" borderId="25" xfId="2" applyFont="1" applyBorder="1" applyAlignment="1">
      <alignment horizontal="left" wrapText="1"/>
    </xf>
    <xf numFmtId="0" fontId="5" fillId="0" borderId="0" xfId="2" applyFont="1" applyBorder="1" applyAlignment="1">
      <alignment horizontal="left"/>
    </xf>
    <xf numFmtId="167" fontId="24" fillId="0" borderId="0" xfId="4" applyNumberFormat="1" applyFont="1" applyFill="1" applyAlignment="1">
      <alignment horizontal="center" vertical="center" wrapText="1"/>
    </xf>
    <xf numFmtId="167" fontId="24" fillId="0" borderId="0" xfId="4" applyNumberFormat="1" applyFont="1" applyFill="1" applyAlignment="1">
      <alignment vertical="center" wrapText="1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5" xfId="0" applyFont="1" applyFill="1" applyBorder="1" applyAlignment="1">
      <alignment horizontal="left" vertical="center" wrapText="1"/>
    </xf>
    <xf numFmtId="0" fontId="40" fillId="0" borderId="5" xfId="0" quotePrefix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/>
    </xf>
    <xf numFmtId="0" fontId="40" fillId="0" borderId="5" xfId="0" applyFont="1" applyFill="1" applyBorder="1" applyAlignment="1">
      <alignment horizontal="center"/>
    </xf>
    <xf numFmtId="164" fontId="40" fillId="0" borderId="5" xfId="0" applyNumberFormat="1" applyFont="1" applyFill="1" applyBorder="1" applyAlignment="1">
      <alignment horizontal="center"/>
    </xf>
    <xf numFmtId="0" fontId="41" fillId="0" borderId="5" xfId="0" applyFont="1" applyFill="1" applyBorder="1" applyAlignment="1">
      <alignment horizontal="left" vertical="top" wrapText="1"/>
    </xf>
    <xf numFmtId="0" fontId="41" fillId="0" borderId="5" xfId="0" applyFont="1" applyFill="1" applyBorder="1" applyAlignment="1">
      <alignment horizontal="left" vertical="top"/>
    </xf>
    <xf numFmtId="0" fontId="41" fillId="0" borderId="5" xfId="0" applyFont="1" applyFill="1" applyBorder="1" applyAlignment="1">
      <alignment horizontal="left" vertical="center" wrapText="1"/>
    </xf>
    <xf numFmtId="0" fontId="41" fillId="0" borderId="11" xfId="0" applyFont="1" applyFill="1" applyBorder="1" applyAlignment="1">
      <alignment horizontal="left" vertical="center" wrapText="1"/>
    </xf>
    <xf numFmtId="164" fontId="41" fillId="0" borderId="11" xfId="0" applyNumberFormat="1" applyFont="1" applyFill="1" applyBorder="1" applyAlignment="1">
      <alignment horizontal="center"/>
    </xf>
    <xf numFmtId="0" fontId="40" fillId="0" borderId="11" xfId="0" applyFont="1" applyFill="1" applyBorder="1" applyAlignment="1">
      <alignment horizontal="center"/>
    </xf>
    <xf numFmtId="0" fontId="41" fillId="0" borderId="22" xfId="0" applyFont="1" applyFill="1" applyBorder="1" applyAlignment="1">
      <alignment horizontal="left" vertical="center" wrapText="1"/>
    </xf>
    <xf numFmtId="164" fontId="40" fillId="0" borderId="22" xfId="0" applyNumberFormat="1" applyFont="1" applyFill="1" applyBorder="1" applyAlignment="1">
      <alignment horizontal="center"/>
    </xf>
    <xf numFmtId="0" fontId="40" fillId="0" borderId="22" xfId="0" applyFont="1" applyFill="1" applyBorder="1" applyAlignment="1">
      <alignment horizontal="center"/>
    </xf>
    <xf numFmtId="164" fontId="41" fillId="0" borderId="5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2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74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164" fontId="4" fillId="9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/>
    </xf>
    <xf numFmtId="164" fontId="4" fillId="0" borderId="17" xfId="0" applyNumberFormat="1" applyFont="1" applyFill="1" applyBorder="1" applyAlignment="1">
      <alignment horizontal="center"/>
    </xf>
    <xf numFmtId="164" fontId="4" fillId="0" borderId="14" xfId="0" applyNumberFormat="1" applyFont="1" applyFill="1" applyBorder="1" applyAlignment="1">
      <alignment horizontal="center"/>
    </xf>
    <xf numFmtId="0" fontId="4" fillId="6" borderId="5" xfId="0" applyFont="1" applyFill="1" applyBorder="1" applyAlignment="1">
      <alignment horizontal="left" vertical="center" wrapText="1"/>
    </xf>
    <xf numFmtId="164" fontId="4" fillId="6" borderId="5" xfId="0" applyNumberFormat="1" applyFont="1" applyFill="1" applyBorder="1" applyAlignment="1">
      <alignment horizontal="center"/>
    </xf>
    <xf numFmtId="0" fontId="75" fillId="0" borderId="5" xfId="0" applyFont="1" applyBorder="1" applyAlignment="1">
      <alignment horizontal="left" vertical="center" wrapText="1"/>
    </xf>
    <xf numFmtId="164" fontId="75" fillId="0" borderId="5" xfId="0" applyNumberFormat="1" applyFont="1" applyBorder="1" applyAlignment="1">
      <alignment horizontal="center"/>
    </xf>
    <xf numFmtId="0" fontId="72" fillId="0" borderId="5" xfId="0" applyFont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66" fontId="6" fillId="0" borderId="16" xfId="1" applyNumberFormat="1" applyFont="1" applyBorder="1" applyAlignment="1">
      <alignment horizontal="center"/>
    </xf>
    <xf numFmtId="166" fontId="6" fillId="0" borderId="17" xfId="1" applyNumberFormat="1" applyFont="1" applyBorder="1" applyAlignment="1">
      <alignment horizontal="center"/>
    </xf>
    <xf numFmtId="166" fontId="6" fillId="0" borderId="14" xfId="1" applyNumberFormat="1" applyFont="1" applyBorder="1" applyAlignment="1">
      <alignment horizontal="center"/>
    </xf>
    <xf numFmtId="166" fontId="6" fillId="0" borderId="16" xfId="1" applyNumberFormat="1" applyFont="1" applyBorder="1" applyAlignment="1">
      <alignment horizontal="justify" vertical="distributed" wrapText="1"/>
    </xf>
    <xf numFmtId="166" fontId="6" fillId="0" borderId="17" xfId="1" applyNumberFormat="1" applyFont="1" applyBorder="1" applyAlignment="1">
      <alignment horizontal="justify" vertical="distributed" wrapText="1"/>
    </xf>
    <xf numFmtId="166" fontId="6" fillId="0" borderId="14" xfId="1" applyNumberFormat="1" applyFont="1" applyBorder="1" applyAlignment="1">
      <alignment horizontal="justify" vertical="distributed" wrapText="1"/>
    </xf>
    <xf numFmtId="166" fontId="6" fillId="0" borderId="0" xfId="1" applyNumberFormat="1" applyFont="1" applyAlignment="1">
      <alignment horizontal="center" vertical="center" wrapText="1"/>
    </xf>
    <xf numFmtId="0" fontId="24" fillId="0" borderId="0" xfId="4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5" fillId="0" borderId="41" xfId="4" applyFont="1" applyFill="1" applyBorder="1" applyAlignment="1">
      <alignment horizontal="justify" vertical="center" wrapText="1"/>
    </xf>
    <xf numFmtId="167" fontId="25" fillId="0" borderId="40" xfId="4" applyNumberFormat="1" applyFont="1" applyFill="1" applyBorder="1" applyAlignment="1">
      <alignment horizontal="center" vertical="center"/>
    </xf>
    <xf numFmtId="167" fontId="25" fillId="0" borderId="38" xfId="4" applyNumberFormat="1" applyFont="1" applyFill="1" applyBorder="1" applyAlignment="1">
      <alignment horizontal="center" vertical="center"/>
    </xf>
    <xf numFmtId="167" fontId="34" fillId="0" borderId="37" xfId="4" applyNumberFormat="1" applyFont="1" applyFill="1" applyBorder="1" applyAlignment="1">
      <alignment horizontal="left" vertical="center" wrapText="1" indent="2"/>
    </xf>
    <xf numFmtId="167" fontId="34" fillId="0" borderId="44" xfId="4" applyNumberFormat="1" applyFont="1" applyFill="1" applyBorder="1" applyAlignment="1">
      <alignment horizontal="left" vertical="center" wrapText="1" indent="2"/>
    </xf>
    <xf numFmtId="167" fontId="49" fillId="0" borderId="0" xfId="4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7" fontId="25" fillId="0" borderId="40" xfId="4" applyNumberFormat="1" applyFont="1" applyFill="1" applyBorder="1" applyAlignment="1">
      <alignment horizontal="center" vertical="center" wrapText="1"/>
    </xf>
    <xf numFmtId="167" fontId="25" fillId="0" borderId="38" xfId="4" applyNumberFormat="1" applyFont="1" applyFill="1" applyBorder="1" applyAlignment="1">
      <alignment horizontal="center" vertical="center" wrapText="1"/>
    </xf>
    <xf numFmtId="167" fontId="25" fillId="0" borderId="51" xfId="4" applyNumberFormat="1" applyFont="1" applyFill="1" applyBorder="1" applyAlignment="1">
      <alignment horizontal="center" vertical="center"/>
    </xf>
    <xf numFmtId="167" fontId="25" fillId="0" borderId="52" xfId="4" applyNumberFormat="1" applyFont="1" applyFill="1" applyBorder="1" applyAlignment="1">
      <alignment horizontal="center" vertical="center"/>
    </xf>
    <xf numFmtId="167" fontId="25" fillId="0" borderId="53" xfId="4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12" fillId="0" borderId="21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right" wrapText="1"/>
    </xf>
    <xf numFmtId="0" fontId="0" fillId="0" borderId="5" xfId="0" applyBorder="1" applyAlignment="1">
      <alignment horizontal="right" vertical="center" wrapText="1"/>
    </xf>
    <xf numFmtId="0" fontId="7" fillId="0" borderId="0" xfId="2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4" xfId="0" applyBorder="1" applyAlignment="1">
      <alignment horizontal="center"/>
    </xf>
    <xf numFmtId="0" fontId="55" fillId="0" borderId="39" xfId="0" applyFont="1" applyBorder="1" applyAlignment="1">
      <alignment horizontal="center"/>
    </xf>
    <xf numFmtId="0" fontId="55" fillId="0" borderId="41" xfId="0" applyFont="1" applyBorder="1" applyAlignment="1">
      <alignment horizontal="center"/>
    </xf>
    <xf numFmtId="0" fontId="55" fillId="0" borderId="45" xfId="0" applyFont="1" applyBorder="1" applyAlignment="1">
      <alignment horizontal="center"/>
    </xf>
    <xf numFmtId="0" fontId="55" fillId="0" borderId="39" xfId="0" applyFont="1" applyBorder="1" applyAlignment="1">
      <alignment horizontal="justify" vertical="distributed" wrapText="1"/>
    </xf>
    <xf numFmtId="0" fontId="55" fillId="0" borderId="41" xfId="0" applyFont="1" applyBorder="1" applyAlignment="1">
      <alignment horizontal="justify" vertical="distributed" wrapText="1"/>
    </xf>
    <xf numFmtId="0" fontId="55" fillId="0" borderId="45" xfId="0" applyFont="1" applyBorder="1" applyAlignment="1">
      <alignment horizontal="justify" vertical="distributed" wrapText="1"/>
    </xf>
    <xf numFmtId="0" fontId="0" fillId="0" borderId="39" xfId="0" applyFont="1" applyBorder="1" applyAlignment="1">
      <alignment horizontal="center" vertical="distributed" wrapText="1"/>
    </xf>
    <xf numFmtId="0" fontId="0" fillId="0" borderId="41" xfId="0" applyFont="1" applyBorder="1" applyAlignment="1">
      <alignment horizontal="center" vertical="distributed" wrapText="1"/>
    </xf>
    <xf numFmtId="0" fontId="0" fillId="0" borderId="45" xfId="0" applyFont="1" applyBorder="1" applyAlignment="1">
      <alignment horizontal="center" vertical="distributed" wrapText="1"/>
    </xf>
    <xf numFmtId="0" fontId="3" fillId="0" borderId="3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70" fillId="0" borderId="39" xfId="0" applyFont="1" applyBorder="1" applyAlignment="1">
      <alignment horizontal="center"/>
    </xf>
    <xf numFmtId="0" fontId="70" fillId="0" borderId="41" xfId="0" applyFont="1" applyBorder="1" applyAlignment="1">
      <alignment horizontal="center"/>
    </xf>
    <xf numFmtId="0" fontId="70" fillId="0" borderId="45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7" xfId="0" applyBorder="1" applyAlignment="1">
      <alignment horizontal="center" vertical="distributed" wrapText="1"/>
    </xf>
    <xf numFmtId="0" fontId="0" fillId="0" borderId="36" xfId="0" applyBorder="1" applyAlignment="1">
      <alignment horizontal="center" vertical="distributed" wrapText="1"/>
    </xf>
    <xf numFmtId="0" fontId="0" fillId="0" borderId="44" xfId="0" applyBorder="1" applyAlignment="1">
      <alignment horizontal="center" vertical="distributed" wrapText="1"/>
    </xf>
    <xf numFmtId="0" fontId="55" fillId="0" borderId="37" xfId="0" applyFont="1" applyBorder="1" applyAlignment="1">
      <alignment horizontal="center"/>
    </xf>
    <xf numFmtId="0" fontId="55" fillId="0" borderId="36" xfId="0" applyFont="1" applyBorder="1" applyAlignment="1">
      <alignment horizontal="center"/>
    </xf>
    <xf numFmtId="0" fontId="55" fillId="0" borderId="44" xfId="0" applyFont="1" applyBorder="1" applyAlignment="1">
      <alignment horizontal="center"/>
    </xf>
    <xf numFmtId="0" fontId="54" fillId="0" borderId="37" xfId="0" applyFont="1" applyBorder="1" applyAlignment="1">
      <alignment horizontal="center"/>
    </xf>
    <xf numFmtId="0" fontId="54" fillId="0" borderId="36" xfId="0" applyFont="1" applyBorder="1" applyAlignment="1">
      <alignment horizontal="center"/>
    </xf>
    <xf numFmtId="0" fontId="54" fillId="0" borderId="44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4" fillId="0" borderId="39" xfId="0" applyFont="1" applyBorder="1" applyAlignment="1">
      <alignment horizontal="center"/>
    </xf>
    <xf numFmtId="0" fontId="54" fillId="0" borderId="41" xfId="0" applyFont="1" applyBorder="1" applyAlignment="1">
      <alignment horizontal="center"/>
    </xf>
    <xf numFmtId="0" fontId="54" fillId="0" borderId="45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71" fillId="0" borderId="37" xfId="0" applyFont="1" applyBorder="1" applyAlignment="1">
      <alignment horizontal="center"/>
    </xf>
    <xf numFmtId="0" fontId="71" fillId="0" borderId="36" xfId="0" applyFont="1" applyBorder="1" applyAlignment="1">
      <alignment horizontal="center"/>
    </xf>
    <xf numFmtId="0" fontId="71" fillId="0" borderId="44" xfId="0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3" fontId="3" fillId="0" borderId="44" xfId="0" applyNumberFormat="1" applyFont="1" applyBorder="1" applyAlignment="1">
      <alignment horizontal="center"/>
    </xf>
    <xf numFmtId="0" fontId="72" fillId="10" borderId="37" xfId="0" applyFont="1" applyFill="1" applyBorder="1" applyAlignment="1">
      <alignment horizontal="center"/>
    </xf>
    <xf numFmtId="0" fontId="72" fillId="10" borderId="36" xfId="0" applyFont="1" applyFill="1" applyBorder="1" applyAlignment="1">
      <alignment horizontal="center"/>
    </xf>
    <xf numFmtId="0" fontId="72" fillId="10" borderId="44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43" xfId="0" applyBorder="1" applyAlignment="1">
      <alignment horizontal="center"/>
    </xf>
    <xf numFmtId="0" fontId="76" fillId="0" borderId="37" xfId="0" applyFont="1" applyBorder="1" applyAlignment="1">
      <alignment horizontal="center"/>
    </xf>
    <xf numFmtId="0" fontId="76" fillId="0" borderId="36" xfId="0" applyFont="1" applyBorder="1" applyAlignment="1">
      <alignment horizontal="center"/>
    </xf>
    <xf numFmtId="0" fontId="8" fillId="0" borderId="0" xfId="5" applyFont="1" applyBorder="1" applyAlignment="1">
      <alignment horizontal="center" vertical="center"/>
    </xf>
    <xf numFmtId="0" fontId="6" fillId="0" borderId="0" xfId="5" applyFont="1" applyBorder="1" applyAlignment="1">
      <alignment horizontal="right" vertical="center"/>
    </xf>
    <xf numFmtId="0" fontId="78" fillId="0" borderId="39" xfId="0" applyFont="1" applyBorder="1" applyAlignment="1">
      <alignment horizontal="justify" vertical="distributed" wrapText="1"/>
    </xf>
    <xf numFmtId="0" fontId="78" fillId="0" borderId="41" xfId="0" applyFont="1" applyBorder="1" applyAlignment="1">
      <alignment horizontal="justify" vertical="distributed" wrapText="1"/>
    </xf>
    <xf numFmtId="0" fontId="78" fillId="0" borderId="45" xfId="0" applyFont="1" applyBorder="1" applyAlignment="1">
      <alignment horizontal="justify" vertical="distributed" wrapText="1"/>
    </xf>
    <xf numFmtId="0" fontId="15" fillId="0" borderId="37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78" fillId="0" borderId="37" xfId="0" applyFont="1" applyBorder="1" applyAlignment="1">
      <alignment horizontal="center"/>
    </xf>
    <xf numFmtId="0" fontId="78" fillId="0" borderId="36" xfId="0" applyFont="1" applyBorder="1" applyAlignment="1">
      <alignment horizontal="center"/>
    </xf>
    <xf numFmtId="0" fontId="78" fillId="0" borderId="44" xfId="0" applyFont="1" applyBorder="1" applyAlignment="1">
      <alignment horizontal="center"/>
    </xf>
    <xf numFmtId="0" fontId="78" fillId="0" borderId="39" xfId="0" applyFont="1" applyBorder="1" applyAlignment="1">
      <alignment horizontal="center"/>
    </xf>
    <xf numFmtId="0" fontId="78" fillId="0" borderId="41" xfId="0" applyFont="1" applyBorder="1" applyAlignment="1">
      <alignment horizontal="center"/>
    </xf>
    <xf numFmtId="0" fontId="78" fillId="0" borderId="45" xfId="0" applyFont="1" applyBorder="1" applyAlignment="1">
      <alignment horizontal="center"/>
    </xf>
    <xf numFmtId="0" fontId="70" fillId="0" borderId="37" xfId="0" applyFont="1" applyBorder="1" applyAlignment="1">
      <alignment horizontal="center"/>
    </xf>
    <xf numFmtId="0" fontId="70" fillId="0" borderId="36" xfId="0" applyFont="1" applyBorder="1" applyAlignment="1">
      <alignment horizontal="center"/>
    </xf>
    <xf numFmtId="0" fontId="70" fillId="0" borderId="44" xfId="0" applyFont="1" applyBorder="1" applyAlignment="1">
      <alignment horizontal="center"/>
    </xf>
    <xf numFmtId="0" fontId="75" fillId="0" borderId="64" xfId="0" applyFont="1" applyBorder="1" applyAlignment="1">
      <alignment horizontal="center"/>
    </xf>
    <xf numFmtId="0" fontId="75" fillId="0" borderId="0" xfId="0" applyFont="1" applyBorder="1" applyAlignment="1">
      <alignment horizontal="center"/>
    </xf>
    <xf numFmtId="0" fontId="75" fillId="0" borderId="37" xfId="0" applyFont="1" applyBorder="1" applyAlignment="1">
      <alignment horizontal="center"/>
    </xf>
    <xf numFmtId="0" fontId="75" fillId="0" borderId="44" xfId="0" applyFont="1" applyBorder="1" applyAlignment="1">
      <alignment horizontal="center"/>
    </xf>
    <xf numFmtId="0" fontId="75" fillId="0" borderId="36" xfId="0" applyFont="1" applyBorder="1" applyAlignment="1">
      <alignment horizontal="center"/>
    </xf>
    <xf numFmtId="0" fontId="6" fillId="0" borderId="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/>
    </xf>
    <xf numFmtId="0" fontId="58" fillId="0" borderId="48" xfId="0" applyFont="1" applyFill="1" applyBorder="1" applyAlignment="1">
      <alignment horizontal="center" vertical="center"/>
    </xf>
    <xf numFmtId="0" fontId="58" fillId="0" borderId="49" xfId="0" applyFont="1" applyFill="1" applyBorder="1" applyAlignment="1">
      <alignment horizontal="center" vertical="center"/>
    </xf>
    <xf numFmtId="0" fontId="58" fillId="0" borderId="18" xfId="0" applyFont="1" applyFill="1" applyBorder="1" applyAlignment="1">
      <alignment horizontal="center" vertical="center"/>
    </xf>
    <xf numFmtId="0" fontId="58" fillId="0" borderId="47" xfId="0" applyFont="1" applyFill="1" applyBorder="1" applyAlignment="1">
      <alignment horizontal="center" vertical="center"/>
    </xf>
    <xf numFmtId="0" fontId="58" fillId="0" borderId="50" xfId="0" applyFont="1" applyFill="1" applyBorder="1" applyAlignment="1">
      <alignment horizontal="center" vertical="center"/>
    </xf>
    <xf numFmtId="0" fontId="58" fillId="0" borderId="12" xfId="0" applyFont="1" applyFill="1" applyBorder="1" applyAlignment="1">
      <alignment horizontal="center" vertical="center"/>
    </xf>
    <xf numFmtId="0" fontId="58" fillId="0" borderId="48" xfId="0" applyFont="1" applyFill="1" applyBorder="1" applyAlignment="1">
      <alignment horizontal="center" vertical="center" wrapText="1"/>
    </xf>
    <xf numFmtId="0" fontId="58" fillId="0" borderId="49" xfId="0" applyFont="1" applyFill="1" applyBorder="1" applyAlignment="1">
      <alignment horizontal="center" vertical="center" wrapText="1"/>
    </xf>
    <xf numFmtId="0" fontId="58" fillId="0" borderId="47" xfId="0" applyFont="1" applyFill="1" applyBorder="1" applyAlignment="1">
      <alignment horizontal="center" vertical="center" wrapText="1"/>
    </xf>
    <xf numFmtId="0" fontId="58" fillId="0" borderId="50" xfId="0" applyFont="1" applyFill="1" applyBorder="1" applyAlignment="1">
      <alignment horizontal="center" vertical="center" wrapText="1"/>
    </xf>
    <xf numFmtId="0" fontId="58" fillId="0" borderId="16" xfId="0" applyFont="1" applyFill="1" applyBorder="1" applyAlignment="1">
      <alignment horizontal="left" vertical="center" wrapText="1"/>
    </xf>
    <xf numFmtId="0" fontId="58" fillId="0" borderId="17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left" vertical="center" wrapText="1"/>
    </xf>
    <xf numFmtId="0" fontId="58" fillId="0" borderId="16" xfId="0" quotePrefix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9" fillId="0" borderId="16" xfId="0" applyFont="1" applyFill="1" applyBorder="1" applyAlignment="1">
      <alignment horizontal="left" vertical="center" wrapText="1"/>
    </xf>
    <xf numFmtId="0" fontId="39" fillId="0" borderId="17" xfId="0" applyFont="1" applyFill="1" applyBorder="1" applyAlignment="1">
      <alignment horizontal="left" vertical="center" wrapText="1"/>
    </xf>
    <xf numFmtId="0" fontId="39" fillId="0" borderId="14" xfId="0" applyFont="1" applyFill="1" applyBorder="1" applyAlignment="1">
      <alignment horizontal="left" vertical="center" wrapText="1"/>
    </xf>
    <xf numFmtId="0" fontId="58" fillId="0" borderId="16" xfId="0" applyFont="1" applyFill="1" applyBorder="1" applyAlignment="1">
      <alignment horizontal="right" vertical="center" wrapText="1"/>
    </xf>
    <xf numFmtId="0" fontId="58" fillId="0" borderId="17" xfId="0" applyFont="1" applyFill="1" applyBorder="1" applyAlignment="1">
      <alignment horizontal="right" vertical="center" wrapText="1"/>
    </xf>
    <xf numFmtId="0" fontId="58" fillId="0" borderId="14" xfId="0" applyFont="1" applyFill="1" applyBorder="1" applyAlignment="1">
      <alignment horizontal="right" vertical="center" wrapText="1"/>
    </xf>
    <xf numFmtId="0" fontId="40" fillId="0" borderId="16" xfId="0" applyFont="1" applyFill="1" applyBorder="1" applyAlignment="1">
      <alignment horizontal="left" vertical="center" wrapText="1"/>
    </xf>
    <xf numFmtId="0" fontId="40" fillId="0" borderId="17" xfId="0" applyFont="1" applyFill="1" applyBorder="1" applyAlignment="1">
      <alignment horizontal="left" vertical="center" wrapText="1"/>
    </xf>
    <xf numFmtId="0" fontId="40" fillId="0" borderId="14" xfId="0" applyFont="1" applyFill="1" applyBorder="1" applyAlignment="1">
      <alignment horizontal="left" vertical="center" wrapText="1"/>
    </xf>
    <xf numFmtId="0" fontId="40" fillId="0" borderId="16" xfId="0" quotePrefix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8" fillId="0" borderId="16" xfId="0" applyFont="1" applyFill="1" applyBorder="1" applyAlignment="1">
      <alignment horizontal="left" vertical="center"/>
    </xf>
    <xf numFmtId="0" fontId="58" fillId="0" borderId="17" xfId="0" applyFont="1" applyFill="1" applyBorder="1" applyAlignment="1">
      <alignment horizontal="left" vertical="center"/>
    </xf>
    <xf numFmtId="0" fontId="58" fillId="0" borderId="14" xfId="0" applyFont="1" applyFill="1" applyBorder="1" applyAlignment="1">
      <alignment horizontal="left" vertical="center"/>
    </xf>
    <xf numFmtId="0" fontId="60" fillId="0" borderId="67" xfId="0" quotePrefix="1" applyFont="1" applyFill="1" applyBorder="1" applyAlignment="1">
      <alignment horizontal="center" vertical="center"/>
    </xf>
    <xf numFmtId="0" fontId="60" fillId="0" borderId="74" xfId="0" quotePrefix="1" applyFont="1" applyFill="1" applyBorder="1" applyAlignment="1">
      <alignment horizontal="center" vertical="center"/>
    </xf>
    <xf numFmtId="49" fontId="55" fillId="0" borderId="65" xfId="0" applyNumberFormat="1" applyFont="1" applyBorder="1" applyAlignment="1">
      <alignment horizontal="center"/>
    </xf>
    <xf numFmtId="49" fontId="55" fillId="0" borderId="43" xfId="0" applyNumberFormat="1" applyFont="1" applyBorder="1" applyAlignment="1">
      <alignment horizontal="center"/>
    </xf>
    <xf numFmtId="0" fontId="81" fillId="0" borderId="49" xfId="0" quotePrefix="1" applyFont="1" applyFill="1" applyBorder="1" applyAlignment="1">
      <alignment horizontal="center" vertical="center"/>
    </xf>
    <xf numFmtId="0" fontId="81" fillId="0" borderId="18" xfId="0" quotePrefix="1" applyFont="1" applyFill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/>
    </xf>
    <xf numFmtId="49" fontId="4" fillId="0" borderId="73" xfId="0" applyNumberFormat="1" applyFont="1" applyBorder="1" applyAlignment="1">
      <alignment horizontal="center"/>
    </xf>
    <xf numFmtId="0" fontId="60" fillId="0" borderId="27" xfId="0" applyFont="1" applyFill="1" applyBorder="1" applyAlignment="1">
      <alignment horizontal="left" vertical="center" wrapText="1"/>
    </xf>
    <xf numFmtId="0" fontId="60" fillId="0" borderId="28" xfId="0" applyFont="1" applyFill="1" applyBorder="1" applyAlignment="1">
      <alignment horizontal="left" vertical="center" wrapText="1"/>
    </xf>
    <xf numFmtId="0" fontId="60" fillId="0" borderId="29" xfId="0" applyFont="1" applyFill="1" applyBorder="1" applyAlignment="1">
      <alignment horizontal="left" vertical="center" wrapText="1"/>
    </xf>
    <xf numFmtId="0" fontId="60" fillId="0" borderId="36" xfId="0" quotePrefix="1" applyFont="1" applyFill="1" applyBorder="1" applyAlignment="1">
      <alignment horizontal="center" vertical="center"/>
    </xf>
    <xf numFmtId="0" fontId="60" fillId="0" borderId="69" xfId="0" quotePrefix="1" applyFont="1" applyFill="1" applyBorder="1" applyAlignment="1">
      <alignment horizontal="center" vertical="center"/>
    </xf>
    <xf numFmtId="49" fontId="55" fillId="0" borderId="54" xfId="0" applyNumberFormat="1" applyFont="1" applyBorder="1" applyAlignment="1">
      <alignment horizontal="center"/>
    </xf>
    <xf numFmtId="49" fontId="55" fillId="0" borderId="44" xfId="0" applyNumberFormat="1" applyFont="1" applyBorder="1" applyAlignment="1">
      <alignment horizontal="center"/>
    </xf>
    <xf numFmtId="0" fontId="16" fillId="0" borderId="42" xfId="0" applyFont="1" applyBorder="1" applyAlignment="1">
      <alignment horizontal="center" vertical="distributed" wrapText="1"/>
    </xf>
    <xf numFmtId="0" fontId="16" fillId="0" borderId="67" xfId="0" applyFont="1" applyBorder="1" applyAlignment="1">
      <alignment horizontal="center" vertical="distributed" wrapText="1"/>
    </xf>
    <xf numFmtId="0" fontId="16" fillId="0" borderId="43" xfId="0" applyFont="1" applyBorder="1" applyAlignment="1">
      <alignment horizontal="center" vertical="distributed" wrapText="1"/>
    </xf>
    <xf numFmtId="0" fontId="39" fillId="0" borderId="46" xfId="0" applyFont="1" applyFill="1" applyBorder="1" applyAlignment="1">
      <alignment horizontal="left" vertical="center" wrapText="1"/>
    </xf>
    <xf numFmtId="0" fontId="39" fillId="0" borderId="15" xfId="0" applyFont="1" applyFill="1" applyBorder="1" applyAlignment="1">
      <alignment horizontal="left" vertical="center" wrapText="1"/>
    </xf>
    <xf numFmtId="0" fontId="39" fillId="0" borderId="17" xfId="0" quotePrefix="1" applyFont="1" applyFill="1" applyBorder="1" applyAlignment="1">
      <alignment horizontal="center" vertical="center"/>
    </xf>
    <xf numFmtId="0" fontId="39" fillId="0" borderId="14" xfId="0" quotePrefix="1" applyFont="1" applyFill="1" applyBorder="1" applyAlignment="1">
      <alignment horizontal="center" vertical="center"/>
    </xf>
    <xf numFmtId="49" fontId="76" fillId="0" borderId="16" xfId="0" applyNumberFormat="1" applyFont="1" applyBorder="1" applyAlignment="1">
      <alignment horizontal="center"/>
    </xf>
    <xf numFmtId="49" fontId="76" fillId="0" borderId="15" xfId="0" applyNumberFormat="1" applyFont="1" applyBorder="1" applyAlignment="1">
      <alignment horizontal="center"/>
    </xf>
    <xf numFmtId="0" fontId="81" fillId="0" borderId="46" xfId="0" applyFont="1" applyFill="1" applyBorder="1" applyAlignment="1">
      <alignment horizontal="left" vertical="center" wrapText="1"/>
    </xf>
    <xf numFmtId="0" fontId="81" fillId="0" borderId="17" xfId="0" applyFont="1" applyFill="1" applyBorder="1" applyAlignment="1">
      <alignment horizontal="left" vertical="center" wrapText="1"/>
    </xf>
    <xf numFmtId="0" fontId="81" fillId="0" borderId="15" xfId="0" applyFont="1" applyFill="1" applyBorder="1" applyAlignment="1">
      <alignment horizontal="left" vertical="center" wrapText="1"/>
    </xf>
    <xf numFmtId="0" fontId="81" fillId="0" borderId="17" xfId="0" quotePrefix="1" applyFont="1" applyFill="1" applyBorder="1" applyAlignment="1">
      <alignment horizontal="center" vertical="center"/>
    </xf>
    <xf numFmtId="0" fontId="81" fillId="0" borderId="14" xfId="0" quotePrefix="1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75" fillId="0" borderId="71" xfId="0" applyFont="1" applyBorder="1" applyAlignment="1">
      <alignment horizontal="center" wrapText="1"/>
    </xf>
    <xf numFmtId="0" fontId="75" fillId="0" borderId="13" xfId="0" applyFont="1" applyBorder="1" applyAlignment="1">
      <alignment horizontal="center" wrapText="1"/>
    </xf>
    <xf numFmtId="0" fontId="75" fillId="0" borderId="40" xfId="0" applyFont="1" applyBorder="1" applyAlignment="1">
      <alignment horizontal="center" vertical="distributed" wrapText="1"/>
    </xf>
    <xf numFmtId="0" fontId="75" fillId="0" borderId="38" xfId="0" applyFont="1" applyBorder="1" applyAlignment="1">
      <alignment horizontal="center" vertical="distributed" wrapText="1"/>
    </xf>
    <xf numFmtId="0" fontId="60" fillId="0" borderId="0" xfId="0" applyFont="1" applyFill="1" applyAlignment="1">
      <alignment horizontal="center" vertical="center"/>
    </xf>
    <xf numFmtId="0" fontId="82" fillId="0" borderId="39" xfId="0" applyFont="1" applyFill="1" applyBorder="1" applyAlignment="1">
      <alignment horizontal="center" vertical="center"/>
    </xf>
    <xf numFmtId="0" fontId="82" fillId="0" borderId="41" xfId="0" applyFont="1" applyFill="1" applyBorder="1" applyAlignment="1">
      <alignment horizontal="center" vertical="center"/>
    </xf>
    <xf numFmtId="0" fontId="82" fillId="0" borderId="45" xfId="0" applyFont="1" applyFill="1" applyBorder="1" applyAlignment="1">
      <alignment horizontal="center" vertical="center"/>
    </xf>
    <xf numFmtId="0" fontId="82" fillId="0" borderId="66" xfId="0" applyFont="1" applyFill="1" applyBorder="1" applyAlignment="1">
      <alignment horizontal="center" vertical="center"/>
    </xf>
    <xf numFmtId="0" fontId="82" fillId="0" borderId="50" xfId="0" applyFont="1" applyFill="1" applyBorder="1" applyAlignment="1">
      <alignment horizontal="center" vertical="center"/>
    </xf>
    <xf numFmtId="0" fontId="82" fillId="0" borderId="72" xfId="0" applyFont="1" applyFill="1" applyBorder="1" applyAlignment="1">
      <alignment horizontal="center" vertical="center"/>
    </xf>
    <xf numFmtId="0" fontId="81" fillId="0" borderId="68" xfId="0" applyFont="1" applyFill="1" applyBorder="1" applyAlignment="1">
      <alignment horizontal="left" vertical="center" wrapText="1"/>
    </xf>
    <xf numFmtId="0" fontId="81" fillId="0" borderId="49" xfId="0" applyFont="1" applyFill="1" applyBorder="1" applyAlignment="1">
      <alignment horizontal="left" vertical="center" wrapText="1"/>
    </xf>
    <xf numFmtId="0" fontId="81" fillId="0" borderId="73" xfId="0" applyFont="1" applyFill="1" applyBorder="1" applyAlignment="1">
      <alignment horizontal="left" vertical="center" wrapText="1"/>
    </xf>
    <xf numFmtId="0" fontId="82" fillId="0" borderId="41" xfId="0" applyFont="1" applyFill="1" applyBorder="1" applyAlignment="1">
      <alignment horizontal="center" vertical="center" wrapText="1"/>
    </xf>
    <xf numFmtId="0" fontId="82" fillId="0" borderId="31" xfId="0" applyFont="1" applyFill="1" applyBorder="1" applyAlignment="1">
      <alignment horizontal="center" vertical="center" wrapText="1"/>
    </xf>
    <xf numFmtId="0" fontId="82" fillId="0" borderId="50" xfId="0" applyFont="1" applyFill="1" applyBorder="1" applyAlignment="1">
      <alignment horizontal="center" vertical="center" wrapText="1"/>
    </xf>
    <xf numFmtId="0" fontId="82" fillId="0" borderId="12" xfId="0" applyFont="1" applyFill="1" applyBorder="1" applyAlignment="1">
      <alignment horizontal="center" vertical="center" wrapText="1"/>
    </xf>
    <xf numFmtId="0" fontId="55" fillId="0" borderId="70" xfId="0" applyFont="1" applyBorder="1" applyAlignment="1">
      <alignment horizontal="center" wrapText="1"/>
    </xf>
    <xf numFmtId="0" fontId="55" fillId="0" borderId="10" xfId="0" applyFont="1" applyBorder="1" applyAlignment="1">
      <alignment horizontal="center" wrapText="1"/>
    </xf>
    <xf numFmtId="0" fontId="75" fillId="0" borderId="19" xfId="0" applyFont="1" applyBorder="1" applyAlignment="1">
      <alignment horizontal="center" wrapText="1"/>
    </xf>
    <xf numFmtId="0" fontId="75" fillId="0" borderId="33" xfId="0" applyFont="1" applyBorder="1" applyAlignment="1">
      <alignment horizontal="center" wrapText="1"/>
    </xf>
    <xf numFmtId="3" fontId="75" fillId="0" borderId="19" xfId="0" applyNumberFormat="1" applyFont="1" applyBorder="1" applyAlignment="1">
      <alignment horizontal="center" wrapText="1"/>
    </xf>
    <xf numFmtId="3" fontId="75" fillId="0" borderId="11" xfId="0" applyNumberFormat="1" applyFont="1" applyBorder="1" applyAlignment="1">
      <alignment horizontal="center" wrapText="1"/>
    </xf>
    <xf numFmtId="0" fontId="55" fillId="0" borderId="16" xfId="0" applyFont="1" applyBorder="1" applyAlignment="1">
      <alignment horizontal="center"/>
    </xf>
    <xf numFmtId="0" fontId="55" fillId="0" borderId="15" xfId="0" applyFont="1" applyBorder="1" applyAlignment="1">
      <alignment horizontal="center"/>
    </xf>
    <xf numFmtId="0" fontId="81" fillId="0" borderId="46" xfId="0" applyFont="1" applyFill="1" applyBorder="1" applyAlignment="1">
      <alignment horizontal="left" vertical="center"/>
    </xf>
    <xf numFmtId="0" fontId="81" fillId="0" borderId="17" xfId="0" applyFont="1" applyFill="1" applyBorder="1" applyAlignment="1">
      <alignment horizontal="left" vertical="center"/>
    </xf>
    <xf numFmtId="0" fontId="81" fillId="0" borderId="15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166" fontId="4" fillId="0" borderId="0" xfId="1" applyNumberFormat="1" applyFont="1"/>
    <xf numFmtId="0" fontId="4" fillId="0" borderId="6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6" fontId="4" fillId="0" borderId="0" xfId="1" applyNumberFormat="1" applyFont="1" applyAlignment="1">
      <alignment wrapText="1"/>
    </xf>
    <xf numFmtId="0" fontId="0" fillId="0" borderId="0" xfId="0" applyFill="1" applyBorder="1" applyAlignment="1">
      <alignment wrapText="1"/>
    </xf>
    <xf numFmtId="0" fontId="0" fillId="15" borderId="0" xfId="0" applyFill="1" applyBorder="1" applyAlignment="1">
      <alignment horizontal="center" wrapText="1"/>
    </xf>
    <xf numFmtId="0" fontId="4" fillId="15" borderId="0" xfId="0" applyFont="1" applyFill="1" applyBorder="1" applyAlignment="1">
      <alignment horizontal="center" wrapText="1"/>
    </xf>
    <xf numFmtId="0" fontId="0" fillId="15" borderId="0" xfId="0" applyFill="1" applyBorder="1" applyAlignment="1">
      <alignment horizontal="center" vertical="center" wrapText="1"/>
    </xf>
    <xf numFmtId="49" fontId="61" fillId="0" borderId="4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6" fontId="4" fillId="0" borderId="0" xfId="1" applyNumberFormat="1" applyFont="1" applyAlignment="1">
      <alignment horizontal="center" vertical="center"/>
    </xf>
    <xf numFmtId="49" fontId="61" fillId="0" borderId="4" xfId="1" applyNumberFormat="1" applyFont="1" applyBorder="1" applyAlignment="1">
      <alignment horizontal="center"/>
    </xf>
    <xf numFmtId="3" fontId="75" fillId="0" borderId="35" xfId="0" applyNumberFormat="1" applyFon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49" fontId="61" fillId="0" borderId="4" xfId="1" applyNumberFormat="1" applyFont="1" applyFill="1" applyBorder="1" applyAlignment="1">
      <alignment horizontal="center"/>
    </xf>
    <xf numFmtId="49" fontId="62" fillId="0" borderId="4" xfId="1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6">
    <cellStyle name="Ezres" xfId="1" builtinId="3"/>
    <cellStyle name="Ezres_Ktgvetési rendelet mellékletek_2008_Eszteregnye" xfId="3"/>
    <cellStyle name="Normál" xfId="0" builtinId="0"/>
    <cellStyle name="Normál_Ktgvetési rendelet mellékletek_2008_Eszteregnye" xfId="2"/>
    <cellStyle name="Normál_KVIREND" xfId="4"/>
    <cellStyle name="Normál_likviditási terv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8/k&#246;lts&#233;gvet&#233;s_tervez&#233;s/S&#225;rmell&#233;k/S&#225;rmell&#233;k_k&#246;lts&#233;gvet&#233;se_2_fordul&#243;_2018_02_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9/2019_&#233;vi_k&#246;lts&#233;gvet&#233;s/&#193;MK/&#193;MK_k&#246;lts&#233;gvet&#233;s_tervez&#233;s_test&#252;letenek_3v&#225;ltoz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8/k&#246;lts&#233;gvet&#233;s_tervez&#233;s/k&#246;z&#246;s_hivatal/Edit_K&#246;z&#246;s_Hivatal_K&#246;lts&#233;gvet&#233;s_1_fordu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9/2019_&#233;vi_k&#246;lts&#233;gvet&#233;s/&#193;MK/&#193;MK_k&#246;lts&#233;gvet&#233;s_tervez&#233;s_test&#252;letenek_2fordul&#24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9/2019_&#233;vi_k&#246;lts&#233;gvet&#233;s/&#193;MK/&#193;MK_2019k&#246;lts&#233;gvet&#233;s_jegyz&#337;k&#246;ny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9/2019_&#233;vi_k&#246;lts&#233;gvet&#233;s/K&#246;z&#246;s_hivatal/Jegyz&#337;n&#337;_r&#233;sz&#233;re_&#225;tadott/k&#246;z&#246;s_hivatal_tervez&#233;s_2fordul&#24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9/2019_&#233;vi_k&#246;lts&#233;gvet&#233;s/S&#225;rmell&#233;ki_&#246;nk/S&#225;rmell&#233;k_2019&#233;vi_tervez&#233;s_test&#252;letnek/Ktgvet&#233;s_tervez&#233;se_SM&#214;nk_3_v&#225;ltozat_2019_03_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9/2019_&#233;vi_k&#246;lts&#233;gvet&#233;s/S&#225;rmell&#233;ki_&#246;nk/S&#225;rmell&#233;k_2019&#233;vi_tervez&#233;s_test&#252;letnek/Ktgvet&#233;s_tervez&#233;se_SM&#214;nk_2fordul&#243;r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&#246;lts&#233;gvet&#233;s_tervez&#233;s\S&#225;rmell&#233;k\S&#225;rmell&#233;k%202018%20k&#246;lts&#233;gvet&#233;s%20rovatr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m"/>
      <sheetName val="15"/>
      <sheetName val="3"/>
      <sheetName val="5"/>
      <sheetName val="6"/>
      <sheetName val="tartalék"/>
      <sheetName val="7"/>
      <sheetName val="4"/>
      <sheetName val="8"/>
      <sheetName val="9"/>
      <sheetName val="14"/>
      <sheetName val="18"/>
      <sheetName val="13"/>
      <sheetName val="13a"/>
      <sheetName val="12"/>
      <sheetName val="11"/>
      <sheetName val="11a"/>
      <sheetName val="11b"/>
      <sheetName val="11c"/>
      <sheetName val="11d"/>
      <sheetName val="11e"/>
      <sheetName val="10"/>
      <sheetName val="2"/>
      <sheetName val="16"/>
      <sheetName val="16a"/>
      <sheetName val="16b"/>
      <sheetName val="17"/>
    </sheetNames>
    <sheetDataSet>
      <sheetData sheetId="0"/>
      <sheetData sheetId="1"/>
      <sheetData sheetId="2"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E13">
            <v>0</v>
          </cell>
          <cell r="F13">
            <v>0</v>
          </cell>
        </row>
        <row r="15">
          <cell r="E15">
            <v>0</v>
          </cell>
          <cell r="F15">
            <v>0</v>
          </cell>
        </row>
        <row r="17">
          <cell r="E17">
            <v>0</v>
          </cell>
          <cell r="F17">
            <v>0</v>
          </cell>
        </row>
        <row r="19">
          <cell r="F19">
            <v>0</v>
          </cell>
        </row>
        <row r="22">
          <cell r="F22">
            <v>0</v>
          </cell>
        </row>
        <row r="24">
          <cell r="F24">
            <v>0</v>
          </cell>
        </row>
        <row r="25">
          <cell r="F25">
            <v>0</v>
          </cell>
        </row>
        <row r="34">
          <cell r="F34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50">
          <cell r="F50">
            <v>0</v>
          </cell>
        </row>
        <row r="51">
          <cell r="F51">
            <v>0</v>
          </cell>
        </row>
        <row r="53">
          <cell r="F53">
            <v>0</v>
          </cell>
        </row>
        <row r="54">
          <cell r="F54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66">
          <cell r="F6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D10">
            <v>28825</v>
          </cell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E13">
            <v>0</v>
          </cell>
          <cell r="F13">
            <v>0</v>
          </cell>
        </row>
        <row r="15">
          <cell r="E15">
            <v>0</v>
          </cell>
          <cell r="F15">
            <v>0</v>
          </cell>
        </row>
        <row r="17">
          <cell r="E17">
            <v>0</v>
          </cell>
          <cell r="F17">
            <v>0</v>
          </cell>
        </row>
        <row r="19">
          <cell r="F19">
            <v>0</v>
          </cell>
        </row>
        <row r="24">
          <cell r="F24">
            <v>0</v>
          </cell>
        </row>
        <row r="32">
          <cell r="F32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8">
          <cell r="F48">
            <v>0</v>
          </cell>
        </row>
        <row r="49">
          <cell r="F49">
            <v>0</v>
          </cell>
        </row>
        <row r="51">
          <cell r="F51">
            <v>0</v>
          </cell>
        </row>
        <row r="52">
          <cell r="F52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62">
          <cell r="F62">
            <v>0</v>
          </cell>
        </row>
        <row r="64">
          <cell r="F64">
            <v>0</v>
          </cell>
        </row>
      </sheetData>
      <sheetData sheetId="14"/>
      <sheetData sheetId="15"/>
      <sheetData sheetId="16">
        <row r="10">
          <cell r="D10">
            <v>34215</v>
          </cell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E13">
            <v>0</v>
          </cell>
          <cell r="F13">
            <v>0</v>
          </cell>
        </row>
        <row r="15">
          <cell r="E15">
            <v>0</v>
          </cell>
          <cell r="F15">
            <v>0</v>
          </cell>
        </row>
        <row r="17">
          <cell r="E17">
            <v>0</v>
          </cell>
          <cell r="F17">
            <v>0</v>
          </cell>
        </row>
        <row r="19">
          <cell r="F19">
            <v>0</v>
          </cell>
        </row>
        <row r="24">
          <cell r="F24">
            <v>0</v>
          </cell>
        </row>
        <row r="32">
          <cell r="F32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8">
          <cell r="F48">
            <v>0</v>
          </cell>
        </row>
        <row r="49">
          <cell r="F49">
            <v>0</v>
          </cell>
        </row>
        <row r="51">
          <cell r="F51">
            <v>0</v>
          </cell>
        </row>
        <row r="52">
          <cell r="F52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62">
          <cell r="F62">
            <v>0</v>
          </cell>
        </row>
        <row r="64">
          <cell r="F64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ölcsőde"/>
      <sheetName val="óvoda"/>
      <sheetName val="bölcsőde_és_óvoda"/>
      <sheetName val="közművelődés"/>
      <sheetName val="2019éviámk_ÖSSZESEN"/>
      <sheetName val="ÁMK_bevétele"/>
    </sheetNames>
    <sheetDataSet>
      <sheetData sheetId="0">
        <row r="8">
          <cell r="F8">
            <v>82080</v>
          </cell>
        </row>
        <row r="48">
          <cell r="H48">
            <v>13566945</v>
          </cell>
        </row>
      </sheetData>
      <sheetData sheetId="1">
        <row r="8">
          <cell r="F8">
            <v>197100</v>
          </cell>
        </row>
        <row r="60">
          <cell r="H60">
            <v>26621592</v>
          </cell>
        </row>
      </sheetData>
      <sheetData sheetId="2">
        <row r="5">
          <cell r="F5">
            <v>24763807</v>
          </cell>
        </row>
        <row r="6">
          <cell r="F6">
            <v>900000</v>
          </cell>
        </row>
        <row r="7">
          <cell r="F7">
            <v>864000</v>
          </cell>
        </row>
        <row r="9">
          <cell r="F9">
            <v>180000</v>
          </cell>
        </row>
        <row r="11">
          <cell r="F11">
            <v>5392062</v>
          </cell>
          <cell r="H11">
            <v>5392062</v>
          </cell>
        </row>
        <row r="13">
          <cell r="F13">
            <v>139000</v>
          </cell>
          <cell r="G13">
            <v>6950</v>
          </cell>
        </row>
        <row r="14">
          <cell r="F14">
            <v>911700</v>
          </cell>
          <cell r="G14">
            <v>246159</v>
          </cell>
        </row>
        <row r="16">
          <cell r="F16">
            <v>100000</v>
          </cell>
          <cell r="G16">
            <v>27000</v>
          </cell>
        </row>
        <row r="17">
          <cell r="F17">
            <v>80000</v>
          </cell>
          <cell r="G17">
            <v>21600</v>
          </cell>
        </row>
        <row r="18">
          <cell r="F18">
            <v>260000</v>
          </cell>
        </row>
        <row r="20">
          <cell r="F20">
            <v>140000</v>
          </cell>
          <cell r="G20">
            <v>37800</v>
          </cell>
        </row>
        <row r="26">
          <cell r="F26">
            <v>75000</v>
          </cell>
          <cell r="G26">
            <v>3750</v>
          </cell>
        </row>
        <row r="28">
          <cell r="F28">
            <v>216000</v>
          </cell>
          <cell r="G28">
            <v>58320</v>
          </cell>
        </row>
        <row r="31">
          <cell r="F31">
            <v>2010000</v>
          </cell>
          <cell r="G31">
            <v>542699</v>
          </cell>
        </row>
        <row r="32">
          <cell r="F32">
            <v>160000</v>
          </cell>
          <cell r="G32">
            <v>43200</v>
          </cell>
        </row>
        <row r="35">
          <cell r="F35">
            <v>300300</v>
          </cell>
        </row>
        <row r="36">
          <cell r="F36">
            <v>66000</v>
          </cell>
          <cell r="G36">
            <v>17820</v>
          </cell>
          <cell r="H36">
            <v>83820</v>
          </cell>
        </row>
        <row r="37">
          <cell r="F37">
            <v>30000</v>
          </cell>
        </row>
        <row r="38">
          <cell r="F38">
            <v>25000</v>
          </cell>
          <cell r="G38">
            <v>6750</v>
          </cell>
          <cell r="H38">
            <v>31750</v>
          </cell>
        </row>
        <row r="42">
          <cell r="F42">
            <v>120000</v>
          </cell>
        </row>
        <row r="44">
          <cell r="G44">
            <v>1263148</v>
          </cell>
        </row>
        <row r="45">
          <cell r="F45">
            <v>25000</v>
          </cell>
        </row>
        <row r="68">
          <cell r="G68">
            <v>216340</v>
          </cell>
        </row>
        <row r="69">
          <cell r="F69">
            <v>38709049</v>
          </cell>
          <cell r="G69">
            <v>1479488</v>
          </cell>
          <cell r="H69">
            <v>40188537</v>
          </cell>
        </row>
      </sheetData>
      <sheetData sheetId="3">
        <row r="6">
          <cell r="F6">
            <v>100000</v>
          </cell>
        </row>
        <row r="18">
          <cell r="G18">
            <v>8500</v>
          </cell>
        </row>
        <row r="19">
          <cell r="G19">
            <v>51300</v>
          </cell>
        </row>
        <row r="21">
          <cell r="G21">
            <v>40500</v>
          </cell>
        </row>
        <row r="22">
          <cell r="G22">
            <v>21600</v>
          </cell>
        </row>
        <row r="25">
          <cell r="G25">
            <v>10800</v>
          </cell>
        </row>
        <row r="32">
          <cell r="G32">
            <v>3500</v>
          </cell>
        </row>
        <row r="34">
          <cell r="G34">
            <v>75600</v>
          </cell>
        </row>
        <row r="37">
          <cell r="G37">
            <v>156600</v>
          </cell>
        </row>
        <row r="40">
          <cell r="F40">
            <v>50000</v>
          </cell>
          <cell r="G40">
            <v>13500</v>
          </cell>
        </row>
        <row r="42">
          <cell r="F42">
            <v>19200</v>
          </cell>
        </row>
        <row r="54">
          <cell r="F54">
            <v>70000</v>
          </cell>
        </row>
        <row r="57">
          <cell r="G57">
            <v>985350</v>
          </cell>
        </row>
        <row r="58">
          <cell r="F58">
            <v>30000</v>
          </cell>
        </row>
        <row r="70">
          <cell r="G70">
            <v>187650</v>
          </cell>
        </row>
        <row r="71">
          <cell r="F71">
            <v>13113016</v>
          </cell>
          <cell r="G71">
            <v>1173000</v>
          </cell>
          <cell r="H71">
            <v>14286016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+járulék"/>
      <sheetName val="dologi_kiadások"/>
      <sheetName val="Költségvetési_kiadások_mindössz"/>
      <sheetName val="Bevétel"/>
    </sheetNames>
    <sheetDataSet>
      <sheetData sheetId="0">
        <row r="30">
          <cell r="D30">
            <v>26512455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ölcsőde"/>
      <sheetName val="óvoda"/>
      <sheetName val="bölcsőde_és_óvoda"/>
      <sheetName val="közművelődés"/>
      <sheetName val="2019éviámk_ÖSSZESEN"/>
      <sheetName val="2018_évi_költségvetés"/>
      <sheetName val="ÁMK_bevétele"/>
    </sheetNames>
    <sheetDataSet>
      <sheetData sheetId="0">
        <row r="5">
          <cell r="F5">
            <v>8820219</v>
          </cell>
        </row>
        <row r="6">
          <cell r="F6">
            <v>300000</v>
          </cell>
        </row>
        <row r="7">
          <cell r="F7">
            <v>288000</v>
          </cell>
        </row>
        <row r="8">
          <cell r="F8">
            <v>82080</v>
          </cell>
        </row>
        <row r="9">
          <cell r="F9">
            <v>60000</v>
          </cell>
        </row>
        <row r="10">
          <cell r="F10">
            <v>9550299</v>
          </cell>
        </row>
        <row r="11">
          <cell r="F11">
            <v>1905508</v>
          </cell>
        </row>
        <row r="12">
          <cell r="F12">
            <v>11455807</v>
          </cell>
        </row>
        <row r="13">
          <cell r="F13">
            <v>45000</v>
          </cell>
          <cell r="G13">
            <v>2250</v>
          </cell>
          <cell r="H13">
            <v>47250</v>
          </cell>
        </row>
        <row r="14">
          <cell r="F14">
            <v>411700</v>
          </cell>
          <cell r="G14">
            <v>111159.00000000001</v>
          </cell>
          <cell r="H14">
            <v>522859</v>
          </cell>
        </row>
        <row r="16">
          <cell r="F16">
            <v>50000</v>
          </cell>
        </row>
        <row r="17">
          <cell r="F17">
            <v>30000</v>
          </cell>
        </row>
        <row r="18">
          <cell r="F18">
            <v>60000</v>
          </cell>
        </row>
        <row r="19">
          <cell r="F19">
            <v>60000</v>
          </cell>
          <cell r="G19">
            <v>0</v>
          </cell>
          <cell r="H19">
            <v>60000</v>
          </cell>
        </row>
        <row r="20">
          <cell r="F20">
            <v>40000</v>
          </cell>
          <cell r="G20">
            <v>10800</v>
          </cell>
          <cell r="H20">
            <v>50800</v>
          </cell>
        </row>
        <row r="24">
          <cell r="F24">
            <v>96000</v>
          </cell>
          <cell r="G24">
            <v>25920</v>
          </cell>
          <cell r="H24">
            <v>121920</v>
          </cell>
        </row>
        <row r="27">
          <cell r="F27">
            <v>510000</v>
          </cell>
          <cell r="G27">
            <v>137699</v>
          </cell>
          <cell r="H27">
            <v>647699</v>
          </cell>
        </row>
        <row r="28">
          <cell r="F28">
            <v>60000</v>
          </cell>
          <cell r="G28">
            <v>16200.000000000002</v>
          </cell>
          <cell r="H28">
            <v>76200</v>
          </cell>
        </row>
        <row r="29">
          <cell r="F29">
            <v>50000</v>
          </cell>
          <cell r="G29">
            <v>13500</v>
          </cell>
          <cell r="H29">
            <v>63500</v>
          </cell>
        </row>
        <row r="30">
          <cell r="F30">
            <v>68400</v>
          </cell>
          <cell r="G30">
            <v>0</v>
          </cell>
          <cell r="H30">
            <v>68400</v>
          </cell>
        </row>
        <row r="32">
          <cell r="F32">
            <v>6000</v>
          </cell>
          <cell r="G32">
            <v>1620</v>
          </cell>
          <cell r="H32">
            <v>7620</v>
          </cell>
        </row>
        <row r="33">
          <cell r="F33">
            <v>5000</v>
          </cell>
          <cell r="G33">
            <v>1350</v>
          </cell>
          <cell r="H33">
            <v>6350</v>
          </cell>
        </row>
        <row r="36">
          <cell r="F36">
            <v>50000</v>
          </cell>
        </row>
        <row r="38">
          <cell r="G38">
            <v>366398</v>
          </cell>
        </row>
        <row r="39">
          <cell r="F39">
            <v>5000</v>
          </cell>
          <cell r="G39">
            <v>0</v>
          </cell>
          <cell r="H39">
            <v>5000</v>
          </cell>
        </row>
        <row r="40">
          <cell r="G40">
            <v>366398</v>
          </cell>
        </row>
        <row r="41">
          <cell r="F41">
            <v>1577100</v>
          </cell>
          <cell r="G41">
            <v>366398</v>
          </cell>
          <cell r="H41">
            <v>1943498</v>
          </cell>
        </row>
        <row r="48">
          <cell r="F48">
            <v>13164907</v>
          </cell>
          <cell r="G48">
            <v>402038</v>
          </cell>
          <cell r="H48">
            <v>13566945</v>
          </cell>
        </row>
      </sheetData>
      <sheetData sheetId="1">
        <row r="5">
          <cell r="F5">
            <v>15943588</v>
          </cell>
        </row>
        <row r="6">
          <cell r="F6">
            <v>600000</v>
          </cell>
        </row>
        <row r="7">
          <cell r="F7">
            <v>576000</v>
          </cell>
        </row>
        <row r="8">
          <cell r="F8">
            <v>197100</v>
          </cell>
        </row>
        <row r="9">
          <cell r="F9">
            <v>120000</v>
          </cell>
        </row>
        <row r="10">
          <cell r="F10">
            <v>17436688</v>
          </cell>
        </row>
        <row r="11">
          <cell r="F11">
            <v>3486554</v>
          </cell>
        </row>
        <row r="12">
          <cell r="F12">
            <v>20923242</v>
          </cell>
        </row>
        <row r="13">
          <cell r="F13">
            <v>94000</v>
          </cell>
          <cell r="G13">
            <v>4700</v>
          </cell>
          <cell r="H13">
            <v>98700</v>
          </cell>
        </row>
        <row r="14">
          <cell r="F14">
            <v>500000</v>
          </cell>
          <cell r="G14">
            <v>135000</v>
          </cell>
          <cell r="H14">
            <v>635000</v>
          </cell>
        </row>
        <row r="16">
          <cell r="F16">
            <v>50000</v>
          </cell>
        </row>
        <row r="17">
          <cell r="F17">
            <v>50000</v>
          </cell>
        </row>
        <row r="18">
          <cell r="F18">
            <v>140000</v>
          </cell>
          <cell r="G18">
            <v>0</v>
          </cell>
          <cell r="H18">
            <v>140000</v>
          </cell>
        </row>
        <row r="19">
          <cell r="F19">
            <v>100000</v>
          </cell>
          <cell r="G19">
            <v>27000</v>
          </cell>
          <cell r="H19">
            <v>127000</v>
          </cell>
        </row>
        <row r="20">
          <cell r="F20">
            <v>200000</v>
          </cell>
        </row>
        <row r="27">
          <cell r="F27">
            <v>120000</v>
          </cell>
          <cell r="G27">
            <v>32400.000000000004</v>
          </cell>
          <cell r="H27">
            <v>152400</v>
          </cell>
        </row>
        <row r="30">
          <cell r="F30">
            <v>1500000</v>
          </cell>
          <cell r="G30">
            <v>405000</v>
          </cell>
          <cell r="H30">
            <v>1905000</v>
          </cell>
        </row>
        <row r="31">
          <cell r="F31">
            <v>100000</v>
          </cell>
          <cell r="G31">
            <v>27000</v>
          </cell>
          <cell r="H31">
            <v>127000</v>
          </cell>
        </row>
        <row r="32">
          <cell r="F32">
            <v>60000</v>
          </cell>
          <cell r="G32">
            <v>16200.000000000002</v>
          </cell>
          <cell r="H32">
            <v>76200</v>
          </cell>
        </row>
        <row r="33">
          <cell r="F33">
            <v>121900</v>
          </cell>
          <cell r="G33">
            <v>0</v>
          </cell>
          <cell r="H33">
            <v>121900</v>
          </cell>
        </row>
        <row r="35">
          <cell r="F35">
            <v>20000</v>
          </cell>
          <cell r="G35">
            <v>5400</v>
          </cell>
          <cell r="H35">
            <v>25400</v>
          </cell>
        </row>
        <row r="37">
          <cell r="F37">
            <v>60000</v>
          </cell>
          <cell r="G37">
            <v>16200.000000000002</v>
          </cell>
          <cell r="H37">
            <v>76200</v>
          </cell>
        </row>
        <row r="41">
          <cell r="F41">
            <v>70000</v>
          </cell>
        </row>
        <row r="43">
          <cell r="G43">
            <v>896750</v>
          </cell>
        </row>
        <row r="44">
          <cell r="F44">
            <v>20000</v>
          </cell>
          <cell r="G44">
            <v>0</v>
          </cell>
          <cell r="H44">
            <v>20000</v>
          </cell>
        </row>
        <row r="45">
          <cell r="G45">
            <v>896750</v>
          </cell>
        </row>
        <row r="46">
          <cell r="F46">
            <v>3910900</v>
          </cell>
          <cell r="G46">
            <v>896750</v>
          </cell>
          <cell r="H46">
            <v>4807650</v>
          </cell>
        </row>
        <row r="60">
          <cell r="F60">
            <v>25544142</v>
          </cell>
          <cell r="G60">
            <v>1077450</v>
          </cell>
          <cell r="H60">
            <v>26621592</v>
          </cell>
        </row>
      </sheetData>
      <sheetData sheetId="2">
        <row r="5">
          <cell r="F5">
            <v>24763807</v>
          </cell>
        </row>
      </sheetData>
      <sheetData sheetId="3">
        <row r="6">
          <cell r="F6">
            <v>100000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2"/>
      <sheetName val="5"/>
      <sheetName val="4"/>
      <sheetName val="6"/>
      <sheetName val="7"/>
      <sheetName val="8"/>
      <sheetName val="9"/>
    </sheetNames>
    <sheetDataSet>
      <sheetData sheetId="0" refreshError="1"/>
      <sheetData sheetId="1" refreshError="1"/>
      <sheetData sheetId="2">
        <row r="10">
          <cell r="D10">
            <v>31150</v>
          </cell>
        </row>
        <row r="11">
          <cell r="D11">
            <v>6406</v>
          </cell>
        </row>
        <row r="12">
          <cell r="D12">
            <v>14977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tábla+dologi"/>
      <sheetName val="bér 2019"/>
      <sheetName val="dologi+ber_tételes"/>
      <sheetName val="bEVÉTEL"/>
    </sheetNames>
    <sheetDataSet>
      <sheetData sheetId="0">
        <row r="7">
          <cell r="C7">
            <v>31121100</v>
          </cell>
        </row>
        <row r="8">
          <cell r="C8">
            <v>800000</v>
          </cell>
        </row>
        <row r="9">
          <cell r="C9">
            <v>1509592</v>
          </cell>
        </row>
        <row r="10">
          <cell r="C10">
            <v>288960</v>
          </cell>
        </row>
        <row r="11">
          <cell r="C11">
            <v>150000</v>
          </cell>
        </row>
        <row r="12">
          <cell r="C12">
            <v>700000</v>
          </cell>
        </row>
        <row r="13">
          <cell r="C13">
            <v>20000</v>
          </cell>
        </row>
        <row r="14">
          <cell r="C14">
            <v>6971420.9400000004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 "/>
      <sheetName val="éves_bér_és_jár"/>
      <sheetName val="bér_jár_Cofogszerint"/>
      <sheetName val="beruházások"/>
      <sheetName val="Kiadások_összesen"/>
      <sheetName val="dologi_kiadások_összesen"/>
      <sheetName val="Pénzeszközátadások"/>
      <sheetName val="segélyek"/>
      <sheetName val="Bevételek"/>
      <sheetName val="bevételek2"/>
      <sheetName val="Munka2"/>
      <sheetName val="kötött tartalék"/>
      <sheetName val="pénzmaradvány_tételes"/>
    </sheetNames>
    <sheetDataSet>
      <sheetData sheetId="0" refreshError="1"/>
      <sheetData sheetId="1" refreshError="1"/>
      <sheetData sheetId="2">
        <row r="15">
          <cell r="Y15">
            <v>71038925</v>
          </cell>
        </row>
        <row r="18">
          <cell r="Y18">
            <v>14121345.225</v>
          </cell>
        </row>
      </sheetData>
      <sheetData sheetId="3">
        <row r="14">
          <cell r="B14">
            <v>396755930</v>
          </cell>
        </row>
        <row r="21">
          <cell r="B21">
            <v>241000</v>
          </cell>
        </row>
        <row r="25">
          <cell r="B25">
            <v>850000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 "/>
      <sheetName val="éves_bér_és_jár"/>
      <sheetName val="bér_jár_Cofogszerint"/>
      <sheetName val="beruházások"/>
      <sheetName val="Kiadások_összesen"/>
      <sheetName val="dologi_kiadások_összesen"/>
      <sheetName val="Pénzeszközátadások"/>
      <sheetName val="segélyek"/>
      <sheetName val="Bevételek"/>
      <sheetName val="bevételek2"/>
      <sheetName val="Munka2"/>
      <sheetName val="kötött tartalék"/>
      <sheetName val="pénzmaradvány_tételes"/>
    </sheetNames>
    <sheetDataSet>
      <sheetData sheetId="0" refreshError="1"/>
      <sheetData sheetId="1">
        <row r="11">
          <cell r="K11">
            <v>15726600</v>
          </cell>
          <cell r="N11">
            <v>648000</v>
          </cell>
          <cell r="O11">
            <v>312000</v>
          </cell>
          <cell r="P11">
            <v>775000</v>
          </cell>
          <cell r="S11">
            <v>160000</v>
          </cell>
          <cell r="W11">
            <v>3436212</v>
          </cell>
          <cell r="X11">
            <v>97200</v>
          </cell>
        </row>
        <row r="21">
          <cell r="K21">
            <v>4891806</v>
          </cell>
          <cell r="S21">
            <v>50000</v>
          </cell>
          <cell r="W21">
            <v>963652.17</v>
          </cell>
        </row>
        <row r="25">
          <cell r="K25">
            <v>3110300</v>
          </cell>
          <cell r="N25">
            <v>192000</v>
          </cell>
          <cell r="P25">
            <v>200000</v>
          </cell>
          <cell r="S25">
            <v>80000</v>
          </cell>
          <cell r="W25">
            <v>698548.5</v>
          </cell>
          <cell r="X25">
            <v>28800</v>
          </cell>
        </row>
        <row r="27">
          <cell r="P27">
            <v>100000</v>
          </cell>
          <cell r="Q27">
            <v>148699</v>
          </cell>
        </row>
        <row r="35">
          <cell r="K35">
            <v>9038220</v>
          </cell>
          <cell r="O35">
            <v>900000</v>
          </cell>
          <cell r="S35">
            <v>50000</v>
          </cell>
          <cell r="U35">
            <v>500000</v>
          </cell>
          <cell r="W35">
            <v>2093699.2049999998</v>
          </cell>
          <cell r="X35">
            <v>128354.85</v>
          </cell>
        </row>
        <row r="37">
          <cell r="K37">
            <v>3642000</v>
          </cell>
          <cell r="L37">
            <v>396000</v>
          </cell>
          <cell r="M37">
            <v>185400</v>
          </cell>
          <cell r="N37">
            <v>96000</v>
          </cell>
          <cell r="P37">
            <v>100000</v>
          </cell>
          <cell r="S37">
            <v>30000</v>
          </cell>
        </row>
        <row r="38">
          <cell r="W38">
            <v>867633</v>
          </cell>
          <cell r="X38">
            <v>14400</v>
          </cell>
        </row>
        <row r="40">
          <cell r="K40">
            <v>1755000</v>
          </cell>
          <cell r="S40">
            <v>20000</v>
          </cell>
        </row>
        <row r="41">
          <cell r="Y41">
            <v>346125</v>
          </cell>
        </row>
        <row r="54">
          <cell r="K54">
            <v>8484000</v>
          </cell>
          <cell r="S54">
            <v>0</v>
          </cell>
          <cell r="T54">
            <v>12684000</v>
          </cell>
          <cell r="W54">
            <v>4127760</v>
          </cell>
        </row>
        <row r="58">
          <cell r="T58">
            <v>252000</v>
          </cell>
          <cell r="W58">
            <v>49140</v>
          </cell>
        </row>
        <row r="72">
          <cell r="K72">
            <v>4028400</v>
          </cell>
          <cell r="T72">
            <v>2483500</v>
          </cell>
          <cell r="W72">
            <v>1269820.5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étkeztetések"/>
      <sheetName val="dologi  2018"/>
      <sheetName val="üres dologi"/>
      <sheetName val="Személyi 02"/>
      <sheetName val="alapadatok bér 20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T10">
            <v>0</v>
          </cell>
          <cell r="V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1" sqref="G1"/>
    </sheetView>
  </sheetViews>
  <sheetFormatPr defaultColWidth="9.140625" defaultRowHeight="15.75" x14ac:dyDescent="0.25"/>
  <cols>
    <col min="1" max="1" width="5.5703125" style="3" customWidth="1"/>
    <col min="2" max="2" width="48.140625" style="2" customWidth="1"/>
    <col min="3" max="3" width="21.28515625" style="2" customWidth="1"/>
    <col min="4" max="10" width="9.140625" style="2"/>
    <col min="11" max="16384" width="9.140625" style="3"/>
  </cols>
  <sheetData>
    <row r="1" spans="1:10" ht="18.75" x14ac:dyDescent="0.25">
      <c r="A1" s="659"/>
      <c r="B1" s="659"/>
      <c r="C1" s="659"/>
      <c r="D1" s="1"/>
      <c r="E1" s="1"/>
      <c r="F1" s="1"/>
    </row>
    <row r="2" spans="1:10" x14ac:dyDescent="0.25">
      <c r="A2" s="660"/>
      <c r="B2" s="660"/>
      <c r="C2" s="660"/>
      <c r="D2" s="4"/>
      <c r="E2" s="4"/>
      <c r="F2" s="4"/>
      <c r="G2" s="4"/>
    </row>
    <row r="3" spans="1:10" x14ac:dyDescent="0.25">
      <c r="B3" s="5"/>
      <c r="C3" s="5" t="s">
        <v>514</v>
      </c>
      <c r="D3" s="5"/>
      <c r="E3" s="4"/>
      <c r="F3" s="4"/>
      <c r="G3" s="4"/>
    </row>
    <row r="4" spans="1:10" x14ac:dyDescent="0.25">
      <c r="B4" s="6"/>
      <c r="C4" s="5"/>
      <c r="D4" s="5"/>
      <c r="E4" s="5"/>
      <c r="F4" s="5"/>
      <c r="G4" s="4"/>
    </row>
    <row r="5" spans="1:10" ht="19.5" thickBot="1" x14ac:dyDescent="0.3">
      <c r="B5" s="7"/>
      <c r="C5" s="8"/>
    </row>
    <row r="6" spans="1:10" ht="18.75" x14ac:dyDescent="0.25">
      <c r="A6" s="661" t="s">
        <v>0</v>
      </c>
      <c r="B6" s="662"/>
      <c r="C6" s="663"/>
    </row>
    <row r="7" spans="1:10" ht="18.75" x14ac:dyDescent="0.25">
      <c r="A7" s="9" t="s">
        <v>1</v>
      </c>
      <c r="B7" s="664" t="s">
        <v>2</v>
      </c>
      <c r="C7" s="665"/>
    </row>
    <row r="8" spans="1:10" s="10" customFormat="1" ht="18.75" x14ac:dyDescent="0.25">
      <c r="A8" s="9"/>
      <c r="B8" s="664"/>
      <c r="C8" s="665"/>
      <c r="D8" s="2"/>
      <c r="E8" s="2"/>
      <c r="F8" s="2"/>
      <c r="G8" s="2"/>
      <c r="H8" s="2"/>
      <c r="I8" s="2"/>
      <c r="J8" s="2"/>
    </row>
    <row r="9" spans="1:10" x14ac:dyDescent="0.25">
      <c r="B9" s="5"/>
    </row>
  </sheetData>
  <mergeCells count="5">
    <mergeCell ref="A1:C1"/>
    <mergeCell ref="A2:C2"/>
    <mergeCell ref="A6:C6"/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opLeftCell="C1" workbookViewId="0">
      <selection activeCell="H18" sqref="H18"/>
    </sheetView>
  </sheetViews>
  <sheetFormatPr defaultRowHeight="15" x14ac:dyDescent="0.25"/>
  <cols>
    <col min="1" max="1" width="14.85546875" style="216" customWidth="1"/>
    <col min="2" max="2" width="31.5703125" style="216" customWidth="1"/>
    <col min="3" max="3" width="5" style="216" customWidth="1"/>
    <col min="4" max="4" width="7" style="216" customWidth="1"/>
    <col min="5" max="5" width="4.5703125" style="216" customWidth="1"/>
    <col min="6" max="6" width="9.7109375" style="216" customWidth="1"/>
    <col min="8" max="8" width="10.28515625" bestFit="1" customWidth="1"/>
    <col min="9" max="9" width="21.7109375" bestFit="1" customWidth="1"/>
    <col min="16" max="16" width="15.7109375" bestFit="1" customWidth="1"/>
    <col min="21" max="21" width="9.85546875" bestFit="1" customWidth="1"/>
  </cols>
  <sheetData>
    <row r="1" spans="1:22" x14ac:dyDescent="0.25">
      <c r="H1" s="216"/>
      <c r="I1" s="216"/>
      <c r="J1" s="216"/>
      <c r="K1" s="216"/>
      <c r="L1" s="216"/>
      <c r="M1" s="216"/>
      <c r="O1" s="216"/>
      <c r="P1" s="216"/>
      <c r="Q1" s="216"/>
      <c r="R1" s="216"/>
      <c r="S1" s="216"/>
      <c r="T1" s="216"/>
    </row>
    <row r="2" spans="1:22" ht="18.75" x14ac:dyDescent="0.3">
      <c r="A2" s="806" t="s">
        <v>190</v>
      </c>
      <c r="B2" s="806"/>
      <c r="C2" s="806"/>
      <c r="D2" s="806"/>
      <c r="E2" s="806"/>
      <c r="F2" s="806"/>
      <c r="H2" s="806" t="s">
        <v>190</v>
      </c>
      <c r="I2" s="806"/>
      <c r="J2" s="806"/>
      <c r="K2" s="806"/>
      <c r="L2" s="806"/>
      <c r="M2" s="806"/>
      <c r="O2" s="806" t="s">
        <v>190</v>
      </c>
      <c r="P2" s="806"/>
      <c r="Q2" s="806"/>
      <c r="R2" s="806"/>
      <c r="S2" s="806"/>
      <c r="T2" s="806"/>
      <c r="U2" s="494" t="s">
        <v>278</v>
      </c>
      <c r="V2" s="450"/>
    </row>
    <row r="3" spans="1:22" ht="18.75" x14ac:dyDescent="0.3">
      <c r="A3" s="806"/>
      <c r="B3" s="806"/>
      <c r="C3" s="806"/>
      <c r="D3" s="806"/>
      <c r="E3" s="806"/>
      <c r="F3" s="806"/>
      <c r="H3" s="806"/>
      <c r="I3" s="806"/>
      <c r="J3" s="806"/>
      <c r="K3" s="806"/>
      <c r="L3" s="806"/>
      <c r="M3" s="806"/>
      <c r="O3" s="806" t="s">
        <v>279</v>
      </c>
      <c r="P3" s="806"/>
      <c r="Q3" s="806"/>
      <c r="R3" s="806"/>
      <c r="S3" s="806"/>
      <c r="T3" s="806"/>
    </row>
    <row r="4" spans="1:22" ht="20.25" x14ac:dyDescent="0.3">
      <c r="A4" s="806" t="s">
        <v>3</v>
      </c>
      <c r="B4" s="806"/>
      <c r="C4" s="806"/>
      <c r="D4" s="806"/>
      <c r="E4" s="806"/>
      <c r="F4" s="806"/>
      <c r="H4" s="829" t="s">
        <v>280</v>
      </c>
      <c r="I4" s="829"/>
      <c r="J4" s="829"/>
      <c r="K4" s="829"/>
      <c r="L4" s="829"/>
      <c r="M4" s="829"/>
      <c r="O4" s="830"/>
      <c r="P4" s="830"/>
      <c r="Q4" s="830"/>
      <c r="R4" s="830"/>
      <c r="S4" s="830"/>
      <c r="T4" s="830"/>
    </row>
    <row r="5" spans="1:22" ht="18.75" x14ac:dyDescent="0.3">
      <c r="A5" s="806" t="s">
        <v>281</v>
      </c>
      <c r="B5" s="806"/>
      <c r="C5" s="806"/>
      <c r="D5" s="806"/>
      <c r="E5" s="806"/>
      <c r="F5" s="806"/>
      <c r="H5" s="806" t="s">
        <v>281</v>
      </c>
      <c r="I5" s="806"/>
      <c r="J5" s="806"/>
      <c r="K5" s="806"/>
      <c r="L5" s="806"/>
      <c r="M5" s="806"/>
      <c r="O5" s="806" t="s">
        <v>281</v>
      </c>
      <c r="P5" s="806"/>
      <c r="Q5" s="806"/>
      <c r="R5" s="806"/>
      <c r="S5" s="806"/>
      <c r="T5" s="806"/>
    </row>
    <row r="6" spans="1:22" x14ac:dyDescent="0.25">
      <c r="H6" s="216"/>
      <c r="I6" s="216"/>
      <c r="J6" s="216"/>
      <c r="K6" s="216"/>
      <c r="L6" s="216"/>
      <c r="M6" s="216"/>
      <c r="O6" s="216"/>
      <c r="P6" s="216"/>
      <c r="Q6" s="216"/>
      <c r="R6" s="216"/>
      <c r="S6" s="216"/>
      <c r="T6" s="216"/>
    </row>
    <row r="7" spans="1:22" ht="47.25" x14ac:dyDescent="0.25">
      <c r="A7" s="334" t="s">
        <v>282</v>
      </c>
      <c r="B7" s="334" t="s">
        <v>283</v>
      </c>
      <c r="C7" s="831" t="s">
        <v>284</v>
      </c>
      <c r="D7" s="831"/>
      <c r="E7" s="831"/>
      <c r="F7" s="831"/>
      <c r="H7" s="334" t="s">
        <v>282</v>
      </c>
      <c r="I7" s="334" t="s">
        <v>283</v>
      </c>
      <c r="J7" s="831" t="s">
        <v>284</v>
      </c>
      <c r="K7" s="831"/>
      <c r="L7" s="831"/>
      <c r="M7" s="831"/>
      <c r="O7" s="334" t="s">
        <v>282</v>
      </c>
      <c r="P7" s="334" t="s">
        <v>283</v>
      </c>
      <c r="Q7" s="831" t="s">
        <v>284</v>
      </c>
      <c r="R7" s="831"/>
      <c r="S7" s="831"/>
      <c r="T7" s="831"/>
    </row>
    <row r="8" spans="1:22" ht="31.5" x14ac:dyDescent="0.25">
      <c r="A8" s="335" t="s">
        <v>285</v>
      </c>
      <c r="B8" s="336" t="s">
        <v>286</v>
      </c>
      <c r="C8" s="832">
        <v>2</v>
      </c>
      <c r="D8" s="832"/>
      <c r="E8" s="832"/>
      <c r="F8" s="832"/>
      <c r="H8" s="335" t="s">
        <v>287</v>
      </c>
      <c r="I8" s="336" t="s">
        <v>288</v>
      </c>
      <c r="J8" s="833">
        <v>6</v>
      </c>
      <c r="K8" s="833"/>
      <c r="L8" s="833"/>
      <c r="M8" s="833"/>
      <c r="O8" s="335" t="s">
        <v>289</v>
      </c>
      <c r="P8" s="336" t="s">
        <v>290</v>
      </c>
      <c r="Q8" s="832">
        <v>4</v>
      </c>
      <c r="R8" s="832"/>
      <c r="S8" s="832"/>
      <c r="T8" s="832"/>
    </row>
    <row r="9" spans="1:22" ht="31.5" x14ac:dyDescent="0.25">
      <c r="A9" s="335" t="s">
        <v>291</v>
      </c>
      <c r="B9" s="336" t="s">
        <v>292</v>
      </c>
      <c r="C9" s="834">
        <v>8</v>
      </c>
      <c r="D9" s="835"/>
      <c r="E9" s="835"/>
      <c r="F9" s="836"/>
      <c r="H9" s="335" t="s">
        <v>293</v>
      </c>
      <c r="I9" s="336" t="s">
        <v>294</v>
      </c>
      <c r="J9" s="837">
        <v>1</v>
      </c>
      <c r="K9" s="838"/>
      <c r="L9" s="838"/>
      <c r="M9" s="839"/>
      <c r="O9" s="335" t="s">
        <v>295</v>
      </c>
      <c r="P9" s="336" t="s">
        <v>296</v>
      </c>
      <c r="Q9" s="834">
        <v>1</v>
      </c>
      <c r="R9" s="835"/>
      <c r="S9" s="835"/>
      <c r="T9" s="836"/>
    </row>
    <row r="10" spans="1:22" ht="15.75" x14ac:dyDescent="0.25">
      <c r="A10" s="335" t="s">
        <v>287</v>
      </c>
      <c r="B10" s="337" t="s">
        <v>297</v>
      </c>
      <c r="C10" s="837">
        <v>1</v>
      </c>
      <c r="D10" s="838"/>
      <c r="E10" s="838"/>
      <c r="F10" s="839"/>
      <c r="H10" s="335" t="s">
        <v>298</v>
      </c>
      <c r="I10" s="336" t="s">
        <v>48</v>
      </c>
      <c r="J10" s="837">
        <v>1</v>
      </c>
      <c r="K10" s="838"/>
      <c r="L10" s="838"/>
      <c r="M10" s="839"/>
      <c r="O10" s="338">
        <v>104030</v>
      </c>
      <c r="P10" s="336" t="s">
        <v>299</v>
      </c>
      <c r="Q10" s="837">
        <v>3</v>
      </c>
      <c r="R10" s="838"/>
      <c r="S10" s="838"/>
      <c r="T10" s="839"/>
    </row>
    <row r="11" spans="1:22" ht="31.5" x14ac:dyDescent="0.25">
      <c r="A11" s="335" t="s">
        <v>300</v>
      </c>
      <c r="B11" s="336" t="s">
        <v>301</v>
      </c>
      <c r="C11" s="840">
        <v>1</v>
      </c>
      <c r="D11" s="841"/>
      <c r="E11" s="841"/>
      <c r="F11" s="842"/>
      <c r="H11" s="338"/>
      <c r="I11" s="336"/>
      <c r="J11" s="840"/>
      <c r="K11" s="841"/>
      <c r="L11" s="841"/>
      <c r="M11" s="842"/>
      <c r="O11" s="338">
        <v>91140</v>
      </c>
      <c r="P11" s="336" t="s">
        <v>302</v>
      </c>
      <c r="Q11" s="840">
        <v>2</v>
      </c>
      <c r="R11" s="841"/>
      <c r="S11" s="841"/>
      <c r="T11" s="842"/>
    </row>
    <row r="12" spans="1:22" ht="31.5" x14ac:dyDescent="0.25">
      <c r="A12" s="338">
        <v>82092</v>
      </c>
      <c r="B12" s="336" t="s">
        <v>812</v>
      </c>
      <c r="C12" s="843">
        <v>1</v>
      </c>
      <c r="D12" s="843"/>
      <c r="E12" s="843"/>
      <c r="F12" s="843"/>
      <c r="H12" s="338"/>
      <c r="I12" s="336"/>
      <c r="J12" s="843"/>
      <c r="K12" s="843"/>
      <c r="L12" s="843"/>
      <c r="M12" s="843"/>
      <c r="O12" s="338"/>
      <c r="P12" s="336"/>
      <c r="Q12" s="843"/>
      <c r="R12" s="843"/>
      <c r="S12" s="843"/>
      <c r="T12" s="843"/>
    </row>
    <row r="13" spans="1:22" ht="15.75" x14ac:dyDescent="0.25">
      <c r="A13" s="338"/>
      <c r="B13" s="336"/>
      <c r="C13" s="837"/>
      <c r="D13" s="844"/>
      <c r="E13" s="844"/>
      <c r="F13" s="845"/>
      <c r="H13" s="338"/>
      <c r="I13" s="336"/>
      <c r="J13" s="837"/>
      <c r="K13" s="844"/>
      <c r="L13" s="844"/>
      <c r="M13" s="845"/>
      <c r="O13" s="338"/>
      <c r="P13" s="336"/>
      <c r="Q13" s="837"/>
      <c r="R13" s="844"/>
      <c r="S13" s="844"/>
      <c r="T13" s="845"/>
    </row>
    <row r="14" spans="1:22" ht="15.75" x14ac:dyDescent="0.25">
      <c r="A14" s="831" t="s">
        <v>128</v>
      </c>
      <c r="B14" s="831"/>
      <c r="C14" s="846">
        <f>SUM(C8:F13)</f>
        <v>13</v>
      </c>
      <c r="D14" s="846"/>
      <c r="E14" s="846"/>
      <c r="F14" s="846"/>
      <c r="H14" s="831" t="s">
        <v>128</v>
      </c>
      <c r="I14" s="831"/>
      <c r="J14" s="846">
        <f>SUM(J8:M13)</f>
        <v>8</v>
      </c>
      <c r="K14" s="846"/>
      <c r="L14" s="846"/>
      <c r="M14" s="846"/>
      <c r="O14" s="831" t="s">
        <v>128</v>
      </c>
      <c r="P14" s="831"/>
      <c r="Q14" s="846">
        <f>SUM(Q8:T13)</f>
        <v>10</v>
      </c>
      <c r="R14" s="846"/>
      <c r="S14" s="846"/>
      <c r="T14" s="846"/>
    </row>
    <row r="15" spans="1:22" x14ac:dyDescent="0.25">
      <c r="A15" s="339"/>
      <c r="B15" s="339"/>
    </row>
    <row r="16" spans="1:22" ht="18.75" x14ac:dyDescent="0.3">
      <c r="A16" s="806" t="s">
        <v>303</v>
      </c>
      <c r="B16" s="806"/>
      <c r="C16" s="806"/>
      <c r="D16" s="806"/>
      <c r="E16" s="806"/>
      <c r="F16" s="806"/>
    </row>
    <row r="18" spans="1:6" ht="31.5" x14ac:dyDescent="0.25">
      <c r="A18" s="334" t="s">
        <v>282</v>
      </c>
      <c r="B18" s="334" t="s">
        <v>283</v>
      </c>
      <c r="C18" s="831" t="s">
        <v>304</v>
      </c>
      <c r="D18" s="831"/>
      <c r="E18" s="831"/>
      <c r="F18" s="831"/>
    </row>
    <row r="19" spans="1:6" ht="15.75" x14ac:dyDescent="0.25">
      <c r="A19" s="335" t="s">
        <v>305</v>
      </c>
      <c r="B19" s="336" t="s">
        <v>306</v>
      </c>
      <c r="C19" s="847">
        <v>6</v>
      </c>
      <c r="D19" s="848"/>
      <c r="E19" s="848"/>
      <c r="F19" s="849"/>
    </row>
    <row r="20" spans="1:6" ht="15.75" x14ac:dyDescent="0.25">
      <c r="A20" s="831" t="s">
        <v>128</v>
      </c>
      <c r="B20" s="831"/>
      <c r="C20" s="846">
        <f>SUM(C14:F19)</f>
        <v>19</v>
      </c>
      <c r="D20" s="846"/>
      <c r="E20" s="846"/>
      <c r="F20" s="846"/>
    </row>
    <row r="24" spans="1:6" x14ac:dyDescent="0.25">
      <c r="D24" s="340"/>
    </row>
  </sheetData>
  <mergeCells count="44">
    <mergeCell ref="A16:F16"/>
    <mergeCell ref="C18:F18"/>
    <mergeCell ref="C19:F19"/>
    <mergeCell ref="A20:B20"/>
    <mergeCell ref="C20:F20"/>
    <mergeCell ref="C13:F13"/>
    <mergeCell ref="J13:M13"/>
    <mergeCell ref="Q13:T13"/>
    <mergeCell ref="A14:B14"/>
    <mergeCell ref="C14:F14"/>
    <mergeCell ref="H14:I14"/>
    <mergeCell ref="J14:M14"/>
    <mergeCell ref="O14:P14"/>
    <mergeCell ref="Q14:T14"/>
    <mergeCell ref="C11:F11"/>
    <mergeCell ref="J11:M11"/>
    <mergeCell ref="Q11:T11"/>
    <mergeCell ref="C12:F12"/>
    <mergeCell ref="J12:M12"/>
    <mergeCell ref="Q12:T12"/>
    <mergeCell ref="C9:F9"/>
    <mergeCell ref="J9:M9"/>
    <mergeCell ref="Q9:T9"/>
    <mergeCell ref="C10:F10"/>
    <mergeCell ref="J10:M10"/>
    <mergeCell ref="Q10:T10"/>
    <mergeCell ref="C7:F7"/>
    <mergeCell ref="J7:M7"/>
    <mergeCell ref="Q7:T7"/>
    <mergeCell ref="C8:F8"/>
    <mergeCell ref="J8:M8"/>
    <mergeCell ref="Q8:T8"/>
    <mergeCell ref="A4:F4"/>
    <mergeCell ref="H4:M4"/>
    <mergeCell ref="O4:T4"/>
    <mergeCell ref="A5:F5"/>
    <mergeCell ref="H5:M5"/>
    <mergeCell ref="O5:T5"/>
    <mergeCell ref="A2:F2"/>
    <mergeCell ref="H2:M2"/>
    <mergeCell ref="O2:T2"/>
    <mergeCell ref="A3:F3"/>
    <mergeCell ref="H3:M3"/>
    <mergeCell ref="O3:T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opLeftCell="A70" workbookViewId="0">
      <selection activeCell="H35" sqref="H35"/>
    </sheetView>
  </sheetViews>
  <sheetFormatPr defaultRowHeight="15.75" x14ac:dyDescent="0.25"/>
  <cols>
    <col min="1" max="1" width="6" style="2" customWidth="1"/>
    <col min="2" max="2" width="5.140625" style="1" customWidth="1"/>
    <col min="3" max="3" width="82.5703125" style="1" customWidth="1"/>
    <col min="4" max="4" width="14.42578125" style="2" customWidth="1"/>
    <col min="5" max="5" width="14.5703125" style="2" customWidth="1"/>
    <col min="6" max="6" width="16.7109375" style="2" customWidth="1"/>
    <col min="7" max="7" width="14.85546875" style="11" bestFit="1" customWidth="1"/>
    <col min="8" max="8" width="16.7109375" style="11" bestFit="1" customWidth="1"/>
    <col min="9" max="9" width="14.85546875" style="11" bestFit="1" customWidth="1"/>
    <col min="10" max="16384" width="9.140625" style="11"/>
  </cols>
  <sheetData>
    <row r="1" spans="1:9" ht="20.100000000000001" customHeight="1" x14ac:dyDescent="0.3">
      <c r="A1" s="667" t="s">
        <v>631</v>
      </c>
      <c r="B1" s="668"/>
      <c r="C1" s="668"/>
      <c r="D1" s="668"/>
      <c r="E1" s="668"/>
      <c r="F1" s="668"/>
    </row>
    <row r="2" spans="1:9" ht="20.100000000000001" customHeight="1" x14ac:dyDescent="0.25">
      <c r="A2" s="660"/>
      <c r="B2" s="660"/>
      <c r="C2" s="660"/>
      <c r="D2" s="660"/>
      <c r="E2" s="660"/>
      <c r="F2" s="660"/>
    </row>
    <row r="3" spans="1:9" ht="20.100000000000001" customHeight="1" x14ac:dyDescent="0.25">
      <c r="A3" s="669" t="s">
        <v>307</v>
      </c>
      <c r="B3" s="669"/>
      <c r="C3" s="669"/>
      <c r="D3" s="669"/>
      <c r="E3" s="669"/>
      <c r="F3" s="669"/>
      <c r="G3" s="669"/>
    </row>
    <row r="4" spans="1:9" ht="20.100000000000001" customHeight="1" x14ac:dyDescent="0.25">
      <c r="A4" s="660" t="s">
        <v>4</v>
      </c>
      <c r="B4" s="660"/>
      <c r="C4" s="660"/>
      <c r="D4" s="660"/>
      <c r="E4" s="660"/>
      <c r="F4" s="660"/>
    </row>
    <row r="5" spans="1:9" ht="39" customHeight="1" thickBot="1" x14ac:dyDescent="0.3">
      <c r="A5" s="670" t="s">
        <v>814</v>
      </c>
      <c r="B5" s="670"/>
      <c r="C5" s="670"/>
      <c r="D5" s="670"/>
      <c r="E5" s="670"/>
      <c r="F5" s="670"/>
    </row>
    <row r="6" spans="1:9" ht="20.100000000000001" customHeight="1" x14ac:dyDescent="0.25">
      <c r="A6" s="671" t="s">
        <v>6</v>
      </c>
      <c r="B6" s="674" t="s">
        <v>7</v>
      </c>
      <c r="C6" s="674"/>
      <c r="D6" s="677" t="s">
        <v>674</v>
      </c>
      <c r="E6" s="679" t="s">
        <v>9</v>
      </c>
      <c r="F6" s="679" t="s">
        <v>10</v>
      </c>
      <c r="G6" s="681" t="s">
        <v>11</v>
      </c>
      <c r="H6" s="855"/>
      <c r="I6" s="855"/>
    </row>
    <row r="7" spans="1:9" ht="38.25" customHeight="1" x14ac:dyDescent="0.25">
      <c r="A7" s="672"/>
      <c r="B7" s="675"/>
      <c r="C7" s="675"/>
      <c r="D7" s="678"/>
      <c r="E7" s="680"/>
      <c r="F7" s="680"/>
      <c r="G7" s="682"/>
      <c r="H7" s="855"/>
      <c r="I7" s="855"/>
    </row>
    <row r="8" spans="1:9" ht="22.5" customHeight="1" thickBot="1" x14ac:dyDescent="0.3">
      <c r="A8" s="850"/>
      <c r="B8" s="851"/>
      <c r="C8" s="851"/>
      <c r="D8" s="852" t="s">
        <v>675</v>
      </c>
      <c r="E8" s="678"/>
      <c r="F8" s="678"/>
      <c r="G8" s="341"/>
    </row>
    <row r="9" spans="1:9" ht="15.95" customHeight="1" x14ac:dyDescent="0.25">
      <c r="A9" s="568"/>
      <c r="B9" s="674" t="s">
        <v>12</v>
      </c>
      <c r="C9" s="674"/>
      <c r="D9" s="343"/>
      <c r="E9" s="344"/>
      <c r="F9" s="345"/>
      <c r="G9" s="345"/>
    </row>
    <row r="10" spans="1:9" ht="15.95" customHeight="1" x14ac:dyDescent="0.25">
      <c r="A10" s="9">
        <v>1</v>
      </c>
      <c r="B10" s="666" t="s">
        <v>13</v>
      </c>
      <c r="C10" s="666"/>
      <c r="D10" s="17">
        <v>31150</v>
      </c>
      <c r="E10" s="17">
        <v>31150</v>
      </c>
      <c r="F10" s="18"/>
      <c r="G10" s="19"/>
      <c r="H10" s="571"/>
      <c r="I10" s="571"/>
    </row>
    <row r="11" spans="1:9" ht="15.95" customHeight="1" x14ac:dyDescent="0.25">
      <c r="A11" s="9">
        <v>2</v>
      </c>
      <c r="B11" s="666" t="s">
        <v>14</v>
      </c>
      <c r="C11" s="666"/>
      <c r="D11" s="17">
        <v>6406</v>
      </c>
      <c r="E11" s="17">
        <v>6406</v>
      </c>
      <c r="F11" s="18"/>
      <c r="G11" s="19"/>
      <c r="H11" s="571"/>
      <c r="I11" s="571"/>
    </row>
    <row r="12" spans="1:9" ht="15.95" customHeight="1" x14ac:dyDescent="0.25">
      <c r="A12" s="9">
        <v>3</v>
      </c>
      <c r="B12" s="666" t="s">
        <v>15</v>
      </c>
      <c r="C12" s="666"/>
      <c r="D12" s="17">
        <v>14977</v>
      </c>
      <c r="E12" s="17">
        <v>14977</v>
      </c>
      <c r="F12" s="18"/>
      <c r="G12" s="20"/>
      <c r="H12" s="571"/>
      <c r="I12" s="571"/>
    </row>
    <row r="13" spans="1:9" ht="15.95" customHeight="1" x14ac:dyDescent="0.25">
      <c r="A13" s="9" t="s">
        <v>16</v>
      </c>
      <c r="B13" s="666" t="s">
        <v>17</v>
      </c>
      <c r="C13" s="666"/>
      <c r="D13" s="346"/>
      <c r="E13" s="346"/>
      <c r="F13" s="18"/>
      <c r="G13" s="19"/>
      <c r="H13" s="571"/>
      <c r="I13" s="571"/>
    </row>
    <row r="14" spans="1:9" ht="15.95" customHeight="1" x14ac:dyDescent="0.25">
      <c r="A14" s="9" t="s">
        <v>18</v>
      </c>
      <c r="B14" s="685" t="s">
        <v>19</v>
      </c>
      <c r="C14" s="685"/>
      <c r="D14" s="346">
        <f>+D15+D16+D17+D18+D19</f>
        <v>0</v>
      </c>
      <c r="E14" s="346">
        <f>+E15+E16+E17+E18+E19</f>
        <v>0</v>
      </c>
      <c r="F14" s="23"/>
      <c r="G14" s="23"/>
      <c r="H14" s="571"/>
      <c r="I14" s="571"/>
    </row>
    <row r="15" spans="1:9" ht="15.95" customHeight="1" x14ac:dyDescent="0.25">
      <c r="A15" s="9" t="s">
        <v>20</v>
      </c>
      <c r="B15" s="686" t="s">
        <v>130</v>
      </c>
      <c r="C15" s="686"/>
      <c r="D15" s="346"/>
      <c r="E15" s="346"/>
      <c r="F15" s="18"/>
      <c r="G15" s="19"/>
      <c r="H15" s="571"/>
      <c r="I15" s="571"/>
    </row>
    <row r="16" spans="1:9" ht="15.95" customHeight="1" x14ac:dyDescent="0.25">
      <c r="A16" s="9" t="s">
        <v>21</v>
      </c>
      <c r="B16" s="686" t="s">
        <v>22</v>
      </c>
      <c r="C16" s="686"/>
      <c r="D16" s="346"/>
      <c r="E16" s="346"/>
      <c r="F16" s="18"/>
      <c r="G16" s="19"/>
      <c r="H16" s="571"/>
      <c r="I16" s="571"/>
    </row>
    <row r="17" spans="1:9" ht="15.95" customHeight="1" x14ac:dyDescent="0.25">
      <c r="A17" s="9"/>
      <c r="B17" s="853" t="s">
        <v>133</v>
      </c>
      <c r="C17" s="853"/>
      <c r="D17" s="346"/>
      <c r="E17" s="346"/>
      <c r="F17" s="18"/>
      <c r="G17" s="19"/>
      <c r="H17" s="571"/>
      <c r="I17" s="571"/>
    </row>
    <row r="18" spans="1:9" ht="15.95" customHeight="1" x14ac:dyDescent="0.25">
      <c r="A18" s="9" t="s">
        <v>23</v>
      </c>
      <c r="B18" s="689" t="s">
        <v>24</v>
      </c>
      <c r="C18" s="689"/>
      <c r="D18" s="346"/>
      <c r="E18" s="346"/>
      <c r="F18" s="18"/>
      <c r="G18" s="19"/>
      <c r="H18" s="571"/>
      <c r="I18" s="571"/>
    </row>
    <row r="19" spans="1:9" ht="15.95" customHeight="1" x14ac:dyDescent="0.25">
      <c r="A19" s="9" t="s">
        <v>25</v>
      </c>
      <c r="B19" s="689" t="s">
        <v>308</v>
      </c>
      <c r="C19" s="854"/>
      <c r="D19" s="346"/>
      <c r="E19" s="346"/>
      <c r="F19" s="18"/>
      <c r="G19" s="19"/>
      <c r="H19" s="571"/>
      <c r="I19" s="571"/>
    </row>
    <row r="20" spans="1:9" ht="15.95" customHeight="1" x14ac:dyDescent="0.25">
      <c r="A20" s="9"/>
      <c r="B20" s="666" t="s">
        <v>26</v>
      </c>
      <c r="C20" s="666"/>
      <c r="D20" s="347"/>
      <c r="E20" s="347"/>
      <c r="F20" s="348"/>
      <c r="G20" s="349"/>
      <c r="H20" s="571"/>
      <c r="I20" s="571"/>
    </row>
    <row r="21" spans="1:9" ht="15.95" customHeight="1" x14ac:dyDescent="0.25">
      <c r="A21" s="9" t="s">
        <v>1</v>
      </c>
      <c r="B21" s="567" t="s">
        <v>28</v>
      </c>
      <c r="C21" s="350"/>
      <c r="D21" s="346">
        <f>+D10+D11+D12+D13+D14+D20</f>
        <v>52533</v>
      </c>
      <c r="E21" s="346">
        <f>+E10+E11+E12+E13+E14+E20</f>
        <v>52533</v>
      </c>
      <c r="F21" s="23">
        <f>+F10+F11+F12+F13+F14+F20+F16</f>
        <v>0</v>
      </c>
      <c r="G21" s="17"/>
      <c r="H21" s="571"/>
      <c r="I21" s="571"/>
    </row>
    <row r="22" spans="1:9" ht="15.95" customHeight="1" x14ac:dyDescent="0.25">
      <c r="A22" s="9" t="s">
        <v>29</v>
      </c>
      <c r="B22" s="666" t="s">
        <v>30</v>
      </c>
      <c r="C22" s="666"/>
      <c r="D22" s="347">
        <v>1941</v>
      </c>
      <c r="E22" s="347">
        <v>1941</v>
      </c>
      <c r="F22" s="115"/>
      <c r="G22" s="19"/>
      <c r="H22" s="571"/>
      <c r="I22" s="571"/>
    </row>
    <row r="23" spans="1:9" ht="15.95" customHeight="1" x14ac:dyDescent="0.25">
      <c r="A23" s="9" t="s">
        <v>31</v>
      </c>
      <c r="B23" s="666" t="s">
        <v>32</v>
      </c>
      <c r="C23" s="666"/>
      <c r="D23" s="347"/>
      <c r="E23" s="347"/>
      <c r="F23" s="18"/>
      <c r="G23" s="19"/>
      <c r="H23" s="571"/>
      <c r="I23" s="571"/>
    </row>
    <row r="24" spans="1:9" ht="15.95" customHeight="1" x14ac:dyDescent="0.25">
      <c r="A24" s="9" t="s">
        <v>33</v>
      </c>
      <c r="B24" s="666" t="s">
        <v>137</v>
      </c>
      <c r="C24" s="666"/>
      <c r="D24" s="347"/>
      <c r="E24" s="347"/>
      <c r="F24" s="18"/>
      <c r="G24" s="19"/>
      <c r="H24" s="571"/>
      <c r="I24" s="571"/>
    </row>
    <row r="25" spans="1:9" ht="15.95" customHeight="1" x14ac:dyDescent="0.25">
      <c r="A25" s="9" t="s">
        <v>35</v>
      </c>
      <c r="B25" s="666" t="s">
        <v>36</v>
      </c>
      <c r="C25" s="666"/>
      <c r="D25" s="347">
        <f>+D22+D23+D24</f>
        <v>1941</v>
      </c>
      <c r="E25" s="347">
        <f>+E22+E23+E24</f>
        <v>1941</v>
      </c>
      <c r="F25" s="18">
        <f>SUM(F22:F24)</f>
        <v>0</v>
      </c>
      <c r="G25" s="19"/>
      <c r="H25" s="571"/>
      <c r="I25" s="571"/>
    </row>
    <row r="26" spans="1:9" ht="15.95" customHeight="1" x14ac:dyDescent="0.25">
      <c r="A26" s="9" t="s">
        <v>37</v>
      </c>
      <c r="B26" s="666"/>
      <c r="C26" s="666"/>
      <c r="D26" s="347"/>
      <c r="E26" s="347"/>
      <c r="F26" s="18"/>
      <c r="G26" s="19"/>
      <c r="H26" s="571"/>
      <c r="I26" s="571"/>
    </row>
    <row r="27" spans="1:9" ht="15.95" customHeight="1" x14ac:dyDescent="0.25">
      <c r="A27" s="9" t="s">
        <v>38</v>
      </c>
      <c r="B27" s="696"/>
      <c r="C27" s="696"/>
      <c r="D27" s="351"/>
      <c r="E27" s="351"/>
      <c r="F27" s="18">
        <f>+D27+E27</f>
        <v>0</v>
      </c>
      <c r="G27" s="19"/>
      <c r="H27" s="571"/>
      <c r="I27" s="571"/>
    </row>
    <row r="28" spans="1:9" ht="15.95" customHeight="1" x14ac:dyDescent="0.25">
      <c r="A28" s="9" t="s">
        <v>39</v>
      </c>
      <c r="B28" s="696"/>
      <c r="C28" s="696"/>
      <c r="D28" s="351"/>
      <c r="E28" s="351"/>
      <c r="F28" s="18">
        <f>+D28+E28</f>
        <v>0</v>
      </c>
      <c r="G28" s="19"/>
      <c r="H28" s="571"/>
      <c r="I28" s="571"/>
    </row>
    <row r="29" spans="1:9" ht="15.95" customHeight="1" x14ac:dyDescent="0.3">
      <c r="A29" s="36" t="s">
        <v>40</v>
      </c>
      <c r="B29" s="700" t="s">
        <v>309</v>
      </c>
      <c r="C29" s="700"/>
      <c r="D29" s="353">
        <f>+D21+D25+D26+D27+D28</f>
        <v>54474</v>
      </c>
      <c r="E29" s="353">
        <f>+E21+E25+E26+E27+E28</f>
        <v>54474</v>
      </c>
      <c r="F29" s="66">
        <f>+F21+F25+F26+F27+F28</f>
        <v>0</v>
      </c>
      <c r="G29" s="67">
        <f>+G21+G25+G26+G27+G28</f>
        <v>0</v>
      </c>
      <c r="H29" s="571"/>
      <c r="I29" s="571"/>
    </row>
    <row r="30" spans="1:9" ht="15.95" customHeight="1" x14ac:dyDescent="0.25">
      <c r="A30" s="40"/>
      <c r="B30" s="750"/>
      <c r="C30" s="750"/>
      <c r="D30" s="125"/>
      <c r="E30" s="125"/>
      <c r="F30" s="96"/>
      <c r="G30" s="96"/>
      <c r="H30" s="571"/>
      <c r="I30" s="571"/>
    </row>
    <row r="31" spans="1:9" ht="15.95" customHeight="1" x14ac:dyDescent="0.25">
      <c r="A31" s="9"/>
      <c r="B31" s="719" t="s">
        <v>42</v>
      </c>
      <c r="C31" s="719"/>
      <c r="D31" s="347"/>
      <c r="E31" s="347"/>
      <c r="F31" s="18"/>
      <c r="G31" s="19"/>
      <c r="H31" s="571"/>
      <c r="I31" s="571"/>
    </row>
    <row r="32" spans="1:9" ht="15.95" customHeight="1" x14ac:dyDescent="0.25">
      <c r="A32" s="9" t="s">
        <v>43</v>
      </c>
      <c r="B32" s="694" t="s">
        <v>44</v>
      </c>
      <c r="C32" s="694"/>
      <c r="D32" s="347">
        <v>1362</v>
      </c>
      <c r="E32" s="347">
        <v>1362</v>
      </c>
      <c r="F32" s="18"/>
      <c r="G32" s="19">
        <v>0</v>
      </c>
      <c r="H32" s="571"/>
      <c r="I32" s="571"/>
    </row>
    <row r="33" spans="1:9" ht="15.95" customHeight="1" x14ac:dyDescent="0.25">
      <c r="A33" s="9" t="s">
        <v>45</v>
      </c>
      <c r="B33" s="694" t="s">
        <v>46</v>
      </c>
      <c r="C33" s="694"/>
      <c r="D33" s="347">
        <f>SUM(D34:D36)</f>
        <v>0</v>
      </c>
      <c r="E33" s="347">
        <f>SUM(E34:E36)</f>
        <v>0</v>
      </c>
      <c r="F33" s="32">
        <f>SUM(F34:F36)</f>
        <v>0</v>
      </c>
      <c r="G33" s="19"/>
      <c r="H33" s="571"/>
      <c r="I33" s="571"/>
    </row>
    <row r="34" spans="1:9" ht="15.95" customHeight="1" x14ac:dyDescent="0.25">
      <c r="A34" s="9"/>
      <c r="B34" s="51" t="s">
        <v>47</v>
      </c>
      <c r="C34" s="52" t="s">
        <v>48</v>
      </c>
      <c r="D34" s="347"/>
      <c r="E34" s="347"/>
      <c r="F34" s="18"/>
      <c r="G34" s="19"/>
      <c r="H34" s="571"/>
      <c r="I34" s="571"/>
    </row>
    <row r="35" spans="1:9" ht="15.95" customHeight="1" x14ac:dyDescent="0.25">
      <c r="A35" s="9"/>
      <c r="B35" s="51" t="s">
        <v>49</v>
      </c>
      <c r="C35" s="52" t="s">
        <v>50</v>
      </c>
      <c r="D35" s="347"/>
      <c r="E35" s="347"/>
      <c r="F35" s="18"/>
      <c r="G35" s="19"/>
      <c r="H35" s="571"/>
      <c r="I35" s="571"/>
    </row>
    <row r="36" spans="1:9" ht="15.95" customHeight="1" x14ac:dyDescent="0.25">
      <c r="A36" s="9"/>
      <c r="B36" s="51" t="s">
        <v>51</v>
      </c>
      <c r="C36" s="52" t="s">
        <v>52</v>
      </c>
      <c r="D36" s="347"/>
      <c r="E36" s="347"/>
      <c r="F36" s="18"/>
      <c r="G36" s="19"/>
      <c r="H36" s="571"/>
      <c r="I36" s="571"/>
    </row>
    <row r="37" spans="1:9" ht="15.95" customHeight="1" x14ac:dyDescent="0.25">
      <c r="A37" s="9" t="s">
        <v>53</v>
      </c>
      <c r="B37" s="694" t="s">
        <v>54</v>
      </c>
      <c r="C37" s="694"/>
      <c r="D37" s="347">
        <f>SUM(D38:D40)</f>
        <v>0</v>
      </c>
      <c r="E37" s="347">
        <f>SUM(E38:E40)</f>
        <v>0</v>
      </c>
      <c r="F37" s="18">
        <f>SUM(F38:F40)</f>
        <v>0</v>
      </c>
      <c r="G37" s="19"/>
      <c r="H37" s="571"/>
      <c r="I37" s="571"/>
    </row>
    <row r="38" spans="1:9" ht="15.95" customHeight="1" x14ac:dyDescent="0.25">
      <c r="A38" s="9"/>
      <c r="B38" s="55" t="s">
        <v>55</v>
      </c>
      <c r="C38" s="566" t="s">
        <v>56</v>
      </c>
      <c r="D38" s="347"/>
      <c r="E38" s="347"/>
      <c r="F38" s="18"/>
      <c r="G38" s="19"/>
      <c r="H38" s="571"/>
      <c r="I38" s="571"/>
    </row>
    <row r="39" spans="1:9" ht="15.95" customHeight="1" x14ac:dyDescent="0.25">
      <c r="A39" s="9"/>
      <c r="B39" s="55" t="s">
        <v>57</v>
      </c>
      <c r="C39" s="566" t="s">
        <v>58</v>
      </c>
      <c r="D39" s="347"/>
      <c r="E39" s="347"/>
      <c r="F39" s="18">
        <f t="shared" ref="F39:F45" si="0">SUM(D39:D39)</f>
        <v>0</v>
      </c>
      <c r="G39" s="19"/>
      <c r="H39" s="571"/>
      <c r="I39" s="571"/>
    </row>
    <row r="40" spans="1:9" ht="15.95" customHeight="1" x14ac:dyDescent="0.25">
      <c r="A40" s="9"/>
      <c r="B40" s="55" t="s">
        <v>59</v>
      </c>
      <c r="C40" s="566" t="s">
        <v>60</v>
      </c>
      <c r="D40" s="347"/>
      <c r="E40" s="347"/>
      <c r="F40" s="18"/>
      <c r="G40" s="19"/>
      <c r="H40" s="571"/>
      <c r="I40" s="571"/>
    </row>
    <row r="41" spans="1:9" ht="15.95" customHeight="1" x14ac:dyDescent="0.25">
      <c r="A41" s="9" t="s">
        <v>16</v>
      </c>
      <c r="B41" s="694" t="s">
        <v>61</v>
      </c>
      <c r="C41" s="694"/>
      <c r="D41" s="347">
        <f>+F41</f>
        <v>0</v>
      </c>
      <c r="E41" s="347">
        <f>+G41</f>
        <v>0</v>
      </c>
      <c r="F41" s="32">
        <f>SUM(F42:F45)</f>
        <v>0</v>
      </c>
      <c r="G41" s="19"/>
      <c r="H41" s="571"/>
      <c r="I41" s="571"/>
    </row>
    <row r="42" spans="1:9" ht="15.95" customHeight="1" x14ac:dyDescent="0.25">
      <c r="A42" s="9"/>
      <c r="B42" s="55" t="s">
        <v>62</v>
      </c>
      <c r="C42" s="566" t="s">
        <v>63</v>
      </c>
      <c r="D42" s="347">
        <f>+F42</f>
        <v>0</v>
      </c>
      <c r="E42" s="347">
        <f>+G42</f>
        <v>0</v>
      </c>
      <c r="F42" s="18"/>
      <c r="G42" s="19"/>
      <c r="H42" s="571"/>
      <c r="I42" s="571"/>
    </row>
    <row r="43" spans="1:9" ht="15.95" customHeight="1" x14ac:dyDescent="0.25">
      <c r="A43" s="9"/>
      <c r="B43" s="55" t="s">
        <v>64</v>
      </c>
      <c r="C43" s="566" t="s">
        <v>65</v>
      </c>
      <c r="D43" s="347"/>
      <c r="E43" s="347"/>
      <c r="F43" s="18">
        <f t="shared" si="0"/>
        <v>0</v>
      </c>
      <c r="G43" s="19"/>
      <c r="H43" s="571"/>
      <c r="I43" s="571"/>
    </row>
    <row r="44" spans="1:9" ht="15.95" customHeight="1" x14ac:dyDescent="0.25">
      <c r="A44" s="9"/>
      <c r="B44" s="55" t="s">
        <v>66</v>
      </c>
      <c r="C44" s="566" t="s">
        <v>310</v>
      </c>
      <c r="D44" s="347"/>
      <c r="E44" s="347"/>
      <c r="F44" s="18">
        <f t="shared" si="0"/>
        <v>0</v>
      </c>
      <c r="G44" s="19"/>
      <c r="H44" s="571"/>
      <c r="I44" s="571"/>
    </row>
    <row r="45" spans="1:9" ht="15.95" customHeight="1" x14ac:dyDescent="0.25">
      <c r="A45" s="9"/>
      <c r="B45" s="55" t="s">
        <v>68</v>
      </c>
      <c r="C45" s="566" t="s">
        <v>69</v>
      </c>
      <c r="D45" s="347"/>
      <c r="E45" s="347"/>
      <c r="F45" s="18">
        <f t="shared" si="0"/>
        <v>0</v>
      </c>
      <c r="G45" s="19"/>
      <c r="H45" s="571"/>
      <c r="I45" s="571"/>
    </row>
    <row r="46" spans="1:9" s="393" customFormat="1" ht="15.95" customHeight="1" x14ac:dyDescent="0.25">
      <c r="A46" s="26" t="s">
        <v>1</v>
      </c>
      <c r="B46" s="702" t="s">
        <v>70</v>
      </c>
      <c r="C46" s="702"/>
      <c r="D46" s="347">
        <f>+D32+D33+D37+D41</f>
        <v>1362</v>
      </c>
      <c r="E46" s="347">
        <f>+E32+E33+E37+E41</f>
        <v>1362</v>
      </c>
      <c r="F46" s="347">
        <f>+F32+F33+F37+F41</f>
        <v>0</v>
      </c>
      <c r="G46" s="347">
        <f>+G32+G33+G37+G41</f>
        <v>0</v>
      </c>
      <c r="H46" s="572"/>
      <c r="I46" s="572"/>
    </row>
    <row r="47" spans="1:9" ht="15.95" customHeight="1" x14ac:dyDescent="0.25">
      <c r="A47" s="9" t="s">
        <v>18</v>
      </c>
      <c r="B47" s="694" t="s">
        <v>71</v>
      </c>
      <c r="C47" s="694"/>
      <c r="D47" s="347">
        <f>SUM(D48:D49)</f>
        <v>0</v>
      </c>
      <c r="E47" s="347">
        <f>SUM(E48:E49)</f>
        <v>0</v>
      </c>
      <c r="F47" s="32">
        <f>SUM(F48:F49)</f>
        <v>0</v>
      </c>
      <c r="G47" s="19"/>
      <c r="H47" s="571"/>
      <c r="I47" s="571"/>
    </row>
    <row r="48" spans="1:9" ht="15.95" customHeight="1" x14ac:dyDescent="0.25">
      <c r="A48" s="9"/>
      <c r="B48" s="55" t="s">
        <v>72</v>
      </c>
      <c r="C48" s="566" t="s">
        <v>73</v>
      </c>
      <c r="D48" s="347"/>
      <c r="E48" s="347"/>
      <c r="F48" s="18">
        <f t="shared" ref="F48:F56" si="1">SUM(D48:D48)</f>
        <v>0</v>
      </c>
      <c r="G48" s="19"/>
      <c r="H48" s="571"/>
      <c r="I48" s="571"/>
    </row>
    <row r="49" spans="1:9" ht="15.95" customHeight="1" x14ac:dyDescent="0.25">
      <c r="A49" s="9"/>
      <c r="B49" s="55" t="s">
        <v>74</v>
      </c>
      <c r="C49" s="566" t="s">
        <v>75</v>
      </c>
      <c r="D49" s="347"/>
      <c r="E49" s="347"/>
      <c r="F49" s="18"/>
      <c r="G49" s="19"/>
      <c r="H49" s="571"/>
      <c r="I49" s="571"/>
    </row>
    <row r="50" spans="1:9" ht="15.95" customHeight="1" x14ac:dyDescent="0.25">
      <c r="A50" s="9" t="s">
        <v>29</v>
      </c>
      <c r="B50" s="694" t="s">
        <v>76</v>
      </c>
      <c r="C50" s="694"/>
      <c r="D50" s="347">
        <f>SUM(D51:D52)</f>
        <v>0</v>
      </c>
      <c r="E50" s="347">
        <f>SUM(E51:E52)</f>
        <v>0</v>
      </c>
      <c r="F50" s="18">
        <f t="shared" si="1"/>
        <v>0</v>
      </c>
      <c r="G50" s="19"/>
      <c r="H50" s="571"/>
      <c r="I50" s="571"/>
    </row>
    <row r="51" spans="1:9" ht="15.95" customHeight="1" x14ac:dyDescent="0.25">
      <c r="A51" s="9"/>
      <c r="B51" s="55" t="s">
        <v>77</v>
      </c>
      <c r="C51" s="566" t="s">
        <v>78</v>
      </c>
      <c r="D51" s="347"/>
      <c r="E51" s="347"/>
      <c r="F51" s="18">
        <f t="shared" si="1"/>
        <v>0</v>
      </c>
      <c r="G51" s="19"/>
      <c r="H51" s="571"/>
      <c r="I51" s="571"/>
    </row>
    <row r="52" spans="1:9" ht="15.95" customHeight="1" x14ac:dyDescent="0.25">
      <c r="A52" s="9"/>
      <c r="B52" s="55" t="s">
        <v>79</v>
      </c>
      <c r="C52" s="566" t="s">
        <v>80</v>
      </c>
      <c r="D52" s="347">
        <v>0</v>
      </c>
      <c r="E52" s="347">
        <v>0</v>
      </c>
      <c r="F52" s="18">
        <f t="shared" si="1"/>
        <v>0</v>
      </c>
      <c r="G52" s="19"/>
      <c r="H52" s="571"/>
      <c r="I52" s="571"/>
    </row>
    <row r="53" spans="1:9" ht="15.95" customHeight="1" x14ac:dyDescent="0.25">
      <c r="A53" s="9" t="s">
        <v>31</v>
      </c>
      <c r="B53" s="694" t="s">
        <v>81</v>
      </c>
      <c r="C53" s="694"/>
      <c r="D53" s="347">
        <f>SUM(D54:D56)</f>
        <v>0</v>
      </c>
      <c r="E53" s="347">
        <f>SUM(E54:E56)</f>
        <v>0</v>
      </c>
      <c r="F53" s="18">
        <f>SUM(F54:F56)</f>
        <v>0</v>
      </c>
      <c r="G53" s="19"/>
      <c r="H53" s="571"/>
      <c r="I53" s="571"/>
    </row>
    <row r="54" spans="1:9" ht="15.95" customHeight="1" x14ac:dyDescent="0.25">
      <c r="A54" s="9"/>
      <c r="B54" s="55" t="s">
        <v>82</v>
      </c>
      <c r="C54" s="566" t="s">
        <v>83</v>
      </c>
      <c r="D54" s="347"/>
      <c r="E54" s="347"/>
      <c r="F54" s="18"/>
      <c r="G54" s="19"/>
      <c r="H54" s="571"/>
      <c r="I54" s="571"/>
    </row>
    <row r="55" spans="1:9" ht="15.95" customHeight="1" x14ac:dyDescent="0.25">
      <c r="A55" s="9"/>
      <c r="B55" s="55" t="s">
        <v>84</v>
      </c>
      <c r="C55" s="566" t="s">
        <v>85</v>
      </c>
      <c r="D55" s="347"/>
      <c r="E55" s="347"/>
      <c r="F55" s="18">
        <f t="shared" si="1"/>
        <v>0</v>
      </c>
      <c r="G55" s="19"/>
      <c r="H55" s="571"/>
      <c r="I55" s="571"/>
    </row>
    <row r="56" spans="1:9" ht="15.95" customHeight="1" x14ac:dyDescent="0.25">
      <c r="A56" s="9"/>
      <c r="B56" s="55" t="s">
        <v>86</v>
      </c>
      <c r="C56" s="566" t="s">
        <v>87</v>
      </c>
      <c r="D56" s="347"/>
      <c r="E56" s="347"/>
      <c r="F56" s="18">
        <f t="shared" si="1"/>
        <v>0</v>
      </c>
      <c r="G56" s="19"/>
      <c r="H56" s="571"/>
      <c r="I56" s="571"/>
    </row>
    <row r="57" spans="1:9" s="393" customFormat="1" ht="15.95" customHeight="1" x14ac:dyDescent="0.25">
      <c r="A57" s="26" t="s">
        <v>35</v>
      </c>
      <c r="B57" s="702" t="s">
        <v>88</v>
      </c>
      <c r="C57" s="702"/>
      <c r="D57" s="351">
        <f>+D47+D50+D53</f>
        <v>0</v>
      </c>
      <c r="E57" s="351">
        <f>+E47+E50+E53</f>
        <v>0</v>
      </c>
      <c r="F57" s="33">
        <f>+F47+F50+F53</f>
        <v>0</v>
      </c>
      <c r="G57" s="356">
        <f>+G47+G50+G53</f>
        <v>0</v>
      </c>
      <c r="H57" s="572"/>
      <c r="I57" s="572"/>
    </row>
    <row r="58" spans="1:9" s="393" customFormat="1" ht="15.95" customHeight="1" x14ac:dyDescent="0.25">
      <c r="A58" s="26" t="s">
        <v>37</v>
      </c>
      <c r="B58" s="702" t="s">
        <v>89</v>
      </c>
      <c r="C58" s="702"/>
      <c r="D58" s="351"/>
      <c r="E58" s="351"/>
      <c r="F58" s="357"/>
      <c r="G58" s="358"/>
      <c r="H58" s="572"/>
      <c r="I58" s="572"/>
    </row>
    <row r="59" spans="1:9" s="393" customFormat="1" ht="15.95" customHeight="1" x14ac:dyDescent="0.25">
      <c r="A59" s="26" t="s">
        <v>38</v>
      </c>
      <c r="B59" s="702" t="s">
        <v>90</v>
      </c>
      <c r="C59" s="702"/>
      <c r="D59" s="351"/>
      <c r="E59" s="351"/>
      <c r="F59" s="357"/>
      <c r="G59" s="358"/>
      <c r="H59" s="572"/>
      <c r="I59" s="572"/>
    </row>
    <row r="60" spans="1:9" s="395" customFormat="1" ht="15.95" customHeight="1" x14ac:dyDescent="0.3">
      <c r="A60" s="36" t="s">
        <v>91</v>
      </c>
      <c r="B60" s="704" t="s">
        <v>92</v>
      </c>
      <c r="C60" s="704"/>
      <c r="D60" s="353">
        <f>+D46+D57+D58+D59</f>
        <v>1362</v>
      </c>
      <c r="E60" s="353">
        <f>+E46+E57+E58+E59</f>
        <v>1362</v>
      </c>
      <c r="F60" s="66">
        <f>+F46+F57+F58+F59</f>
        <v>0</v>
      </c>
      <c r="G60" s="67">
        <f>+G46+G57+G58+G59</f>
        <v>0</v>
      </c>
      <c r="H60" s="572"/>
      <c r="I60" s="573"/>
    </row>
    <row r="61" spans="1:9" s="395" customFormat="1" ht="15.95" customHeight="1" x14ac:dyDescent="0.3">
      <c r="A61" s="36"/>
      <c r="B61" s="704" t="s">
        <v>93</v>
      </c>
      <c r="C61" s="704"/>
      <c r="D61" s="353">
        <f>+D29-D60</f>
        <v>53112</v>
      </c>
      <c r="E61" s="353">
        <f>+E29-E60</f>
        <v>53112</v>
      </c>
      <c r="F61" s="66">
        <f>+F29-F60</f>
        <v>0</v>
      </c>
      <c r="G61" s="67">
        <f>+G29-G60</f>
        <v>0</v>
      </c>
      <c r="H61" s="573"/>
      <c r="I61" s="573"/>
    </row>
    <row r="62" spans="1:9" s="395" customFormat="1" ht="15.95" customHeight="1" x14ac:dyDescent="0.3">
      <c r="A62" s="36"/>
      <c r="B62" s="702" t="s">
        <v>94</v>
      </c>
      <c r="C62" s="702"/>
      <c r="D62" s="353">
        <v>51662</v>
      </c>
      <c r="E62" s="353">
        <v>51662</v>
      </c>
      <c r="F62" s="66"/>
      <c r="G62" s="67"/>
      <c r="H62" s="573"/>
      <c r="I62" s="573"/>
    </row>
    <row r="63" spans="1:9" ht="15.95" customHeight="1" x14ac:dyDescent="0.25">
      <c r="A63" s="26" t="s">
        <v>39</v>
      </c>
      <c r="B63" s="702" t="s">
        <v>95</v>
      </c>
      <c r="C63" s="702"/>
      <c r="D63" s="347">
        <f>D64+D65</f>
        <v>1450</v>
      </c>
      <c r="E63" s="347">
        <f>E64+E65</f>
        <v>1450</v>
      </c>
      <c r="F63" s="18"/>
      <c r="G63" s="21"/>
      <c r="H63" s="571"/>
      <c r="I63" s="571"/>
    </row>
    <row r="64" spans="1:9" s="395" customFormat="1" ht="15.95" customHeight="1" x14ac:dyDescent="0.3">
      <c r="A64" s="36"/>
      <c r="B64" s="68" t="s">
        <v>43</v>
      </c>
      <c r="C64" s="566" t="s">
        <v>96</v>
      </c>
      <c r="D64" s="347">
        <v>1450</v>
      </c>
      <c r="E64" s="347">
        <v>1450</v>
      </c>
      <c r="F64" s="76"/>
      <c r="G64" s="69"/>
      <c r="H64" s="573"/>
      <c r="I64" s="573"/>
    </row>
    <row r="65" spans="1:9" s="395" customFormat="1" ht="15.95" customHeight="1" x14ac:dyDescent="0.3">
      <c r="A65" s="36"/>
      <c r="B65" s="68" t="s">
        <v>45</v>
      </c>
      <c r="C65" s="566" t="s">
        <v>97</v>
      </c>
      <c r="D65" s="359"/>
      <c r="E65" s="359"/>
      <c r="F65" s="18"/>
      <c r="G65" s="69"/>
      <c r="H65" s="573"/>
      <c r="I65" s="573"/>
    </row>
    <row r="66" spans="1:9" s="395" customFormat="1" ht="39.75" customHeight="1" x14ac:dyDescent="0.3">
      <c r="A66" s="36" t="s">
        <v>98</v>
      </c>
      <c r="B66" s="700" t="s">
        <v>99</v>
      </c>
      <c r="C66" s="700"/>
      <c r="D66" s="353">
        <f>+D63</f>
        <v>1450</v>
      </c>
      <c r="E66" s="353">
        <f>+E63</f>
        <v>1450</v>
      </c>
      <c r="F66" s="66">
        <f>+F63</f>
        <v>0</v>
      </c>
      <c r="G66" s="69"/>
      <c r="H66" s="573"/>
      <c r="I66" s="573"/>
    </row>
    <row r="67" spans="1:9" s="395" customFormat="1" ht="15.95" customHeight="1" x14ac:dyDescent="0.3">
      <c r="A67" s="9" t="s">
        <v>100</v>
      </c>
      <c r="B67" s="694" t="s">
        <v>101</v>
      </c>
      <c r="C67" s="694"/>
      <c r="D67" s="353"/>
      <c r="E67" s="353"/>
      <c r="F67" s="72">
        <f t="shared" ref="F67:F80" si="2">SUM(D67:E67)</f>
        <v>0</v>
      </c>
      <c r="G67" s="73"/>
      <c r="H67" s="573"/>
      <c r="I67" s="573"/>
    </row>
    <row r="68" spans="1:9" s="395" customFormat="1" ht="15.95" customHeight="1" x14ac:dyDescent="0.3">
      <c r="A68" s="9" t="s">
        <v>102</v>
      </c>
      <c r="B68" s="694" t="s">
        <v>103</v>
      </c>
      <c r="C68" s="694"/>
      <c r="D68" s="353">
        <f>SUM(D69:D72)</f>
        <v>0</v>
      </c>
      <c r="E68" s="353">
        <f>SUM(E69:E72)</f>
        <v>0</v>
      </c>
      <c r="F68" s="72">
        <f t="shared" si="2"/>
        <v>0</v>
      </c>
      <c r="G68" s="73"/>
      <c r="H68" s="573"/>
      <c r="I68" s="573"/>
    </row>
    <row r="69" spans="1:9" s="395" customFormat="1" ht="15.95" customHeight="1" x14ac:dyDescent="0.3">
      <c r="A69" s="9"/>
      <c r="B69" s="55" t="s">
        <v>43</v>
      </c>
      <c r="C69" s="566" t="s">
        <v>311</v>
      </c>
      <c r="D69" s="359"/>
      <c r="E69" s="359"/>
      <c r="F69" s="76">
        <f t="shared" si="2"/>
        <v>0</v>
      </c>
      <c r="G69" s="73"/>
      <c r="H69" s="573"/>
      <c r="I69" s="573"/>
    </row>
    <row r="70" spans="1:9" s="395" customFormat="1" ht="15.95" customHeight="1" x14ac:dyDescent="0.3">
      <c r="A70" s="9"/>
      <c r="B70" s="55" t="s">
        <v>45</v>
      </c>
      <c r="C70" s="566" t="s">
        <v>105</v>
      </c>
      <c r="D70" s="353"/>
      <c r="E70" s="353"/>
      <c r="F70" s="72">
        <f t="shared" si="2"/>
        <v>0</v>
      </c>
      <c r="G70" s="73"/>
      <c r="H70" s="573"/>
      <c r="I70" s="573"/>
    </row>
    <row r="71" spans="1:9" s="395" customFormat="1" ht="15.95" customHeight="1" x14ac:dyDescent="0.3">
      <c r="A71" s="9"/>
      <c r="B71" s="55" t="s">
        <v>53</v>
      </c>
      <c r="C71" s="566" t="s">
        <v>106</v>
      </c>
      <c r="D71" s="359"/>
      <c r="E71" s="359"/>
      <c r="F71" s="72"/>
      <c r="G71" s="73"/>
      <c r="H71" s="573"/>
      <c r="I71" s="573"/>
    </row>
    <row r="72" spans="1:9" s="395" customFormat="1" ht="15.95" customHeight="1" x14ac:dyDescent="0.3">
      <c r="A72" s="9"/>
      <c r="B72" s="55" t="s">
        <v>16</v>
      </c>
      <c r="C72" s="566" t="s">
        <v>107</v>
      </c>
      <c r="D72" s="359"/>
      <c r="E72" s="359"/>
      <c r="F72" s="72"/>
      <c r="G72" s="73"/>
      <c r="H72" s="573"/>
      <c r="I72" s="573"/>
    </row>
    <row r="73" spans="1:9" s="395" customFormat="1" ht="33" customHeight="1" x14ac:dyDescent="0.3">
      <c r="A73" s="36" t="s">
        <v>108</v>
      </c>
      <c r="B73" s="709" t="s">
        <v>109</v>
      </c>
      <c r="C73" s="709"/>
      <c r="D73" s="353">
        <f>+D67+D68</f>
        <v>0</v>
      </c>
      <c r="E73" s="353">
        <f>+E67+E68</f>
        <v>0</v>
      </c>
      <c r="F73" s="72">
        <f t="shared" si="2"/>
        <v>0</v>
      </c>
      <c r="G73" s="73"/>
      <c r="H73" s="573"/>
      <c r="I73" s="573"/>
    </row>
    <row r="74" spans="1:9" s="395" customFormat="1" ht="15.95" customHeight="1" x14ac:dyDescent="0.3">
      <c r="A74" s="36" t="s">
        <v>110</v>
      </c>
      <c r="B74" s="704" t="s">
        <v>111</v>
      </c>
      <c r="C74" s="704"/>
      <c r="D74" s="71">
        <f>+D66+D73+D62</f>
        <v>53112</v>
      </c>
      <c r="E74" s="71">
        <f>+E66+E73+E62</f>
        <v>53112</v>
      </c>
      <c r="F74" s="71">
        <f>+F66+F73+F62</f>
        <v>0</v>
      </c>
      <c r="G74" s="73"/>
      <c r="H74" s="573"/>
      <c r="I74" s="573"/>
    </row>
    <row r="75" spans="1:9" s="395" customFormat="1" ht="15.95" customHeight="1" x14ac:dyDescent="0.3">
      <c r="A75" s="9" t="s">
        <v>112</v>
      </c>
      <c r="B75" s="694" t="s">
        <v>312</v>
      </c>
      <c r="C75" s="694"/>
      <c r="D75" s="353"/>
      <c r="E75" s="353"/>
      <c r="F75" s="72">
        <f t="shared" si="2"/>
        <v>0</v>
      </c>
      <c r="G75" s="73"/>
      <c r="H75" s="573"/>
      <c r="I75" s="573"/>
    </row>
    <row r="76" spans="1:9" s="395" customFormat="1" ht="15.95" customHeight="1" x14ac:dyDescent="0.3">
      <c r="A76" s="9" t="s">
        <v>114</v>
      </c>
      <c r="B76" s="694" t="s">
        <v>115</v>
      </c>
      <c r="C76" s="694"/>
      <c r="D76" s="359">
        <f>SUM(D77:D79)</f>
        <v>0</v>
      </c>
      <c r="E76" s="359">
        <f>SUM(E77:E79)</f>
        <v>0</v>
      </c>
      <c r="F76" s="76">
        <f t="shared" si="2"/>
        <v>0</v>
      </c>
      <c r="G76" s="73"/>
      <c r="H76" s="573"/>
      <c r="I76" s="573"/>
    </row>
    <row r="77" spans="1:9" s="395" customFormat="1" ht="15.95" customHeight="1" x14ac:dyDescent="0.3">
      <c r="A77" s="9"/>
      <c r="B77" s="55" t="s">
        <v>43</v>
      </c>
      <c r="C77" s="566" t="s">
        <v>313</v>
      </c>
      <c r="D77" s="359"/>
      <c r="E77" s="359"/>
      <c r="F77" s="76">
        <f t="shared" si="2"/>
        <v>0</v>
      </c>
      <c r="G77" s="73"/>
      <c r="H77" s="573"/>
      <c r="I77" s="573"/>
    </row>
    <row r="78" spans="1:9" s="395" customFormat="1" ht="15.95" customHeight="1" x14ac:dyDescent="0.3">
      <c r="A78" s="9"/>
      <c r="B78" s="55" t="s">
        <v>45</v>
      </c>
      <c r="C78" s="566" t="s">
        <v>314</v>
      </c>
      <c r="D78" s="359"/>
      <c r="E78" s="359"/>
      <c r="F78" s="76">
        <f t="shared" si="2"/>
        <v>0</v>
      </c>
      <c r="G78" s="73"/>
      <c r="H78" s="573"/>
      <c r="I78" s="573"/>
    </row>
    <row r="79" spans="1:9" s="395" customFormat="1" ht="15.95" customHeight="1" x14ac:dyDescent="0.3">
      <c r="A79" s="9"/>
      <c r="B79" s="55" t="s">
        <v>53</v>
      </c>
      <c r="C79" s="566" t="s">
        <v>118</v>
      </c>
      <c r="D79" s="359"/>
      <c r="E79" s="359"/>
      <c r="F79" s="76">
        <f t="shared" si="2"/>
        <v>0</v>
      </c>
      <c r="G79" s="73"/>
      <c r="H79" s="573"/>
      <c r="I79" s="573"/>
    </row>
    <row r="80" spans="1:9" s="395" customFormat="1" ht="15.95" customHeight="1" x14ac:dyDescent="0.3">
      <c r="A80" s="36" t="s">
        <v>120</v>
      </c>
      <c r="B80" s="704" t="s">
        <v>315</v>
      </c>
      <c r="C80" s="704"/>
      <c r="D80" s="353">
        <f>+D75+D76</f>
        <v>0</v>
      </c>
      <c r="E80" s="353">
        <f>+E75+E76</f>
        <v>0</v>
      </c>
      <c r="F80" s="72">
        <f t="shared" si="2"/>
        <v>0</v>
      </c>
      <c r="G80" s="73"/>
      <c r="H80" s="573"/>
      <c r="I80" s="573"/>
    </row>
    <row r="81" spans="1:9" s="395" customFormat="1" ht="15.95" customHeight="1" x14ac:dyDescent="0.3">
      <c r="A81" s="36" t="s">
        <v>122</v>
      </c>
      <c r="B81" s="704" t="s">
        <v>123</v>
      </c>
      <c r="C81" s="704"/>
      <c r="D81" s="360">
        <f>+D29+D80</f>
        <v>54474</v>
      </c>
      <c r="E81" s="360">
        <f>+E29+E80</f>
        <v>54474</v>
      </c>
      <c r="F81" s="360">
        <f>+F29+F80</f>
        <v>0</v>
      </c>
      <c r="G81" s="360">
        <f>+G29+G80</f>
        <v>0</v>
      </c>
      <c r="H81" s="573"/>
      <c r="I81" s="573"/>
    </row>
    <row r="82" spans="1:9" s="395" customFormat="1" ht="15.95" customHeight="1" thickBot="1" x14ac:dyDescent="0.35">
      <c r="A82" s="361" t="s">
        <v>124</v>
      </c>
      <c r="B82" s="362" t="s">
        <v>125</v>
      </c>
      <c r="C82" s="362"/>
      <c r="D82" s="363">
        <f>+D60+D74</f>
        <v>54474</v>
      </c>
      <c r="E82" s="363">
        <f>+E60+E74</f>
        <v>54474</v>
      </c>
      <c r="F82" s="363">
        <f>+F60+F74</f>
        <v>0</v>
      </c>
      <c r="G82" s="363">
        <f>+G60+G74</f>
        <v>0</v>
      </c>
      <c r="H82" s="573"/>
      <c r="I82" s="573"/>
    </row>
    <row r="83" spans="1:9" ht="20.100000000000001" customHeight="1" x14ac:dyDescent="0.25">
      <c r="B83" s="85"/>
      <c r="C83" s="85"/>
      <c r="D83" s="86"/>
      <c r="E83" s="86"/>
      <c r="F83" s="86"/>
    </row>
    <row r="84" spans="1:9" ht="20.100000000000001" customHeight="1" x14ac:dyDescent="0.25">
      <c r="B84" s="85"/>
      <c r="C84" s="85"/>
      <c r="D84" s="87">
        <f>+D82-D81</f>
        <v>0</v>
      </c>
      <c r="E84" s="87">
        <f>+E82-E81</f>
        <v>0</v>
      </c>
      <c r="F84" s="87">
        <f>+F82-F81</f>
        <v>0</v>
      </c>
      <c r="G84" s="87">
        <f>+G82-G81</f>
        <v>0</v>
      </c>
      <c r="H84" s="574">
        <f>SUM(E84:G84)</f>
        <v>0</v>
      </c>
    </row>
    <row r="85" spans="1:9" ht="20.100000000000001" customHeight="1" x14ac:dyDescent="0.25">
      <c r="B85" s="85"/>
      <c r="C85" s="85"/>
      <c r="D85" s="86"/>
      <c r="E85" s="86"/>
      <c r="F85" s="86"/>
    </row>
    <row r="86" spans="1:9" ht="20.100000000000001" customHeight="1" x14ac:dyDescent="0.25">
      <c r="B86" s="85"/>
      <c r="C86" s="85"/>
      <c r="D86" s="86"/>
      <c r="E86" s="86"/>
      <c r="F86" s="86"/>
    </row>
    <row r="87" spans="1:9" ht="20.100000000000001" customHeight="1" x14ac:dyDescent="0.25">
      <c r="B87" s="85"/>
      <c r="C87" s="85"/>
      <c r="D87" s="86"/>
      <c r="E87" s="86"/>
      <c r="F87" s="86"/>
    </row>
    <row r="88" spans="1:9" ht="20.100000000000001" customHeight="1" x14ac:dyDescent="0.25">
      <c r="B88" s="85"/>
      <c r="C88" s="85"/>
      <c r="D88" s="86"/>
      <c r="E88" s="86"/>
      <c r="F88" s="86"/>
    </row>
    <row r="89" spans="1:9" ht="20.100000000000001" customHeight="1" x14ac:dyDescent="0.25">
      <c r="B89" s="85"/>
      <c r="C89" s="85"/>
      <c r="D89" s="86"/>
      <c r="E89" s="86"/>
      <c r="F89" s="86"/>
    </row>
    <row r="90" spans="1:9" ht="20.100000000000001" customHeight="1" x14ac:dyDescent="0.25">
      <c r="B90" s="85"/>
      <c r="C90" s="85"/>
      <c r="D90" s="86"/>
      <c r="E90" s="86"/>
      <c r="F90" s="86"/>
    </row>
    <row r="91" spans="1:9" ht="20.100000000000001" customHeight="1" x14ac:dyDescent="0.25">
      <c r="B91" s="85"/>
      <c r="C91" s="85"/>
      <c r="D91" s="86"/>
      <c r="E91" s="86"/>
      <c r="F91" s="86"/>
    </row>
    <row r="92" spans="1:9" ht="20.100000000000001" customHeight="1" x14ac:dyDescent="0.25">
      <c r="B92" s="85"/>
      <c r="C92" s="85"/>
      <c r="D92" s="86"/>
      <c r="E92" s="86"/>
      <c r="F92" s="86"/>
    </row>
    <row r="93" spans="1:9" ht="20.100000000000001" customHeight="1" x14ac:dyDescent="0.25">
      <c r="B93" s="85"/>
      <c r="C93" s="85"/>
      <c r="D93" s="86"/>
      <c r="E93" s="86"/>
      <c r="F93" s="86"/>
    </row>
    <row r="94" spans="1:9" ht="20.100000000000001" customHeight="1" x14ac:dyDescent="0.25">
      <c r="B94" s="85"/>
      <c r="C94" s="85"/>
      <c r="D94" s="86"/>
      <c r="E94" s="86"/>
      <c r="F94" s="86"/>
    </row>
    <row r="95" spans="1:9" ht="20.100000000000001" customHeight="1" x14ac:dyDescent="0.25">
      <c r="B95" s="85"/>
      <c r="C95" s="85"/>
      <c r="D95" s="86"/>
      <c r="E95" s="86"/>
      <c r="F95" s="86"/>
    </row>
    <row r="96" spans="1:9" ht="20.100000000000001" customHeight="1" x14ac:dyDescent="0.25">
      <c r="B96" s="85"/>
      <c r="C96" s="85"/>
      <c r="D96" s="86"/>
      <c r="E96" s="86"/>
      <c r="F96" s="86"/>
    </row>
    <row r="97" spans="2:6" ht="20.100000000000001" customHeight="1" x14ac:dyDescent="0.25">
      <c r="B97" s="85"/>
      <c r="C97" s="85"/>
      <c r="D97" s="86"/>
      <c r="E97" s="86"/>
      <c r="F97" s="86"/>
    </row>
    <row r="98" spans="2:6" ht="20.100000000000001" customHeight="1" x14ac:dyDescent="0.25">
      <c r="B98" s="85"/>
      <c r="C98" s="85"/>
      <c r="D98" s="86"/>
      <c r="E98" s="86"/>
      <c r="F98" s="86"/>
    </row>
    <row r="99" spans="2:6" ht="20.100000000000001" customHeight="1" x14ac:dyDescent="0.25">
      <c r="B99" s="85"/>
      <c r="C99" s="85"/>
      <c r="D99" s="86"/>
      <c r="E99" s="86"/>
      <c r="F99" s="86"/>
    </row>
    <row r="100" spans="2:6" ht="20.100000000000001" customHeight="1" x14ac:dyDescent="0.25">
      <c r="B100" s="85"/>
      <c r="C100" s="85"/>
      <c r="D100" s="86"/>
      <c r="E100" s="86"/>
      <c r="F100" s="86"/>
    </row>
    <row r="101" spans="2:6" ht="20.100000000000001" customHeight="1" x14ac:dyDescent="0.25">
      <c r="B101" s="85"/>
      <c r="C101" s="85"/>
      <c r="D101" s="86"/>
      <c r="E101" s="86"/>
      <c r="F101" s="86"/>
    </row>
    <row r="102" spans="2:6" ht="20.100000000000001" customHeight="1" x14ac:dyDescent="0.25">
      <c r="B102" s="85"/>
      <c r="C102" s="85"/>
      <c r="D102" s="86"/>
      <c r="E102" s="86"/>
      <c r="F102" s="86"/>
    </row>
    <row r="103" spans="2:6" ht="20.100000000000001" customHeight="1" x14ac:dyDescent="0.25">
      <c r="B103" s="85"/>
      <c r="C103" s="85"/>
      <c r="D103" s="86"/>
      <c r="E103" s="86"/>
      <c r="F103" s="86"/>
    </row>
    <row r="104" spans="2:6" ht="20.100000000000001" customHeight="1" x14ac:dyDescent="0.25">
      <c r="B104" s="85"/>
      <c r="C104" s="85"/>
      <c r="D104" s="86"/>
      <c r="E104" s="86"/>
      <c r="F104" s="86"/>
    </row>
    <row r="105" spans="2:6" ht="20.100000000000001" customHeight="1" x14ac:dyDescent="0.25"/>
  </sheetData>
  <mergeCells count="60">
    <mergeCell ref="H6:H7"/>
    <mergeCell ref="I6:I7"/>
    <mergeCell ref="B81:C81"/>
    <mergeCell ref="B61:C61"/>
    <mergeCell ref="B62:C62"/>
    <mergeCell ref="B63:C63"/>
    <mergeCell ref="B66:C66"/>
    <mergeCell ref="B67:C67"/>
    <mergeCell ref="B68:C68"/>
    <mergeCell ref="B73:C73"/>
    <mergeCell ref="B74:C74"/>
    <mergeCell ref="B75:C75"/>
    <mergeCell ref="B76:C76"/>
    <mergeCell ref="B80:C80"/>
    <mergeCell ref="B60:C60"/>
    <mergeCell ref="B32:C32"/>
    <mergeCell ref="B33:C33"/>
    <mergeCell ref="B37:C37"/>
    <mergeCell ref="B41:C41"/>
    <mergeCell ref="B46:C46"/>
    <mergeCell ref="B47:C47"/>
    <mergeCell ref="B50:C50"/>
    <mergeCell ref="B53:C53"/>
    <mergeCell ref="B57:C57"/>
    <mergeCell ref="B58:C58"/>
    <mergeCell ref="B59:C59"/>
    <mergeCell ref="B31:C31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8:C18"/>
    <mergeCell ref="G6:G7"/>
    <mergeCell ref="D8:F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1:F1"/>
    <mergeCell ref="A2:F2"/>
    <mergeCell ref="A3:G3"/>
    <mergeCell ref="A4:F4"/>
    <mergeCell ref="A5:F5"/>
    <mergeCell ref="A6:A8"/>
    <mergeCell ref="B6:C8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opLeftCell="A91" workbookViewId="0">
      <selection activeCell="H2" sqref="H2"/>
    </sheetView>
  </sheetViews>
  <sheetFormatPr defaultRowHeight="15" x14ac:dyDescent="0.25"/>
  <cols>
    <col min="5" max="5" width="18.28515625" customWidth="1"/>
    <col min="6" max="6" width="14.42578125" style="364" customWidth="1"/>
    <col min="7" max="7" width="12.28515625" style="364" customWidth="1"/>
    <col min="8" max="8" width="15.85546875" bestFit="1" customWidth="1"/>
    <col min="259" max="259" width="16.5703125" customWidth="1"/>
    <col min="260" max="260" width="14.42578125" customWidth="1"/>
    <col min="261" max="261" width="10.42578125" bestFit="1" customWidth="1"/>
    <col min="262" max="262" width="15.85546875" bestFit="1" customWidth="1"/>
    <col min="263" max="263" width="14" bestFit="1" customWidth="1"/>
    <col min="515" max="515" width="16.5703125" customWidth="1"/>
    <col min="516" max="516" width="14.42578125" customWidth="1"/>
    <col min="517" max="517" width="10.42578125" bestFit="1" customWidth="1"/>
    <col min="518" max="518" width="15.85546875" bestFit="1" customWidth="1"/>
    <col min="519" max="519" width="14" bestFit="1" customWidth="1"/>
    <col min="771" max="771" width="16.5703125" customWidth="1"/>
    <col min="772" max="772" width="14.42578125" customWidth="1"/>
    <col min="773" max="773" width="10.42578125" bestFit="1" customWidth="1"/>
    <col min="774" max="774" width="15.85546875" bestFit="1" customWidth="1"/>
    <col min="775" max="775" width="14" bestFit="1" customWidth="1"/>
    <col min="1027" max="1027" width="16.5703125" customWidth="1"/>
    <col min="1028" max="1028" width="14.42578125" customWidth="1"/>
    <col min="1029" max="1029" width="10.42578125" bestFit="1" customWidth="1"/>
    <col min="1030" max="1030" width="15.85546875" bestFit="1" customWidth="1"/>
    <col min="1031" max="1031" width="14" bestFit="1" customWidth="1"/>
    <col min="1283" max="1283" width="16.5703125" customWidth="1"/>
    <col min="1284" max="1284" width="14.42578125" customWidth="1"/>
    <col min="1285" max="1285" width="10.42578125" bestFit="1" customWidth="1"/>
    <col min="1286" max="1286" width="15.85546875" bestFit="1" customWidth="1"/>
    <col min="1287" max="1287" width="14" bestFit="1" customWidth="1"/>
    <col min="1539" max="1539" width="16.5703125" customWidth="1"/>
    <col min="1540" max="1540" width="14.42578125" customWidth="1"/>
    <col min="1541" max="1541" width="10.42578125" bestFit="1" customWidth="1"/>
    <col min="1542" max="1542" width="15.85546875" bestFit="1" customWidth="1"/>
    <col min="1543" max="1543" width="14" bestFit="1" customWidth="1"/>
    <col min="1795" max="1795" width="16.5703125" customWidth="1"/>
    <col min="1796" max="1796" width="14.42578125" customWidth="1"/>
    <col min="1797" max="1797" width="10.42578125" bestFit="1" customWidth="1"/>
    <col min="1798" max="1798" width="15.85546875" bestFit="1" customWidth="1"/>
    <col min="1799" max="1799" width="14" bestFit="1" customWidth="1"/>
    <col min="2051" max="2051" width="16.5703125" customWidth="1"/>
    <col min="2052" max="2052" width="14.42578125" customWidth="1"/>
    <col min="2053" max="2053" width="10.42578125" bestFit="1" customWidth="1"/>
    <col min="2054" max="2054" width="15.85546875" bestFit="1" customWidth="1"/>
    <col min="2055" max="2055" width="14" bestFit="1" customWidth="1"/>
    <col min="2307" max="2307" width="16.5703125" customWidth="1"/>
    <col min="2308" max="2308" width="14.42578125" customWidth="1"/>
    <col min="2309" max="2309" width="10.42578125" bestFit="1" customWidth="1"/>
    <col min="2310" max="2310" width="15.85546875" bestFit="1" customWidth="1"/>
    <col min="2311" max="2311" width="14" bestFit="1" customWidth="1"/>
    <col min="2563" max="2563" width="16.5703125" customWidth="1"/>
    <col min="2564" max="2564" width="14.42578125" customWidth="1"/>
    <col min="2565" max="2565" width="10.42578125" bestFit="1" customWidth="1"/>
    <col min="2566" max="2566" width="15.85546875" bestFit="1" customWidth="1"/>
    <col min="2567" max="2567" width="14" bestFit="1" customWidth="1"/>
    <col min="2819" max="2819" width="16.5703125" customWidth="1"/>
    <col min="2820" max="2820" width="14.42578125" customWidth="1"/>
    <col min="2821" max="2821" width="10.42578125" bestFit="1" customWidth="1"/>
    <col min="2822" max="2822" width="15.85546875" bestFit="1" customWidth="1"/>
    <col min="2823" max="2823" width="14" bestFit="1" customWidth="1"/>
    <col min="3075" max="3075" width="16.5703125" customWidth="1"/>
    <col min="3076" max="3076" width="14.42578125" customWidth="1"/>
    <col min="3077" max="3077" width="10.42578125" bestFit="1" customWidth="1"/>
    <col min="3078" max="3078" width="15.85546875" bestFit="1" customWidth="1"/>
    <col min="3079" max="3079" width="14" bestFit="1" customWidth="1"/>
    <col min="3331" max="3331" width="16.5703125" customWidth="1"/>
    <col min="3332" max="3332" width="14.42578125" customWidth="1"/>
    <col min="3333" max="3333" width="10.42578125" bestFit="1" customWidth="1"/>
    <col min="3334" max="3334" width="15.85546875" bestFit="1" customWidth="1"/>
    <col min="3335" max="3335" width="14" bestFit="1" customWidth="1"/>
    <col min="3587" max="3587" width="16.5703125" customWidth="1"/>
    <col min="3588" max="3588" width="14.42578125" customWidth="1"/>
    <col min="3589" max="3589" width="10.42578125" bestFit="1" customWidth="1"/>
    <col min="3590" max="3590" width="15.85546875" bestFit="1" customWidth="1"/>
    <col min="3591" max="3591" width="14" bestFit="1" customWidth="1"/>
    <col min="3843" max="3843" width="16.5703125" customWidth="1"/>
    <col min="3844" max="3844" width="14.42578125" customWidth="1"/>
    <col min="3845" max="3845" width="10.42578125" bestFit="1" customWidth="1"/>
    <col min="3846" max="3846" width="15.85546875" bestFit="1" customWidth="1"/>
    <col min="3847" max="3847" width="14" bestFit="1" customWidth="1"/>
    <col min="4099" max="4099" width="16.5703125" customWidth="1"/>
    <col min="4100" max="4100" width="14.42578125" customWidth="1"/>
    <col min="4101" max="4101" width="10.42578125" bestFit="1" customWidth="1"/>
    <col min="4102" max="4102" width="15.85546875" bestFit="1" customWidth="1"/>
    <col min="4103" max="4103" width="14" bestFit="1" customWidth="1"/>
    <col min="4355" max="4355" width="16.5703125" customWidth="1"/>
    <col min="4356" max="4356" width="14.42578125" customWidth="1"/>
    <col min="4357" max="4357" width="10.42578125" bestFit="1" customWidth="1"/>
    <col min="4358" max="4358" width="15.85546875" bestFit="1" customWidth="1"/>
    <col min="4359" max="4359" width="14" bestFit="1" customWidth="1"/>
    <col min="4611" max="4611" width="16.5703125" customWidth="1"/>
    <col min="4612" max="4612" width="14.42578125" customWidth="1"/>
    <col min="4613" max="4613" width="10.42578125" bestFit="1" customWidth="1"/>
    <col min="4614" max="4614" width="15.85546875" bestFit="1" customWidth="1"/>
    <col min="4615" max="4615" width="14" bestFit="1" customWidth="1"/>
    <col min="4867" max="4867" width="16.5703125" customWidth="1"/>
    <col min="4868" max="4868" width="14.42578125" customWidth="1"/>
    <col min="4869" max="4869" width="10.42578125" bestFit="1" customWidth="1"/>
    <col min="4870" max="4870" width="15.85546875" bestFit="1" customWidth="1"/>
    <col min="4871" max="4871" width="14" bestFit="1" customWidth="1"/>
    <col min="5123" max="5123" width="16.5703125" customWidth="1"/>
    <col min="5124" max="5124" width="14.42578125" customWidth="1"/>
    <col min="5125" max="5125" width="10.42578125" bestFit="1" customWidth="1"/>
    <col min="5126" max="5126" width="15.85546875" bestFit="1" customWidth="1"/>
    <col min="5127" max="5127" width="14" bestFit="1" customWidth="1"/>
    <col min="5379" max="5379" width="16.5703125" customWidth="1"/>
    <col min="5380" max="5380" width="14.42578125" customWidth="1"/>
    <col min="5381" max="5381" width="10.42578125" bestFit="1" customWidth="1"/>
    <col min="5382" max="5382" width="15.85546875" bestFit="1" customWidth="1"/>
    <col min="5383" max="5383" width="14" bestFit="1" customWidth="1"/>
    <col min="5635" max="5635" width="16.5703125" customWidth="1"/>
    <col min="5636" max="5636" width="14.42578125" customWidth="1"/>
    <col min="5637" max="5637" width="10.42578125" bestFit="1" customWidth="1"/>
    <col min="5638" max="5638" width="15.85546875" bestFit="1" customWidth="1"/>
    <col min="5639" max="5639" width="14" bestFit="1" customWidth="1"/>
    <col min="5891" max="5891" width="16.5703125" customWidth="1"/>
    <col min="5892" max="5892" width="14.42578125" customWidth="1"/>
    <col min="5893" max="5893" width="10.42578125" bestFit="1" customWidth="1"/>
    <col min="5894" max="5894" width="15.85546875" bestFit="1" customWidth="1"/>
    <col min="5895" max="5895" width="14" bestFit="1" customWidth="1"/>
    <col min="6147" max="6147" width="16.5703125" customWidth="1"/>
    <col min="6148" max="6148" width="14.42578125" customWidth="1"/>
    <col min="6149" max="6149" width="10.42578125" bestFit="1" customWidth="1"/>
    <col min="6150" max="6150" width="15.85546875" bestFit="1" customWidth="1"/>
    <col min="6151" max="6151" width="14" bestFit="1" customWidth="1"/>
    <col min="6403" max="6403" width="16.5703125" customWidth="1"/>
    <col min="6404" max="6404" width="14.42578125" customWidth="1"/>
    <col min="6405" max="6405" width="10.42578125" bestFit="1" customWidth="1"/>
    <col min="6406" max="6406" width="15.85546875" bestFit="1" customWidth="1"/>
    <col min="6407" max="6407" width="14" bestFit="1" customWidth="1"/>
    <col min="6659" max="6659" width="16.5703125" customWidth="1"/>
    <col min="6660" max="6660" width="14.42578125" customWidth="1"/>
    <col min="6661" max="6661" width="10.42578125" bestFit="1" customWidth="1"/>
    <col min="6662" max="6662" width="15.85546875" bestFit="1" customWidth="1"/>
    <col min="6663" max="6663" width="14" bestFit="1" customWidth="1"/>
    <col min="6915" max="6915" width="16.5703125" customWidth="1"/>
    <col min="6916" max="6916" width="14.42578125" customWidth="1"/>
    <col min="6917" max="6917" width="10.42578125" bestFit="1" customWidth="1"/>
    <col min="6918" max="6918" width="15.85546875" bestFit="1" customWidth="1"/>
    <col min="6919" max="6919" width="14" bestFit="1" customWidth="1"/>
    <col min="7171" max="7171" width="16.5703125" customWidth="1"/>
    <col min="7172" max="7172" width="14.42578125" customWidth="1"/>
    <col min="7173" max="7173" width="10.42578125" bestFit="1" customWidth="1"/>
    <col min="7174" max="7174" width="15.85546875" bestFit="1" customWidth="1"/>
    <col min="7175" max="7175" width="14" bestFit="1" customWidth="1"/>
    <col min="7427" max="7427" width="16.5703125" customWidth="1"/>
    <col min="7428" max="7428" width="14.42578125" customWidth="1"/>
    <col min="7429" max="7429" width="10.42578125" bestFit="1" customWidth="1"/>
    <col min="7430" max="7430" width="15.85546875" bestFit="1" customWidth="1"/>
    <col min="7431" max="7431" width="14" bestFit="1" customWidth="1"/>
    <col min="7683" max="7683" width="16.5703125" customWidth="1"/>
    <col min="7684" max="7684" width="14.42578125" customWidth="1"/>
    <col min="7685" max="7685" width="10.42578125" bestFit="1" customWidth="1"/>
    <col min="7686" max="7686" width="15.85546875" bestFit="1" customWidth="1"/>
    <col min="7687" max="7687" width="14" bestFit="1" customWidth="1"/>
    <col min="7939" max="7939" width="16.5703125" customWidth="1"/>
    <col min="7940" max="7940" width="14.42578125" customWidth="1"/>
    <col min="7941" max="7941" width="10.42578125" bestFit="1" customWidth="1"/>
    <col min="7942" max="7942" width="15.85546875" bestFit="1" customWidth="1"/>
    <col min="7943" max="7943" width="14" bestFit="1" customWidth="1"/>
    <col min="8195" max="8195" width="16.5703125" customWidth="1"/>
    <col min="8196" max="8196" width="14.42578125" customWidth="1"/>
    <col min="8197" max="8197" width="10.42578125" bestFit="1" customWidth="1"/>
    <col min="8198" max="8198" width="15.85546875" bestFit="1" customWidth="1"/>
    <col min="8199" max="8199" width="14" bestFit="1" customWidth="1"/>
    <col min="8451" max="8451" width="16.5703125" customWidth="1"/>
    <col min="8452" max="8452" width="14.42578125" customWidth="1"/>
    <col min="8453" max="8453" width="10.42578125" bestFit="1" customWidth="1"/>
    <col min="8454" max="8454" width="15.85546875" bestFit="1" customWidth="1"/>
    <col min="8455" max="8455" width="14" bestFit="1" customWidth="1"/>
    <col min="8707" max="8707" width="16.5703125" customWidth="1"/>
    <col min="8708" max="8708" width="14.42578125" customWidth="1"/>
    <col min="8709" max="8709" width="10.42578125" bestFit="1" customWidth="1"/>
    <col min="8710" max="8710" width="15.85546875" bestFit="1" customWidth="1"/>
    <col min="8711" max="8711" width="14" bestFit="1" customWidth="1"/>
    <col min="8963" max="8963" width="16.5703125" customWidth="1"/>
    <col min="8964" max="8964" width="14.42578125" customWidth="1"/>
    <col min="8965" max="8965" width="10.42578125" bestFit="1" customWidth="1"/>
    <col min="8966" max="8966" width="15.85546875" bestFit="1" customWidth="1"/>
    <col min="8967" max="8967" width="14" bestFit="1" customWidth="1"/>
    <col min="9219" max="9219" width="16.5703125" customWidth="1"/>
    <col min="9220" max="9220" width="14.42578125" customWidth="1"/>
    <col min="9221" max="9221" width="10.42578125" bestFit="1" customWidth="1"/>
    <col min="9222" max="9222" width="15.85546875" bestFit="1" customWidth="1"/>
    <col min="9223" max="9223" width="14" bestFit="1" customWidth="1"/>
    <col min="9475" max="9475" width="16.5703125" customWidth="1"/>
    <col min="9476" max="9476" width="14.42578125" customWidth="1"/>
    <col min="9477" max="9477" width="10.42578125" bestFit="1" customWidth="1"/>
    <col min="9478" max="9478" width="15.85546875" bestFit="1" customWidth="1"/>
    <col min="9479" max="9479" width="14" bestFit="1" customWidth="1"/>
    <col min="9731" max="9731" width="16.5703125" customWidth="1"/>
    <col min="9732" max="9732" width="14.42578125" customWidth="1"/>
    <col min="9733" max="9733" width="10.42578125" bestFit="1" customWidth="1"/>
    <col min="9734" max="9734" width="15.85546875" bestFit="1" customWidth="1"/>
    <col min="9735" max="9735" width="14" bestFit="1" customWidth="1"/>
    <col min="9987" max="9987" width="16.5703125" customWidth="1"/>
    <col min="9988" max="9988" width="14.42578125" customWidth="1"/>
    <col min="9989" max="9989" width="10.42578125" bestFit="1" customWidth="1"/>
    <col min="9990" max="9990" width="15.85546875" bestFit="1" customWidth="1"/>
    <col min="9991" max="9991" width="14" bestFit="1" customWidth="1"/>
    <col min="10243" max="10243" width="16.5703125" customWidth="1"/>
    <col min="10244" max="10244" width="14.42578125" customWidth="1"/>
    <col min="10245" max="10245" width="10.42578125" bestFit="1" customWidth="1"/>
    <col min="10246" max="10246" width="15.85546875" bestFit="1" customWidth="1"/>
    <col min="10247" max="10247" width="14" bestFit="1" customWidth="1"/>
    <col min="10499" max="10499" width="16.5703125" customWidth="1"/>
    <col min="10500" max="10500" width="14.42578125" customWidth="1"/>
    <col min="10501" max="10501" width="10.42578125" bestFit="1" customWidth="1"/>
    <col min="10502" max="10502" width="15.85546875" bestFit="1" customWidth="1"/>
    <col min="10503" max="10503" width="14" bestFit="1" customWidth="1"/>
    <col min="10755" max="10755" width="16.5703125" customWidth="1"/>
    <col min="10756" max="10756" width="14.42578125" customWidth="1"/>
    <col min="10757" max="10757" width="10.42578125" bestFit="1" customWidth="1"/>
    <col min="10758" max="10758" width="15.85546875" bestFit="1" customWidth="1"/>
    <col min="10759" max="10759" width="14" bestFit="1" customWidth="1"/>
    <col min="11011" max="11011" width="16.5703125" customWidth="1"/>
    <col min="11012" max="11012" width="14.42578125" customWidth="1"/>
    <col min="11013" max="11013" width="10.42578125" bestFit="1" customWidth="1"/>
    <col min="11014" max="11014" width="15.85546875" bestFit="1" customWidth="1"/>
    <col min="11015" max="11015" width="14" bestFit="1" customWidth="1"/>
    <col min="11267" max="11267" width="16.5703125" customWidth="1"/>
    <col min="11268" max="11268" width="14.42578125" customWidth="1"/>
    <col min="11269" max="11269" width="10.42578125" bestFit="1" customWidth="1"/>
    <col min="11270" max="11270" width="15.85546875" bestFit="1" customWidth="1"/>
    <col min="11271" max="11271" width="14" bestFit="1" customWidth="1"/>
    <col min="11523" max="11523" width="16.5703125" customWidth="1"/>
    <col min="11524" max="11524" width="14.42578125" customWidth="1"/>
    <col min="11525" max="11525" width="10.42578125" bestFit="1" customWidth="1"/>
    <col min="11526" max="11526" width="15.85546875" bestFit="1" customWidth="1"/>
    <col min="11527" max="11527" width="14" bestFit="1" customWidth="1"/>
    <col min="11779" max="11779" width="16.5703125" customWidth="1"/>
    <col min="11780" max="11780" width="14.42578125" customWidth="1"/>
    <col min="11781" max="11781" width="10.42578125" bestFit="1" customWidth="1"/>
    <col min="11782" max="11782" width="15.85546875" bestFit="1" customWidth="1"/>
    <col min="11783" max="11783" width="14" bestFit="1" customWidth="1"/>
    <col min="12035" max="12035" width="16.5703125" customWidth="1"/>
    <col min="12036" max="12036" width="14.42578125" customWidth="1"/>
    <col min="12037" max="12037" width="10.42578125" bestFit="1" customWidth="1"/>
    <col min="12038" max="12038" width="15.85546875" bestFit="1" customWidth="1"/>
    <col min="12039" max="12039" width="14" bestFit="1" customWidth="1"/>
    <col min="12291" max="12291" width="16.5703125" customWidth="1"/>
    <col min="12292" max="12292" width="14.42578125" customWidth="1"/>
    <col min="12293" max="12293" width="10.42578125" bestFit="1" customWidth="1"/>
    <col min="12294" max="12294" width="15.85546875" bestFit="1" customWidth="1"/>
    <col min="12295" max="12295" width="14" bestFit="1" customWidth="1"/>
    <col min="12547" max="12547" width="16.5703125" customWidth="1"/>
    <col min="12548" max="12548" width="14.42578125" customWidth="1"/>
    <col min="12549" max="12549" width="10.42578125" bestFit="1" customWidth="1"/>
    <col min="12550" max="12550" width="15.85546875" bestFit="1" customWidth="1"/>
    <col min="12551" max="12551" width="14" bestFit="1" customWidth="1"/>
    <col min="12803" max="12803" width="16.5703125" customWidth="1"/>
    <col min="12804" max="12804" width="14.42578125" customWidth="1"/>
    <col min="12805" max="12805" width="10.42578125" bestFit="1" customWidth="1"/>
    <col min="12806" max="12806" width="15.85546875" bestFit="1" customWidth="1"/>
    <col min="12807" max="12807" width="14" bestFit="1" customWidth="1"/>
    <col min="13059" max="13059" width="16.5703125" customWidth="1"/>
    <col min="13060" max="13060" width="14.42578125" customWidth="1"/>
    <col min="13061" max="13061" width="10.42578125" bestFit="1" customWidth="1"/>
    <col min="13062" max="13062" width="15.85546875" bestFit="1" customWidth="1"/>
    <col min="13063" max="13063" width="14" bestFit="1" customWidth="1"/>
    <col min="13315" max="13315" width="16.5703125" customWidth="1"/>
    <col min="13316" max="13316" width="14.42578125" customWidth="1"/>
    <col min="13317" max="13317" width="10.42578125" bestFit="1" customWidth="1"/>
    <col min="13318" max="13318" width="15.85546875" bestFit="1" customWidth="1"/>
    <col min="13319" max="13319" width="14" bestFit="1" customWidth="1"/>
    <col min="13571" max="13571" width="16.5703125" customWidth="1"/>
    <col min="13572" max="13572" width="14.42578125" customWidth="1"/>
    <col min="13573" max="13573" width="10.42578125" bestFit="1" customWidth="1"/>
    <col min="13574" max="13574" width="15.85546875" bestFit="1" customWidth="1"/>
    <col min="13575" max="13575" width="14" bestFit="1" customWidth="1"/>
    <col min="13827" max="13827" width="16.5703125" customWidth="1"/>
    <col min="13828" max="13828" width="14.42578125" customWidth="1"/>
    <col min="13829" max="13829" width="10.42578125" bestFit="1" customWidth="1"/>
    <col min="13830" max="13830" width="15.85546875" bestFit="1" customWidth="1"/>
    <col min="13831" max="13831" width="14" bestFit="1" customWidth="1"/>
    <col min="14083" max="14083" width="16.5703125" customWidth="1"/>
    <col min="14084" max="14084" width="14.42578125" customWidth="1"/>
    <col min="14085" max="14085" width="10.42578125" bestFit="1" customWidth="1"/>
    <col min="14086" max="14086" width="15.85546875" bestFit="1" customWidth="1"/>
    <col min="14087" max="14087" width="14" bestFit="1" customWidth="1"/>
    <col min="14339" max="14339" width="16.5703125" customWidth="1"/>
    <col min="14340" max="14340" width="14.42578125" customWidth="1"/>
    <col min="14341" max="14341" width="10.42578125" bestFit="1" customWidth="1"/>
    <col min="14342" max="14342" width="15.85546875" bestFit="1" customWidth="1"/>
    <col min="14343" max="14343" width="14" bestFit="1" customWidth="1"/>
    <col min="14595" max="14595" width="16.5703125" customWidth="1"/>
    <col min="14596" max="14596" width="14.42578125" customWidth="1"/>
    <col min="14597" max="14597" width="10.42578125" bestFit="1" customWidth="1"/>
    <col min="14598" max="14598" width="15.85546875" bestFit="1" customWidth="1"/>
    <col min="14599" max="14599" width="14" bestFit="1" customWidth="1"/>
    <col min="14851" max="14851" width="16.5703125" customWidth="1"/>
    <col min="14852" max="14852" width="14.42578125" customWidth="1"/>
    <col min="14853" max="14853" width="10.42578125" bestFit="1" customWidth="1"/>
    <col min="14854" max="14854" width="15.85546875" bestFit="1" customWidth="1"/>
    <col min="14855" max="14855" width="14" bestFit="1" customWidth="1"/>
    <col min="15107" max="15107" width="16.5703125" customWidth="1"/>
    <col min="15108" max="15108" width="14.42578125" customWidth="1"/>
    <col min="15109" max="15109" width="10.42578125" bestFit="1" customWidth="1"/>
    <col min="15110" max="15110" width="15.85546875" bestFit="1" customWidth="1"/>
    <col min="15111" max="15111" width="14" bestFit="1" customWidth="1"/>
    <col min="15363" max="15363" width="16.5703125" customWidth="1"/>
    <col min="15364" max="15364" width="14.42578125" customWidth="1"/>
    <col min="15365" max="15365" width="10.42578125" bestFit="1" customWidth="1"/>
    <col min="15366" max="15366" width="15.85546875" bestFit="1" customWidth="1"/>
    <col min="15367" max="15367" width="14" bestFit="1" customWidth="1"/>
    <col min="15619" max="15619" width="16.5703125" customWidth="1"/>
    <col min="15620" max="15620" width="14.42578125" customWidth="1"/>
    <col min="15621" max="15621" width="10.42578125" bestFit="1" customWidth="1"/>
    <col min="15622" max="15622" width="15.85546875" bestFit="1" customWidth="1"/>
    <col min="15623" max="15623" width="14" bestFit="1" customWidth="1"/>
    <col min="15875" max="15875" width="16.5703125" customWidth="1"/>
    <col min="15876" max="15876" width="14.42578125" customWidth="1"/>
    <col min="15877" max="15877" width="10.42578125" bestFit="1" customWidth="1"/>
    <col min="15878" max="15878" width="15.85546875" bestFit="1" customWidth="1"/>
    <col min="15879" max="15879" width="14" bestFit="1" customWidth="1"/>
    <col min="16131" max="16131" width="16.5703125" customWidth="1"/>
    <col min="16132" max="16132" width="14.42578125" customWidth="1"/>
    <col min="16133" max="16133" width="10.42578125" bestFit="1" customWidth="1"/>
    <col min="16134" max="16134" width="15.85546875" bestFit="1" customWidth="1"/>
    <col min="16135" max="16135" width="14" bestFit="1" customWidth="1"/>
  </cols>
  <sheetData>
    <row r="1" spans="1:8" ht="18.75" x14ac:dyDescent="0.3">
      <c r="D1" s="898" t="s">
        <v>677</v>
      </c>
      <c r="E1" s="898"/>
      <c r="F1" s="898"/>
      <c r="G1" s="898"/>
      <c r="H1" s="898"/>
    </row>
    <row r="2" spans="1:8" ht="15.75" thickBot="1" x14ac:dyDescent="0.3">
      <c r="H2" t="s">
        <v>827</v>
      </c>
    </row>
    <row r="3" spans="1:8" ht="15.75" thickBot="1" x14ac:dyDescent="0.3">
      <c r="A3" s="856" t="s">
        <v>7</v>
      </c>
      <c r="B3" s="857"/>
      <c r="C3" s="857"/>
      <c r="D3" s="857"/>
      <c r="E3" s="858"/>
      <c r="F3" s="366" t="s">
        <v>316</v>
      </c>
      <c r="G3" s="366" t="s">
        <v>317</v>
      </c>
      <c r="H3" s="367" t="s">
        <v>189</v>
      </c>
    </row>
    <row r="4" spans="1:8" ht="15.75" thickBot="1" x14ac:dyDescent="0.3">
      <c r="A4" s="859" t="s">
        <v>318</v>
      </c>
      <c r="B4" s="860"/>
      <c r="C4" s="860"/>
      <c r="D4" s="860"/>
      <c r="E4" s="861"/>
      <c r="F4" s="167">
        <f>2145000+136400+[2]bölcsőde_és_óvoda!F5</f>
        <v>27045207</v>
      </c>
      <c r="G4" s="167">
        <v>0</v>
      </c>
      <c r="H4" s="167">
        <f>G4+F4</f>
        <v>27045207</v>
      </c>
    </row>
    <row r="5" spans="1:8" ht="15.75" thickBot="1" x14ac:dyDescent="0.3">
      <c r="A5" s="859" t="s">
        <v>319</v>
      </c>
      <c r="B5" s="860"/>
      <c r="C5" s="860"/>
      <c r="D5" s="860"/>
      <c r="E5" s="861"/>
      <c r="F5" s="167">
        <f>[2]közművelődés!F6+[2]bölcsőde_és_óvoda!F6</f>
        <v>1000000</v>
      </c>
      <c r="G5" s="167">
        <v>0</v>
      </c>
      <c r="H5" s="167">
        <f>G5+F5</f>
        <v>1000000</v>
      </c>
    </row>
    <row r="6" spans="1:8" ht="15.75" thickBot="1" x14ac:dyDescent="0.3">
      <c r="A6" s="859" t="s">
        <v>320</v>
      </c>
      <c r="B6" s="860"/>
      <c r="C6" s="860"/>
      <c r="D6" s="860"/>
      <c r="E6" s="861"/>
      <c r="F6" s="167">
        <f>96000+[2]bölcsőde_és_óvoda!F7</f>
        <v>960000</v>
      </c>
      <c r="G6" s="167">
        <v>0</v>
      </c>
      <c r="H6" s="167">
        <f>G6+F6</f>
        <v>960000</v>
      </c>
    </row>
    <row r="7" spans="1:8" ht="15.75" thickBot="1" x14ac:dyDescent="0.3">
      <c r="A7" s="859" t="s">
        <v>321</v>
      </c>
      <c r="B7" s="860"/>
      <c r="C7" s="860"/>
      <c r="D7" s="860"/>
      <c r="E7" s="861"/>
      <c r="F7" s="167">
        <f>[2]bölcsőde!F8+[2]óvoda!F8</f>
        <v>279180</v>
      </c>
      <c r="G7" s="167">
        <v>0</v>
      </c>
      <c r="H7" s="167">
        <f>G7+F7</f>
        <v>279180</v>
      </c>
    </row>
    <row r="8" spans="1:8" s="577" customFormat="1" ht="15.75" thickBot="1" x14ac:dyDescent="0.3">
      <c r="A8" s="862" t="s">
        <v>678</v>
      </c>
      <c r="B8" s="863"/>
      <c r="C8" s="863"/>
      <c r="D8" s="863"/>
      <c r="E8" s="864"/>
      <c r="F8" s="576">
        <f>50000+[2]bölcsőde_és_óvoda!F9</f>
        <v>230000</v>
      </c>
      <c r="G8" s="576">
        <v>0</v>
      </c>
      <c r="H8" s="576">
        <f t="shared" ref="H8:H13" si="0">F8+G8</f>
        <v>230000</v>
      </c>
    </row>
    <row r="9" spans="1:8" s="577" customFormat="1" ht="15.75" thickBot="1" x14ac:dyDescent="0.3">
      <c r="A9" s="865" t="s">
        <v>679</v>
      </c>
      <c r="B9" s="866"/>
      <c r="C9" s="866"/>
      <c r="D9" s="866"/>
      <c r="E9" s="867"/>
      <c r="F9" s="576">
        <v>180500</v>
      </c>
      <c r="G9" s="576"/>
      <c r="H9" s="576">
        <f t="shared" si="0"/>
        <v>180500</v>
      </c>
    </row>
    <row r="10" spans="1:8" s="369" customFormat="1" ht="15.75" thickBot="1" x14ac:dyDescent="0.3">
      <c r="A10" s="865" t="s">
        <v>323</v>
      </c>
      <c r="B10" s="866"/>
      <c r="C10" s="866"/>
      <c r="D10" s="866"/>
      <c r="E10" s="867"/>
      <c r="F10" s="167">
        <v>80000</v>
      </c>
      <c r="G10" s="167">
        <v>0</v>
      </c>
      <c r="H10" s="167">
        <f t="shared" si="0"/>
        <v>80000</v>
      </c>
    </row>
    <row r="11" spans="1:8" ht="15.75" thickBot="1" x14ac:dyDescent="0.3">
      <c r="A11" s="865" t="s">
        <v>324</v>
      </c>
      <c r="B11" s="866"/>
      <c r="C11" s="866"/>
      <c r="D11" s="866"/>
      <c r="E11" s="867"/>
      <c r="F11" s="370">
        <v>60000</v>
      </c>
      <c r="G11" s="370">
        <v>0</v>
      </c>
      <c r="H11" s="167">
        <f t="shared" si="0"/>
        <v>60000</v>
      </c>
    </row>
    <row r="12" spans="1:8" s="369" customFormat="1" ht="15.75" thickBot="1" x14ac:dyDescent="0.3">
      <c r="A12" s="865" t="s">
        <v>325</v>
      </c>
      <c r="B12" s="866"/>
      <c r="C12" s="866"/>
      <c r="D12" s="866"/>
      <c r="E12" s="867"/>
      <c r="F12" s="167">
        <v>60000</v>
      </c>
      <c r="G12" s="167">
        <v>0</v>
      </c>
      <c r="H12" s="167">
        <f t="shared" si="0"/>
        <v>60000</v>
      </c>
    </row>
    <row r="13" spans="1:8" s="369" customFormat="1" ht="15.75" thickBot="1" x14ac:dyDescent="0.3">
      <c r="A13" s="865" t="s">
        <v>508</v>
      </c>
      <c r="B13" s="866"/>
      <c r="C13" s="866"/>
      <c r="D13" s="866"/>
      <c r="E13" s="867"/>
      <c r="F13" s="167">
        <v>1255000</v>
      </c>
      <c r="G13" s="167">
        <v>0</v>
      </c>
      <c r="H13" s="167">
        <f t="shared" si="0"/>
        <v>1255000</v>
      </c>
    </row>
    <row r="14" spans="1:8" s="365" customFormat="1" ht="15.75" thickBot="1" x14ac:dyDescent="0.3">
      <c r="A14" s="856" t="s">
        <v>326</v>
      </c>
      <c r="B14" s="857"/>
      <c r="C14" s="857"/>
      <c r="D14" s="857"/>
      <c r="E14" s="858"/>
      <c r="F14" s="368">
        <f>F9+F10+F11+F12+F13</f>
        <v>1635500</v>
      </c>
      <c r="G14" s="368">
        <f t="shared" ref="G14:H14" si="1">G9+G10+G11+G12+G13</f>
        <v>0</v>
      </c>
      <c r="H14" s="368">
        <f t="shared" si="1"/>
        <v>1635500</v>
      </c>
    </row>
    <row r="15" spans="1:8" s="372" customFormat="1" ht="16.5" thickBot="1" x14ac:dyDescent="0.3">
      <c r="A15" s="871" t="s">
        <v>327</v>
      </c>
      <c r="B15" s="872"/>
      <c r="C15" s="872"/>
      <c r="D15" s="872"/>
      <c r="E15" s="873"/>
      <c r="F15" s="371">
        <f>F4+F5+F6+F7+F8+F14</f>
        <v>31149887</v>
      </c>
      <c r="G15" s="371">
        <f t="shared" ref="G15:H15" si="2">G4+G5+G6+G7+G8+G14</f>
        <v>0</v>
      </c>
      <c r="H15" s="371">
        <f t="shared" si="2"/>
        <v>31149887</v>
      </c>
    </row>
    <row r="16" spans="1:8" s="372" customFormat="1" ht="30" customHeight="1" thickBot="1" x14ac:dyDescent="0.3">
      <c r="A16" s="874" t="s">
        <v>328</v>
      </c>
      <c r="B16" s="875"/>
      <c r="C16" s="875"/>
      <c r="D16" s="875"/>
      <c r="E16" s="876"/>
      <c r="F16" s="371">
        <f>811766+202650+[2]bölcsőde_és_óvoda!F11</f>
        <v>6406478</v>
      </c>
      <c r="G16" s="371"/>
      <c r="H16" s="371">
        <f>811766+202650+[2]bölcsőde_és_óvoda!H11</f>
        <v>6406478</v>
      </c>
    </row>
    <row r="17" spans="1:8" s="372" customFormat="1" ht="35.25" customHeight="1" thickBot="1" x14ac:dyDescent="0.3">
      <c r="A17" s="874" t="s">
        <v>680</v>
      </c>
      <c r="B17" s="875"/>
      <c r="C17" s="875"/>
      <c r="D17" s="875"/>
      <c r="E17" s="876"/>
      <c r="F17" s="371">
        <f>F15+F16</f>
        <v>37556365</v>
      </c>
      <c r="G17" s="371">
        <f t="shared" ref="G17:H17" si="3">G15+G16</f>
        <v>0</v>
      </c>
      <c r="H17" s="371">
        <f t="shared" si="3"/>
        <v>37556365</v>
      </c>
    </row>
    <row r="18" spans="1:8" ht="37.5" customHeight="1" thickBot="1" x14ac:dyDescent="0.3">
      <c r="A18" s="877" t="s">
        <v>681</v>
      </c>
      <c r="B18" s="878"/>
      <c r="C18" s="878"/>
      <c r="D18" s="878"/>
      <c r="E18" s="879"/>
      <c r="F18" s="167">
        <f>170000+[2]bölcsőde_és_óvoda!F13</f>
        <v>309000</v>
      </c>
      <c r="G18" s="167">
        <f>[2]közművelődés!G18+[2]bölcsőde_és_óvoda!G13</f>
        <v>15450</v>
      </c>
      <c r="H18" s="167">
        <f>F18+G18</f>
        <v>324450</v>
      </c>
    </row>
    <row r="19" spans="1:8" ht="15.75" thickBot="1" x14ac:dyDescent="0.3">
      <c r="A19" s="859" t="s">
        <v>682</v>
      </c>
      <c r="B19" s="860"/>
      <c r="C19" s="860"/>
      <c r="D19" s="860"/>
      <c r="E19" s="861"/>
      <c r="F19" s="167">
        <f>190000+[2]bölcsőde_és_óvoda!F14</f>
        <v>1101700</v>
      </c>
      <c r="G19" s="167">
        <f>[2]közművelődés!G19+[2]bölcsőde_és_óvoda!G14</f>
        <v>297459</v>
      </c>
      <c r="H19" s="167">
        <f>F19+G19</f>
        <v>1399159</v>
      </c>
    </row>
    <row r="20" spans="1:8" ht="15.75" thickBot="1" x14ac:dyDescent="0.3">
      <c r="A20" s="880" t="s">
        <v>331</v>
      </c>
      <c r="B20" s="881"/>
      <c r="C20" s="881"/>
      <c r="D20" s="881"/>
      <c r="E20" s="882"/>
      <c r="F20" s="368">
        <f>F18+F19</f>
        <v>1410700</v>
      </c>
      <c r="G20" s="368">
        <f t="shared" ref="G20:H20" si="4">G18+G19</f>
        <v>312909</v>
      </c>
      <c r="H20" s="368">
        <f t="shared" si="4"/>
        <v>1723609</v>
      </c>
    </row>
    <row r="21" spans="1:8" ht="15.75" thickBot="1" x14ac:dyDescent="0.3">
      <c r="A21" s="883" t="s">
        <v>683</v>
      </c>
      <c r="B21" s="884"/>
      <c r="C21" s="884"/>
      <c r="D21" s="884"/>
      <c r="E21" s="885"/>
      <c r="F21" s="370">
        <f>150000+[2]bölcsőde_és_óvoda!F16</f>
        <v>250000</v>
      </c>
      <c r="G21" s="370">
        <f>[2]közművelődés!G21+[2]bölcsőde_és_óvoda!G16</f>
        <v>67500</v>
      </c>
      <c r="H21" s="370">
        <f t="shared" ref="H21:H29" si="5">F21+G21</f>
        <v>317500</v>
      </c>
    </row>
    <row r="22" spans="1:8" ht="15.75" thickBot="1" x14ac:dyDescent="0.3">
      <c r="A22" s="886" t="s">
        <v>684</v>
      </c>
      <c r="B22" s="887"/>
      <c r="C22" s="887"/>
      <c r="D22" s="887"/>
      <c r="E22" s="888"/>
      <c r="F22" s="370">
        <f>80000+[2]bölcsőde_és_óvoda!F17</f>
        <v>160000</v>
      </c>
      <c r="G22" s="370">
        <f>[2]közművelődés!G22+[2]bölcsőde_és_óvoda!G17</f>
        <v>43200</v>
      </c>
      <c r="H22" s="370">
        <f t="shared" si="5"/>
        <v>203200</v>
      </c>
    </row>
    <row r="23" spans="1:8" ht="15.75" thickBot="1" x14ac:dyDescent="0.3">
      <c r="A23" s="868" t="s">
        <v>685</v>
      </c>
      <c r="B23" s="869"/>
      <c r="C23" s="869"/>
      <c r="D23" s="869"/>
      <c r="E23" s="870"/>
      <c r="F23" s="370">
        <f>300000+[2]bölcsőde_és_óvoda!F18</f>
        <v>560000</v>
      </c>
      <c r="G23" s="370">
        <f>F23*27%</f>
        <v>151200</v>
      </c>
      <c r="H23" s="370">
        <f t="shared" si="5"/>
        <v>711200</v>
      </c>
    </row>
    <row r="24" spans="1:8" ht="15.75" thickBot="1" x14ac:dyDescent="0.3">
      <c r="A24" s="868" t="s">
        <v>686</v>
      </c>
      <c r="B24" s="869"/>
      <c r="C24" s="869"/>
      <c r="D24" s="869"/>
      <c r="E24" s="870"/>
      <c r="F24" s="370">
        <v>200000</v>
      </c>
      <c r="G24" s="370">
        <v>0</v>
      </c>
      <c r="H24" s="370">
        <f t="shared" si="5"/>
        <v>200000</v>
      </c>
    </row>
    <row r="25" spans="1:8" ht="15.75" thickBot="1" x14ac:dyDescent="0.3">
      <c r="A25" s="868" t="s">
        <v>336</v>
      </c>
      <c r="B25" s="869"/>
      <c r="C25" s="869"/>
      <c r="D25" s="869"/>
      <c r="E25" s="870"/>
      <c r="F25" s="370">
        <v>70000</v>
      </c>
      <c r="G25" s="370">
        <f>F25*27%</f>
        <v>18900</v>
      </c>
      <c r="H25" s="370">
        <f t="shared" si="5"/>
        <v>88900</v>
      </c>
    </row>
    <row r="26" spans="1:8" ht="15.75" thickBot="1" x14ac:dyDescent="0.3">
      <c r="A26" s="868" t="s">
        <v>687</v>
      </c>
      <c r="B26" s="869"/>
      <c r="C26" s="869"/>
      <c r="D26" s="869"/>
      <c r="E26" s="870"/>
      <c r="F26" s="370">
        <f>40000+[2]bölcsőde_és_óvoda!F20</f>
        <v>180000</v>
      </c>
      <c r="G26" s="370">
        <f>[2]közművelődés!G25+[2]bölcsőde_és_óvoda!G20</f>
        <v>48600</v>
      </c>
      <c r="H26" s="370">
        <f t="shared" si="5"/>
        <v>228600</v>
      </c>
    </row>
    <row r="27" spans="1:8" ht="15.75" thickBot="1" x14ac:dyDescent="0.3">
      <c r="A27" s="868" t="s">
        <v>688</v>
      </c>
      <c r="B27" s="869"/>
      <c r="C27" s="869"/>
      <c r="D27" s="869"/>
      <c r="E27" s="870"/>
      <c r="F27" s="370">
        <v>25000</v>
      </c>
      <c r="G27" s="370">
        <f>F27*27%</f>
        <v>6750</v>
      </c>
      <c r="H27" s="370">
        <f t="shared" si="5"/>
        <v>31750</v>
      </c>
    </row>
    <row r="28" spans="1:8" ht="15.75" thickBot="1" x14ac:dyDescent="0.3">
      <c r="A28" s="865" t="s">
        <v>689</v>
      </c>
      <c r="B28" s="866"/>
      <c r="C28" s="866"/>
      <c r="D28" s="866"/>
      <c r="E28" s="867"/>
      <c r="F28" s="167">
        <v>20000</v>
      </c>
      <c r="G28" s="167">
        <f>F28*27%</f>
        <v>5400</v>
      </c>
      <c r="H28" s="167">
        <f t="shared" si="5"/>
        <v>25400</v>
      </c>
    </row>
    <row r="29" spans="1:8" ht="15.75" thickBot="1" x14ac:dyDescent="0.3">
      <c r="A29" s="865" t="s">
        <v>690</v>
      </c>
      <c r="B29" s="866"/>
      <c r="C29" s="866"/>
      <c r="D29" s="866"/>
      <c r="E29" s="867"/>
      <c r="F29" s="167">
        <v>30000</v>
      </c>
      <c r="G29" s="167">
        <f>F29*27%</f>
        <v>8100.0000000000009</v>
      </c>
      <c r="H29" s="167">
        <f t="shared" si="5"/>
        <v>38100</v>
      </c>
    </row>
    <row r="30" spans="1:8" ht="72" customHeight="1" thickBot="1" x14ac:dyDescent="0.3">
      <c r="A30" s="889" t="s">
        <v>691</v>
      </c>
      <c r="B30" s="890"/>
      <c r="C30" s="890"/>
      <c r="D30" s="890"/>
      <c r="E30" s="891"/>
      <c r="F30" s="370">
        <f>15000+10000+20000+40000+50000+15000+15000+15000+10000+15000+20000+20000+15000+30000</f>
        <v>290000</v>
      </c>
      <c r="G30" s="370">
        <f>F30*27%</f>
        <v>78300</v>
      </c>
      <c r="H30" s="370">
        <f>F30+G30</f>
        <v>368300</v>
      </c>
    </row>
    <row r="31" spans="1:8" ht="15.75" thickBot="1" x14ac:dyDescent="0.3">
      <c r="A31" s="868" t="s">
        <v>366</v>
      </c>
      <c r="B31" s="869"/>
      <c r="C31" s="869"/>
      <c r="D31" s="869"/>
      <c r="E31" s="870"/>
      <c r="F31" s="370">
        <v>30000</v>
      </c>
      <c r="G31" s="370">
        <f t="shared" ref="G31:G33" si="6">F31*27%</f>
        <v>8100.0000000000009</v>
      </c>
      <c r="H31" s="370">
        <f t="shared" ref="H31:H33" si="7">F31+G31</f>
        <v>38100</v>
      </c>
    </row>
    <row r="32" spans="1:8" ht="15.75" thickBot="1" x14ac:dyDescent="0.3">
      <c r="A32" s="889" t="s">
        <v>692</v>
      </c>
      <c r="B32" s="890"/>
      <c r="C32" s="890"/>
      <c r="D32" s="890"/>
      <c r="E32" s="891"/>
      <c r="F32" s="370">
        <v>400000</v>
      </c>
      <c r="G32" s="370">
        <f t="shared" si="6"/>
        <v>108000</v>
      </c>
      <c r="H32" s="370">
        <f t="shared" si="7"/>
        <v>508000</v>
      </c>
    </row>
    <row r="33" spans="1:8" ht="21" customHeight="1" thickBot="1" x14ac:dyDescent="0.3">
      <c r="A33" s="868" t="s">
        <v>335</v>
      </c>
      <c r="B33" s="869"/>
      <c r="C33" s="869"/>
      <c r="D33" s="869"/>
      <c r="E33" s="870"/>
      <c r="F33" s="370">
        <v>100000</v>
      </c>
      <c r="G33" s="370">
        <f t="shared" si="6"/>
        <v>27000</v>
      </c>
      <c r="H33" s="370">
        <f t="shared" si="7"/>
        <v>127000</v>
      </c>
    </row>
    <row r="34" spans="1:8" ht="16.5" thickBot="1" x14ac:dyDescent="0.3">
      <c r="A34" s="871" t="s">
        <v>337</v>
      </c>
      <c r="B34" s="872"/>
      <c r="C34" s="872"/>
      <c r="D34" s="872"/>
      <c r="E34" s="873"/>
      <c r="F34" s="368">
        <f>F21+F22+F23+F24+F25+F27+F28+F29+F30+F31+F32+F33+F26</f>
        <v>2315000</v>
      </c>
      <c r="G34" s="368">
        <f t="shared" ref="G34:H34" si="8">G21+G22+G23+G24+G25+G27+G28+G29+G30+G31+G32+G33+G26</f>
        <v>571050</v>
      </c>
      <c r="H34" s="368">
        <f t="shared" si="8"/>
        <v>2886050</v>
      </c>
    </row>
    <row r="35" spans="1:8" ht="15.75" thickBot="1" x14ac:dyDescent="0.3">
      <c r="A35" s="880" t="s">
        <v>338</v>
      </c>
      <c r="B35" s="881"/>
      <c r="C35" s="881"/>
      <c r="D35" s="881"/>
      <c r="E35" s="882"/>
      <c r="F35" s="368">
        <f>F20+F34</f>
        <v>3725700</v>
      </c>
      <c r="G35" s="368">
        <f t="shared" ref="G35:H35" si="9">G20+G34</f>
        <v>883959</v>
      </c>
      <c r="H35" s="368">
        <f t="shared" si="9"/>
        <v>4609659</v>
      </c>
    </row>
    <row r="36" spans="1:8" ht="15.75" thickBot="1" x14ac:dyDescent="0.3">
      <c r="A36" s="886" t="s">
        <v>339</v>
      </c>
      <c r="B36" s="887"/>
      <c r="C36" s="887"/>
      <c r="D36" s="887"/>
      <c r="E36" s="888"/>
      <c r="F36" s="370">
        <f>70000+[2]bölcsőde_és_óvoda!F26</f>
        <v>145000</v>
      </c>
      <c r="G36" s="370">
        <f>[2]közművelődés!G32+[2]bölcsőde_és_óvoda!G26</f>
        <v>7250</v>
      </c>
      <c r="H36" s="370">
        <f>F36+G36</f>
        <v>152250</v>
      </c>
    </row>
    <row r="37" spans="1:8" s="365" customFormat="1" ht="15.75" thickBot="1" x14ac:dyDescent="0.3">
      <c r="A37" s="880" t="s">
        <v>340</v>
      </c>
      <c r="B37" s="881"/>
      <c r="C37" s="881"/>
      <c r="D37" s="881"/>
      <c r="E37" s="882"/>
      <c r="F37" s="368">
        <f>F36</f>
        <v>145000</v>
      </c>
      <c r="G37" s="368">
        <f>G36</f>
        <v>7250</v>
      </c>
      <c r="H37" s="368">
        <f>H36</f>
        <v>152250</v>
      </c>
    </row>
    <row r="38" spans="1:8" ht="15.75" thickBot="1" x14ac:dyDescent="0.3">
      <c r="A38" s="886" t="s">
        <v>341</v>
      </c>
      <c r="B38" s="887"/>
      <c r="C38" s="887"/>
      <c r="D38" s="887"/>
      <c r="E38" s="888"/>
      <c r="F38" s="370">
        <f>280000+[2]bölcsőde_és_óvoda!F28</f>
        <v>496000</v>
      </c>
      <c r="G38" s="370">
        <f>[2]közművelődés!G34+[2]bölcsőde_és_óvoda!G28</f>
        <v>133920</v>
      </c>
      <c r="H38" s="370">
        <f>F38+G38</f>
        <v>629920</v>
      </c>
    </row>
    <row r="39" spans="1:8" s="365" customFormat="1" ht="15.75" thickBot="1" x14ac:dyDescent="0.3">
      <c r="A39" s="880" t="s">
        <v>342</v>
      </c>
      <c r="B39" s="881"/>
      <c r="C39" s="881"/>
      <c r="D39" s="881"/>
      <c r="E39" s="882"/>
      <c r="F39" s="368">
        <f>F38</f>
        <v>496000</v>
      </c>
      <c r="G39" s="368">
        <f>G38</f>
        <v>133920</v>
      </c>
      <c r="H39" s="368">
        <f>H38</f>
        <v>629920</v>
      </c>
    </row>
    <row r="40" spans="1:8" s="365" customFormat="1" ht="15.75" thickBot="1" x14ac:dyDescent="0.3">
      <c r="A40" s="880" t="s">
        <v>343</v>
      </c>
      <c r="B40" s="881"/>
      <c r="C40" s="881"/>
      <c r="D40" s="881"/>
      <c r="E40" s="882"/>
      <c r="F40" s="368">
        <f>F37+F39</f>
        <v>641000</v>
      </c>
      <c r="G40" s="368">
        <f>G37+G38</f>
        <v>141170</v>
      </c>
      <c r="H40" s="368">
        <f>H37+H38</f>
        <v>782170</v>
      </c>
    </row>
    <row r="41" spans="1:8" s="369" customFormat="1" ht="15.75" thickBot="1" x14ac:dyDescent="0.3">
      <c r="A41" s="865" t="s">
        <v>693</v>
      </c>
      <c r="B41" s="866"/>
      <c r="C41" s="866"/>
      <c r="D41" s="866"/>
      <c r="E41" s="867"/>
      <c r="F41" s="167">
        <f>580000+[2]bölcsőde_és_óvoda!F31</f>
        <v>2590000</v>
      </c>
      <c r="G41" s="167">
        <f>[2]közművelődés!G37+[2]bölcsőde_és_óvoda!G31</f>
        <v>699299</v>
      </c>
      <c r="H41" s="167">
        <f>F41+G41</f>
        <v>3289299</v>
      </c>
    </row>
    <row r="42" spans="1:8" s="365" customFormat="1" ht="15.75" thickBot="1" x14ac:dyDescent="0.3">
      <c r="A42" s="856" t="s">
        <v>344</v>
      </c>
      <c r="B42" s="857"/>
      <c r="C42" s="857"/>
      <c r="D42" s="857"/>
      <c r="E42" s="858"/>
      <c r="F42" s="368">
        <f>F41</f>
        <v>2590000</v>
      </c>
      <c r="G42" s="368">
        <f t="shared" ref="G42:H42" si="10">G41</f>
        <v>699299</v>
      </c>
      <c r="H42" s="368">
        <f t="shared" si="10"/>
        <v>3289299</v>
      </c>
    </row>
    <row r="43" spans="1:8" s="365" customFormat="1" ht="15.75" thickBot="1" x14ac:dyDescent="0.3">
      <c r="A43" s="868" t="s">
        <v>694</v>
      </c>
      <c r="B43" s="869"/>
      <c r="C43" s="869"/>
      <c r="D43" s="869"/>
      <c r="E43" s="870"/>
      <c r="F43" s="368">
        <v>200000</v>
      </c>
      <c r="G43" s="368">
        <f>F43*27%</f>
        <v>54000</v>
      </c>
      <c r="H43" s="368">
        <f>F43+G43</f>
        <v>254000</v>
      </c>
    </row>
    <row r="44" spans="1:8" ht="15.75" thickBot="1" x14ac:dyDescent="0.3">
      <c r="A44" s="868" t="s">
        <v>345</v>
      </c>
      <c r="B44" s="869"/>
      <c r="C44" s="869"/>
      <c r="D44" s="869"/>
      <c r="E44" s="870"/>
      <c r="F44" s="370">
        <f>[2]közművelődés!F40+[2]bölcsőde_és_óvoda!F32</f>
        <v>210000</v>
      </c>
      <c r="G44" s="370">
        <f>[2]közművelődés!G40+[2]bölcsőde_és_óvoda!G32</f>
        <v>56700</v>
      </c>
      <c r="H44" s="370">
        <f>F44+G44</f>
        <v>266700</v>
      </c>
    </row>
    <row r="45" spans="1:8" ht="15.75" thickBot="1" x14ac:dyDescent="0.3">
      <c r="A45" s="868" t="s">
        <v>695</v>
      </c>
      <c r="B45" s="869"/>
      <c r="C45" s="869"/>
      <c r="D45" s="869"/>
      <c r="E45" s="870"/>
      <c r="F45" s="370">
        <f>[2]közművelődés!F42+[2]bölcsőde_és_óvoda!F35</f>
        <v>319500</v>
      </c>
      <c r="G45" s="370">
        <v>0</v>
      </c>
      <c r="H45" s="370">
        <f>F45+G45</f>
        <v>319500</v>
      </c>
    </row>
    <row r="46" spans="1:8" s="365" customFormat="1" ht="15.75" thickBot="1" x14ac:dyDescent="0.3">
      <c r="A46" s="856" t="s">
        <v>347</v>
      </c>
      <c r="B46" s="857"/>
      <c r="C46" s="857"/>
      <c r="D46" s="857"/>
      <c r="E46" s="858"/>
      <c r="F46" s="368">
        <f>F45</f>
        <v>319500</v>
      </c>
      <c r="G46" s="368">
        <f t="shared" ref="G46:H46" si="11">G45</f>
        <v>0</v>
      </c>
      <c r="H46" s="368">
        <f t="shared" si="11"/>
        <v>319500</v>
      </c>
    </row>
    <row r="47" spans="1:8" ht="15.75" thickBot="1" x14ac:dyDescent="0.3">
      <c r="A47" s="868" t="s">
        <v>349</v>
      </c>
      <c r="B47" s="869"/>
      <c r="C47" s="869"/>
      <c r="D47" s="869"/>
      <c r="E47" s="870"/>
      <c r="F47" s="370">
        <v>100000</v>
      </c>
      <c r="G47" s="370">
        <f>F47*27%</f>
        <v>27000</v>
      </c>
      <c r="H47" s="370">
        <f t="shared" ref="H47:H53" si="12">F47+G47</f>
        <v>127000</v>
      </c>
    </row>
    <row r="48" spans="1:8" ht="15.75" thickBot="1" x14ac:dyDescent="0.3">
      <c r="A48" s="868" t="s">
        <v>350</v>
      </c>
      <c r="B48" s="869"/>
      <c r="C48" s="869"/>
      <c r="D48" s="869"/>
      <c r="E48" s="870"/>
      <c r="F48" s="370">
        <v>100000</v>
      </c>
      <c r="G48" s="370">
        <f>F48*27%</f>
        <v>27000</v>
      </c>
      <c r="H48" s="370">
        <f t="shared" si="12"/>
        <v>127000</v>
      </c>
    </row>
    <row r="49" spans="1:8" ht="15.75" thickBot="1" x14ac:dyDescent="0.3">
      <c r="A49" s="868" t="s">
        <v>351</v>
      </c>
      <c r="B49" s="869"/>
      <c r="C49" s="869"/>
      <c r="D49" s="869"/>
      <c r="E49" s="870"/>
      <c r="F49" s="370">
        <v>100000</v>
      </c>
      <c r="G49" s="370">
        <f>F49*27%</f>
        <v>27000</v>
      </c>
      <c r="H49" s="370">
        <f t="shared" si="12"/>
        <v>127000</v>
      </c>
    </row>
    <row r="50" spans="1:8" ht="15.75" thickBot="1" x14ac:dyDescent="0.3">
      <c r="A50" s="868" t="s">
        <v>352</v>
      </c>
      <c r="B50" s="869"/>
      <c r="C50" s="869"/>
      <c r="D50" s="869"/>
      <c r="E50" s="870"/>
      <c r="F50" s="370">
        <f>37*1500</f>
        <v>55500</v>
      </c>
      <c r="G50" s="370">
        <v>0</v>
      </c>
      <c r="H50" s="370">
        <f t="shared" si="12"/>
        <v>55500</v>
      </c>
    </row>
    <row r="51" spans="1:8" ht="15.75" thickBot="1" x14ac:dyDescent="0.3">
      <c r="A51" s="868" t="s">
        <v>696</v>
      </c>
      <c r="B51" s="869"/>
      <c r="C51" s="869"/>
      <c r="D51" s="869"/>
      <c r="E51" s="870"/>
      <c r="F51" s="370">
        <f>4500*37*6</f>
        <v>999000</v>
      </c>
      <c r="G51" s="370">
        <v>0</v>
      </c>
      <c r="H51" s="370">
        <f t="shared" si="12"/>
        <v>999000</v>
      </c>
    </row>
    <row r="52" spans="1:8" ht="15.75" thickBot="1" x14ac:dyDescent="0.3">
      <c r="A52" s="868" t="s">
        <v>697</v>
      </c>
      <c r="B52" s="869"/>
      <c r="C52" s="869"/>
      <c r="D52" s="869"/>
      <c r="E52" s="870"/>
      <c r="F52" s="370">
        <v>300000</v>
      </c>
      <c r="G52" s="370">
        <v>0</v>
      </c>
      <c r="H52" s="370">
        <f t="shared" si="12"/>
        <v>300000</v>
      </c>
    </row>
    <row r="53" spans="1:8" ht="15.75" thickBot="1" x14ac:dyDescent="0.3">
      <c r="A53" s="868" t="s">
        <v>698</v>
      </c>
      <c r="B53" s="869"/>
      <c r="C53" s="869"/>
      <c r="D53" s="869"/>
      <c r="E53" s="870"/>
      <c r="F53" s="370">
        <v>50000</v>
      </c>
      <c r="G53" s="370">
        <v>0</v>
      </c>
      <c r="H53" s="370">
        <f t="shared" si="12"/>
        <v>50000</v>
      </c>
    </row>
    <row r="54" spans="1:8" ht="15.75" thickBot="1" x14ac:dyDescent="0.3">
      <c r="A54" s="865" t="s">
        <v>699</v>
      </c>
      <c r="B54" s="866"/>
      <c r="C54" s="866"/>
      <c r="D54" s="866"/>
      <c r="E54" s="867"/>
      <c r="F54" s="370">
        <f>60000*12</f>
        <v>720000</v>
      </c>
      <c r="G54" s="370">
        <v>0</v>
      </c>
      <c r="H54" s="370">
        <f t="shared" ref="H54" si="13">60000*12</f>
        <v>720000</v>
      </c>
    </row>
    <row r="55" spans="1:8" ht="45.75" customHeight="1" thickBot="1" x14ac:dyDescent="0.3">
      <c r="A55" s="889" t="s">
        <v>700</v>
      </c>
      <c r="B55" s="890"/>
      <c r="C55" s="890"/>
      <c r="D55" s="890"/>
      <c r="E55" s="891"/>
      <c r="F55" s="370">
        <f>92000+100000+130000+50000+700000+50000+50000+100000+100000+200000+200000+130000</f>
        <v>1902000</v>
      </c>
      <c r="G55" s="370">
        <v>270000</v>
      </c>
      <c r="H55" s="370">
        <f>F55+G55</f>
        <v>2172000</v>
      </c>
    </row>
    <row r="56" spans="1:8" ht="21.75" customHeight="1" thickBot="1" x14ac:dyDescent="0.3">
      <c r="A56" s="868" t="s">
        <v>701</v>
      </c>
      <c r="B56" s="869"/>
      <c r="C56" s="869"/>
      <c r="D56" s="869"/>
      <c r="E56" s="870"/>
      <c r="F56" s="576">
        <f>[2]bölcsőde_és_óvoda!F36</f>
        <v>66000</v>
      </c>
      <c r="G56" s="576">
        <f>[2]bölcsőde_és_óvoda!G36</f>
        <v>17820</v>
      </c>
      <c r="H56" s="576">
        <f>[2]bölcsőde_és_óvoda!H36</f>
        <v>83820</v>
      </c>
    </row>
    <row r="57" spans="1:8" ht="19.5" customHeight="1" thickBot="1" x14ac:dyDescent="0.3">
      <c r="A57" s="868" t="s">
        <v>702</v>
      </c>
      <c r="B57" s="869"/>
      <c r="C57" s="869"/>
      <c r="D57" s="869"/>
      <c r="E57" s="870"/>
      <c r="F57" s="370">
        <f>[2]bölcsőde_és_óvoda!F37</f>
        <v>30000</v>
      </c>
      <c r="G57" s="370">
        <f>F57*27%</f>
        <v>8100.0000000000009</v>
      </c>
      <c r="H57" s="370">
        <f>F57+G57</f>
        <v>38100</v>
      </c>
    </row>
    <row r="58" spans="1:8" ht="21" customHeight="1" thickBot="1" x14ac:dyDescent="0.3">
      <c r="A58" s="868" t="s">
        <v>703</v>
      </c>
      <c r="B58" s="869"/>
      <c r="C58" s="869"/>
      <c r="D58" s="869"/>
      <c r="E58" s="870"/>
      <c r="F58" s="370">
        <f>[2]bölcsőde_és_óvoda!F38</f>
        <v>25000</v>
      </c>
      <c r="G58" s="370">
        <f>[2]bölcsőde_és_óvoda!G38</f>
        <v>6750</v>
      </c>
      <c r="H58" s="370">
        <f>[2]bölcsőde_és_óvoda!H38</f>
        <v>31750</v>
      </c>
    </row>
    <row r="59" spans="1:8" ht="19.5" customHeight="1" thickBot="1" x14ac:dyDescent="0.3">
      <c r="A59" s="868" t="s">
        <v>704</v>
      </c>
      <c r="B59" s="869"/>
      <c r="C59" s="869"/>
      <c r="D59" s="869"/>
      <c r="E59" s="870"/>
      <c r="F59" s="370">
        <v>100000</v>
      </c>
      <c r="G59" s="370">
        <v>0</v>
      </c>
      <c r="H59" s="370">
        <v>100000</v>
      </c>
    </row>
    <row r="60" spans="1:8" s="365" customFormat="1" ht="15.75" thickBot="1" x14ac:dyDescent="0.3">
      <c r="A60" s="856" t="s">
        <v>353</v>
      </c>
      <c r="B60" s="857"/>
      <c r="C60" s="857"/>
      <c r="D60" s="857"/>
      <c r="E60" s="858"/>
      <c r="F60" s="368">
        <f>F47+F48+F49+F50+F51+F52+F53+F54+F55+F56+F57+F58+F59</f>
        <v>4547500</v>
      </c>
      <c r="G60" s="368">
        <f t="shared" ref="G60:H60" si="14">G47+G48+G49+G50+G51+G52+G53+G54+G55+G56+G57+G58+G59</f>
        <v>383670</v>
      </c>
      <c r="H60" s="368">
        <f t="shared" si="14"/>
        <v>4931170</v>
      </c>
    </row>
    <row r="61" spans="1:8" s="365" customFormat="1" ht="15.75" thickBot="1" x14ac:dyDescent="0.3">
      <c r="A61" s="856" t="s">
        <v>354</v>
      </c>
      <c r="B61" s="857"/>
      <c r="C61" s="857"/>
      <c r="D61" s="857"/>
      <c r="E61" s="858"/>
      <c r="F61" s="368">
        <f>F42+F43+F44+F46+F60</f>
        <v>7867000</v>
      </c>
      <c r="G61" s="368">
        <f t="shared" ref="G61:H61" si="15">G42+G43+G44+G46+G60</f>
        <v>1193669</v>
      </c>
      <c r="H61" s="368">
        <f t="shared" si="15"/>
        <v>9060669</v>
      </c>
    </row>
    <row r="62" spans="1:8" ht="15.75" thickBot="1" x14ac:dyDescent="0.3">
      <c r="A62" s="868" t="s">
        <v>355</v>
      </c>
      <c r="B62" s="869"/>
      <c r="C62" s="869"/>
      <c r="D62" s="869"/>
      <c r="E62" s="870"/>
      <c r="F62" s="370">
        <f>[2]közművelődés!F54+[2]bölcsőde_és_óvoda!F42</f>
        <v>190000</v>
      </c>
      <c r="G62" s="370">
        <v>0</v>
      </c>
      <c r="H62" s="167">
        <f>F62+G62</f>
        <v>190000</v>
      </c>
    </row>
    <row r="63" spans="1:8" ht="15.75" thickBot="1" x14ac:dyDescent="0.3">
      <c r="A63" s="868" t="s">
        <v>356</v>
      </c>
      <c r="B63" s="869"/>
      <c r="C63" s="869"/>
      <c r="D63" s="869"/>
      <c r="E63" s="870"/>
      <c r="F63" s="370">
        <v>250000</v>
      </c>
      <c r="G63" s="370">
        <v>0</v>
      </c>
      <c r="H63" s="167">
        <f>F63+G63</f>
        <v>250000</v>
      </c>
    </row>
    <row r="64" spans="1:8" s="365" customFormat="1" ht="15.75" thickBot="1" x14ac:dyDescent="0.3">
      <c r="A64" s="856" t="s">
        <v>357</v>
      </c>
      <c r="B64" s="857"/>
      <c r="C64" s="857"/>
      <c r="D64" s="857"/>
      <c r="E64" s="858"/>
      <c r="F64" s="368">
        <f>F62+F63</f>
        <v>440000</v>
      </c>
      <c r="G64" s="368">
        <f>G62+G63</f>
        <v>0</v>
      </c>
      <c r="H64" s="368">
        <f>H62+H63</f>
        <v>440000</v>
      </c>
    </row>
    <row r="65" spans="1:8" ht="15.75" thickBot="1" x14ac:dyDescent="0.3">
      <c r="A65" s="868" t="s">
        <v>358</v>
      </c>
      <c r="B65" s="869"/>
      <c r="C65" s="869"/>
      <c r="D65" s="869"/>
      <c r="E65" s="870"/>
      <c r="F65" s="370">
        <v>0</v>
      </c>
      <c r="G65" s="370">
        <f>[2]bölcsőde_és_óvoda!G44+[2]közművelődés!G57</f>
        <v>2248498</v>
      </c>
      <c r="H65" s="370">
        <f>G65</f>
        <v>2248498</v>
      </c>
    </row>
    <row r="66" spans="1:8" ht="15.75" thickBot="1" x14ac:dyDescent="0.3">
      <c r="A66" s="868" t="s">
        <v>361</v>
      </c>
      <c r="B66" s="869"/>
      <c r="C66" s="869"/>
      <c r="D66" s="869"/>
      <c r="E66" s="870"/>
      <c r="F66" s="370">
        <f>[2]közművelődés!F58+[2]bölcsőde_és_óvoda!F45</f>
        <v>55000</v>
      </c>
      <c r="G66" s="370">
        <v>0</v>
      </c>
      <c r="H66" s="370">
        <f>F66+G66</f>
        <v>55000</v>
      </c>
    </row>
    <row r="67" spans="1:8" s="365" customFormat="1" ht="15.75" thickBot="1" x14ac:dyDescent="0.3">
      <c r="A67" s="856" t="s">
        <v>359</v>
      </c>
      <c r="B67" s="857"/>
      <c r="C67" s="857"/>
      <c r="D67" s="857"/>
      <c r="E67" s="858"/>
      <c r="F67" s="368">
        <f>F65+F66</f>
        <v>55000</v>
      </c>
      <c r="G67" s="368">
        <f t="shared" ref="G67:H67" si="16">G65+G66</f>
        <v>2248498</v>
      </c>
      <c r="H67" s="368">
        <f t="shared" si="16"/>
        <v>2303498</v>
      </c>
    </row>
    <row r="68" spans="1:8" s="365" customFormat="1" ht="15.75" thickBot="1" x14ac:dyDescent="0.3">
      <c r="A68" s="856" t="s">
        <v>360</v>
      </c>
      <c r="B68" s="857"/>
      <c r="C68" s="857"/>
      <c r="D68" s="857"/>
      <c r="E68" s="858"/>
      <c r="F68" s="368">
        <f>F67+F64+F61+F40+F35</f>
        <v>12728700</v>
      </c>
      <c r="G68" s="368">
        <f>G67</f>
        <v>2248498</v>
      </c>
      <c r="H68" s="368">
        <f>F68+G68</f>
        <v>14977198</v>
      </c>
    </row>
    <row r="69" spans="1:8" s="365" customFormat="1" ht="15.75" thickBot="1" x14ac:dyDescent="0.3">
      <c r="A69" s="865" t="s">
        <v>171</v>
      </c>
      <c r="B69" s="866"/>
      <c r="C69" s="866"/>
      <c r="D69" s="866"/>
      <c r="E69" s="867"/>
      <c r="F69" s="167">
        <v>280000</v>
      </c>
      <c r="G69" s="167">
        <f t="shared" ref="G69:G76" si="17">F69*27%</f>
        <v>75600</v>
      </c>
      <c r="H69" s="167">
        <f>F69+G69</f>
        <v>355600</v>
      </c>
    </row>
    <row r="70" spans="1:8" s="365" customFormat="1" ht="15.75" thickBot="1" x14ac:dyDescent="0.3">
      <c r="A70" s="865" t="s">
        <v>705</v>
      </c>
      <c r="B70" s="866"/>
      <c r="C70" s="866"/>
      <c r="D70" s="866"/>
      <c r="E70" s="867"/>
      <c r="F70" s="576">
        <v>15000</v>
      </c>
      <c r="G70" s="576">
        <f t="shared" si="17"/>
        <v>4050.0000000000005</v>
      </c>
      <c r="H70" s="576">
        <f>F70+G70</f>
        <v>19050</v>
      </c>
    </row>
    <row r="71" spans="1:8" s="365" customFormat="1" ht="15.75" thickBot="1" x14ac:dyDescent="0.3">
      <c r="A71" s="865" t="s">
        <v>706</v>
      </c>
      <c r="B71" s="866"/>
      <c r="C71" s="866"/>
      <c r="D71" s="866"/>
      <c r="E71" s="867"/>
      <c r="F71" s="576">
        <v>30000</v>
      </c>
      <c r="G71" s="576">
        <f t="shared" si="17"/>
        <v>8100.0000000000009</v>
      </c>
      <c r="H71" s="576">
        <f>F71+G71</f>
        <v>38100</v>
      </c>
    </row>
    <row r="72" spans="1:8" s="369" customFormat="1" ht="15.75" thickBot="1" x14ac:dyDescent="0.3">
      <c r="A72" s="865" t="s">
        <v>707</v>
      </c>
      <c r="B72" s="866"/>
      <c r="C72" s="866"/>
      <c r="D72" s="866"/>
      <c r="E72" s="867"/>
      <c r="F72" s="167">
        <v>10000</v>
      </c>
      <c r="G72" s="167">
        <f t="shared" si="17"/>
        <v>2700</v>
      </c>
      <c r="H72" s="167">
        <f>F72+G72</f>
        <v>12700</v>
      </c>
    </row>
    <row r="73" spans="1:8" s="369" customFormat="1" ht="15.75" thickBot="1" x14ac:dyDescent="0.3">
      <c r="A73" s="865" t="s">
        <v>708</v>
      </c>
      <c r="B73" s="866"/>
      <c r="C73" s="866"/>
      <c r="D73" s="866"/>
      <c r="E73" s="867"/>
      <c r="F73" s="167">
        <v>30000</v>
      </c>
      <c r="G73" s="167">
        <f t="shared" si="17"/>
        <v>8100.0000000000009</v>
      </c>
      <c r="H73" s="167">
        <f t="shared" ref="H73:H99" si="18">F73+G73</f>
        <v>38100</v>
      </c>
    </row>
    <row r="74" spans="1:8" s="369" customFormat="1" ht="15.75" thickBot="1" x14ac:dyDescent="0.3">
      <c r="A74" s="865" t="s">
        <v>709</v>
      </c>
      <c r="B74" s="866"/>
      <c r="C74" s="866"/>
      <c r="D74" s="866"/>
      <c r="E74" s="867"/>
      <c r="F74" s="167">
        <v>200000</v>
      </c>
      <c r="G74" s="167">
        <f t="shared" si="17"/>
        <v>54000</v>
      </c>
      <c r="H74" s="167">
        <f t="shared" si="18"/>
        <v>254000</v>
      </c>
    </row>
    <row r="75" spans="1:8" s="369" customFormat="1" ht="15.75" thickBot="1" x14ac:dyDescent="0.3">
      <c r="A75" s="865" t="s">
        <v>710</v>
      </c>
      <c r="B75" s="866"/>
      <c r="C75" s="866"/>
      <c r="D75" s="866"/>
      <c r="E75" s="867"/>
      <c r="F75" s="167">
        <v>30000</v>
      </c>
      <c r="G75" s="167">
        <f t="shared" si="17"/>
        <v>8100.0000000000009</v>
      </c>
      <c r="H75" s="167">
        <f t="shared" si="18"/>
        <v>38100</v>
      </c>
    </row>
    <row r="76" spans="1:8" s="369" customFormat="1" ht="15.75" thickBot="1" x14ac:dyDescent="0.3">
      <c r="A76" s="865" t="s">
        <v>647</v>
      </c>
      <c r="B76" s="866"/>
      <c r="C76" s="866"/>
      <c r="D76" s="866"/>
      <c r="E76" s="867"/>
      <c r="F76" s="167">
        <v>100000</v>
      </c>
      <c r="G76" s="167">
        <f t="shared" si="17"/>
        <v>27000</v>
      </c>
      <c r="H76" s="167">
        <f t="shared" si="18"/>
        <v>127000</v>
      </c>
    </row>
    <row r="77" spans="1:8" s="365" customFormat="1" ht="15.75" thickBot="1" x14ac:dyDescent="0.3">
      <c r="A77" s="856" t="s">
        <v>711</v>
      </c>
      <c r="B77" s="857"/>
      <c r="C77" s="857"/>
      <c r="D77" s="857"/>
      <c r="E77" s="858"/>
      <c r="F77" s="368">
        <f>SUM(F69+F70+F71+F72+F73+F74+F75+F76)</f>
        <v>695000</v>
      </c>
      <c r="G77" s="368">
        <f t="shared" ref="G77:H77" si="19">SUM(G69+G70+G71+G72+G73+G74+G75+G76)</f>
        <v>187650</v>
      </c>
      <c r="H77" s="368">
        <f t="shared" si="19"/>
        <v>882650</v>
      </c>
    </row>
    <row r="78" spans="1:8" s="365" customFormat="1" ht="16.5" thickBot="1" x14ac:dyDescent="0.3">
      <c r="A78" s="892" t="s">
        <v>712</v>
      </c>
      <c r="B78" s="893"/>
      <c r="C78" s="893"/>
      <c r="D78" s="893"/>
      <c r="E78" s="894"/>
      <c r="F78" s="368"/>
      <c r="G78" s="368"/>
      <c r="H78" s="368"/>
    </row>
    <row r="79" spans="1:8" s="365" customFormat="1" ht="15.75" thickBot="1" x14ac:dyDescent="0.3">
      <c r="A79" s="865" t="s">
        <v>167</v>
      </c>
      <c r="B79" s="866"/>
      <c r="C79" s="866"/>
      <c r="D79" s="866"/>
      <c r="E79" s="867"/>
      <c r="F79" s="167">
        <v>50000</v>
      </c>
      <c r="G79" s="167">
        <f t="shared" ref="G79:G82" si="20">F79*27%</f>
        <v>13500</v>
      </c>
      <c r="H79" s="167">
        <f>F79+G79</f>
        <v>63500</v>
      </c>
    </row>
    <row r="80" spans="1:8" s="365" customFormat="1" ht="15.75" thickBot="1" x14ac:dyDescent="0.3">
      <c r="A80" s="865" t="s">
        <v>168</v>
      </c>
      <c r="B80" s="866"/>
      <c r="C80" s="866"/>
      <c r="D80" s="866"/>
      <c r="E80" s="867"/>
      <c r="F80" s="167">
        <v>20000</v>
      </c>
      <c r="G80" s="167">
        <f t="shared" si="20"/>
        <v>5400</v>
      </c>
      <c r="H80" s="167">
        <f t="shared" ref="H80:H82" si="21">F80+G80</f>
        <v>25400</v>
      </c>
    </row>
    <row r="81" spans="1:8" s="365" customFormat="1" ht="15.75" thickBot="1" x14ac:dyDescent="0.3">
      <c r="A81" s="865" t="s">
        <v>158</v>
      </c>
      <c r="B81" s="866"/>
      <c r="C81" s="866"/>
      <c r="D81" s="866"/>
      <c r="E81" s="867"/>
      <c r="F81" s="167">
        <v>12000</v>
      </c>
      <c r="G81" s="167">
        <f t="shared" si="20"/>
        <v>3240</v>
      </c>
      <c r="H81" s="167">
        <f t="shared" si="21"/>
        <v>15240</v>
      </c>
    </row>
    <row r="82" spans="1:8" s="365" customFormat="1" ht="15.75" thickBot="1" x14ac:dyDescent="0.3">
      <c r="A82" s="865" t="s">
        <v>169</v>
      </c>
      <c r="B82" s="866"/>
      <c r="C82" s="866"/>
      <c r="D82" s="866"/>
      <c r="E82" s="867"/>
      <c r="F82" s="167">
        <v>50000</v>
      </c>
      <c r="G82" s="167">
        <f t="shared" si="20"/>
        <v>13500</v>
      </c>
      <c r="H82" s="167">
        <f t="shared" si="21"/>
        <v>63500</v>
      </c>
    </row>
    <row r="83" spans="1:8" s="365" customFormat="1" ht="16.5" thickBot="1" x14ac:dyDescent="0.3">
      <c r="A83" s="892" t="s">
        <v>713</v>
      </c>
      <c r="B83" s="893"/>
      <c r="C83" s="893"/>
      <c r="D83" s="893"/>
      <c r="E83" s="894"/>
      <c r="F83" s="371">
        <f>F79+F80+F81+F82</f>
        <v>132000</v>
      </c>
      <c r="G83" s="371">
        <f t="shared" ref="G83:H83" si="22">G79+G80+G81+G82</f>
        <v>35640</v>
      </c>
      <c r="H83" s="371">
        <f t="shared" si="22"/>
        <v>167640</v>
      </c>
    </row>
    <row r="84" spans="1:8" s="365" customFormat="1" ht="16.5" thickBot="1" x14ac:dyDescent="0.3">
      <c r="A84" s="892" t="s">
        <v>714</v>
      </c>
      <c r="B84" s="893"/>
      <c r="C84" s="893"/>
      <c r="D84" s="893"/>
      <c r="E84" s="894"/>
      <c r="F84" s="371"/>
      <c r="G84" s="371"/>
      <c r="H84" s="371"/>
    </row>
    <row r="85" spans="1:8" s="365" customFormat="1" ht="15.75" thickBot="1" x14ac:dyDescent="0.3">
      <c r="A85" s="865" t="s">
        <v>157</v>
      </c>
      <c r="B85" s="866"/>
      <c r="C85" s="866"/>
      <c r="D85" s="866"/>
      <c r="E85" s="867"/>
      <c r="F85" s="167">
        <v>50000</v>
      </c>
      <c r="G85" s="167">
        <f>F85*5%</f>
        <v>2500</v>
      </c>
      <c r="H85" s="167">
        <f>F85+G85</f>
        <v>52500</v>
      </c>
    </row>
    <row r="86" spans="1:8" s="365" customFormat="1" ht="15.75" thickBot="1" x14ac:dyDescent="0.3">
      <c r="A86" s="865" t="s">
        <v>715</v>
      </c>
      <c r="B86" s="866"/>
      <c r="C86" s="866"/>
      <c r="D86" s="866"/>
      <c r="E86" s="867"/>
      <c r="F86" s="167">
        <v>80000</v>
      </c>
      <c r="G86" s="167">
        <f t="shared" ref="G86:G95" si="23">F86*27%</f>
        <v>21600</v>
      </c>
      <c r="H86" s="167">
        <f t="shared" ref="H86:H95" si="24">F86+G86</f>
        <v>101600</v>
      </c>
    </row>
    <row r="87" spans="1:8" s="365" customFormat="1" ht="15.75" thickBot="1" x14ac:dyDescent="0.3">
      <c r="A87" s="865" t="s">
        <v>158</v>
      </c>
      <c r="B87" s="866"/>
      <c r="C87" s="866"/>
      <c r="D87" s="866"/>
      <c r="E87" s="867"/>
      <c r="F87" s="167">
        <v>20000</v>
      </c>
      <c r="G87" s="167">
        <f t="shared" si="23"/>
        <v>5400</v>
      </c>
      <c r="H87" s="167">
        <f t="shared" si="24"/>
        <v>25400</v>
      </c>
    </row>
    <row r="88" spans="1:8" s="365" customFormat="1" ht="15.75" thickBot="1" x14ac:dyDescent="0.3">
      <c r="A88" s="865" t="s">
        <v>159</v>
      </c>
      <c r="B88" s="866"/>
      <c r="C88" s="866"/>
      <c r="D88" s="866"/>
      <c r="E88" s="867"/>
      <c r="F88" s="167">
        <v>15000</v>
      </c>
      <c r="G88" s="167">
        <f t="shared" si="23"/>
        <v>4050.0000000000005</v>
      </c>
      <c r="H88" s="167">
        <f t="shared" si="24"/>
        <v>19050</v>
      </c>
    </row>
    <row r="89" spans="1:8" s="365" customFormat="1" ht="15.75" thickBot="1" x14ac:dyDescent="0.3">
      <c r="A89" s="865" t="s">
        <v>160</v>
      </c>
      <c r="B89" s="866"/>
      <c r="C89" s="866"/>
      <c r="D89" s="866"/>
      <c r="E89" s="867"/>
      <c r="F89" s="167">
        <v>40000</v>
      </c>
      <c r="G89" s="167">
        <f t="shared" si="23"/>
        <v>10800</v>
      </c>
      <c r="H89" s="167">
        <f t="shared" si="24"/>
        <v>50800</v>
      </c>
    </row>
    <row r="90" spans="1:8" s="365" customFormat="1" ht="15.75" thickBot="1" x14ac:dyDescent="0.3">
      <c r="A90" s="865" t="s">
        <v>716</v>
      </c>
      <c r="B90" s="866"/>
      <c r="C90" s="866"/>
      <c r="D90" s="866"/>
      <c r="E90" s="867"/>
      <c r="F90" s="167">
        <v>100000</v>
      </c>
      <c r="G90" s="167">
        <f>F90*27%</f>
        <v>27000</v>
      </c>
      <c r="H90" s="167">
        <f t="shared" si="24"/>
        <v>127000</v>
      </c>
    </row>
    <row r="91" spans="1:8" s="365" customFormat="1" ht="15.75" thickBot="1" x14ac:dyDescent="0.3">
      <c r="A91" s="865" t="s">
        <v>161</v>
      </c>
      <c r="B91" s="866"/>
      <c r="C91" s="866"/>
      <c r="D91" s="866"/>
      <c r="E91" s="867"/>
      <c r="F91" s="167">
        <v>25000</v>
      </c>
      <c r="G91" s="167">
        <f t="shared" si="23"/>
        <v>6750</v>
      </c>
      <c r="H91" s="167">
        <f t="shared" si="24"/>
        <v>31750</v>
      </c>
    </row>
    <row r="92" spans="1:8" s="365" customFormat="1" ht="15.75" thickBot="1" x14ac:dyDescent="0.3">
      <c r="A92" s="865" t="s">
        <v>162</v>
      </c>
      <c r="B92" s="866"/>
      <c r="C92" s="866"/>
      <c r="D92" s="866"/>
      <c r="E92" s="867"/>
      <c r="F92" s="167">
        <v>30000</v>
      </c>
      <c r="G92" s="167">
        <f>F92*27%</f>
        <v>8100.0000000000009</v>
      </c>
      <c r="H92" s="167">
        <f t="shared" si="24"/>
        <v>38100</v>
      </c>
    </row>
    <row r="93" spans="1:8" s="365" customFormat="1" ht="15.75" thickBot="1" x14ac:dyDescent="0.3">
      <c r="A93" s="865" t="s">
        <v>163</v>
      </c>
      <c r="B93" s="866"/>
      <c r="C93" s="866"/>
      <c r="D93" s="866"/>
      <c r="E93" s="867"/>
      <c r="F93" s="167">
        <v>90000</v>
      </c>
      <c r="G93" s="167">
        <f t="shared" si="23"/>
        <v>24300</v>
      </c>
      <c r="H93" s="167">
        <f t="shared" si="24"/>
        <v>114300</v>
      </c>
    </row>
    <row r="94" spans="1:8" s="365" customFormat="1" ht="15.75" thickBot="1" x14ac:dyDescent="0.3">
      <c r="A94" s="865" t="s">
        <v>164</v>
      </c>
      <c r="B94" s="866"/>
      <c r="C94" s="866"/>
      <c r="D94" s="866"/>
      <c r="E94" s="867"/>
      <c r="F94" s="167">
        <v>140000</v>
      </c>
      <c r="G94" s="167">
        <f>F94*27%</f>
        <v>37800</v>
      </c>
      <c r="H94" s="167">
        <f t="shared" si="24"/>
        <v>177800</v>
      </c>
    </row>
    <row r="95" spans="1:8" s="365" customFormat="1" ht="15.75" thickBot="1" x14ac:dyDescent="0.3">
      <c r="A95" s="865" t="s">
        <v>717</v>
      </c>
      <c r="B95" s="866"/>
      <c r="C95" s="866"/>
      <c r="D95" s="866"/>
      <c r="E95" s="867"/>
      <c r="F95" s="167">
        <v>120000</v>
      </c>
      <c r="G95" s="167">
        <f t="shared" si="23"/>
        <v>32400.000000000004</v>
      </c>
      <c r="H95" s="167">
        <f t="shared" si="24"/>
        <v>152400</v>
      </c>
    </row>
    <row r="96" spans="1:8" s="365" customFormat="1" ht="16.5" thickBot="1" x14ac:dyDescent="0.3">
      <c r="A96" s="892" t="s">
        <v>718</v>
      </c>
      <c r="B96" s="893"/>
      <c r="C96" s="893"/>
      <c r="D96" s="893"/>
      <c r="E96" s="894"/>
      <c r="F96" s="371">
        <f>F85+F86+F87+F88+F89+F90+F91+F92+F93+F94+F95</f>
        <v>710000</v>
      </c>
      <c r="G96" s="371">
        <f t="shared" ref="G96:H96" si="25">G85+G86+G87+G88+G89+G90+G91+G92+G93+G94+G95</f>
        <v>180700</v>
      </c>
      <c r="H96" s="371">
        <f t="shared" si="25"/>
        <v>890700</v>
      </c>
    </row>
    <row r="97" spans="1:8" s="365" customFormat="1" ht="15.75" thickBot="1" x14ac:dyDescent="0.3">
      <c r="A97" s="856" t="s">
        <v>719</v>
      </c>
      <c r="B97" s="857"/>
      <c r="C97" s="857"/>
      <c r="D97" s="857"/>
      <c r="E97" s="858"/>
      <c r="F97" s="368">
        <f>F96+F83</f>
        <v>842000</v>
      </c>
      <c r="G97" s="368">
        <f t="shared" ref="G97:H97" si="26">G96+G83</f>
        <v>216340</v>
      </c>
      <c r="H97" s="368">
        <f t="shared" si="26"/>
        <v>1058340</v>
      </c>
    </row>
    <row r="98" spans="1:8" s="365" customFormat="1" ht="15.75" thickBot="1" x14ac:dyDescent="0.3">
      <c r="A98" s="856" t="s">
        <v>720</v>
      </c>
      <c r="B98" s="857"/>
      <c r="C98" s="857"/>
      <c r="D98" s="857"/>
      <c r="E98" s="858"/>
      <c r="F98" s="368">
        <f>F97+F77</f>
        <v>1537000</v>
      </c>
      <c r="G98" s="368">
        <f t="shared" ref="G98:H98" si="27">G97+G77</f>
        <v>403990</v>
      </c>
      <c r="H98" s="368">
        <f t="shared" si="27"/>
        <v>1940990</v>
      </c>
    </row>
    <row r="99" spans="1:8" s="365" customFormat="1" ht="15.75" thickBot="1" x14ac:dyDescent="0.3">
      <c r="A99" s="856" t="s">
        <v>363</v>
      </c>
      <c r="B99" s="857"/>
      <c r="C99" s="857"/>
      <c r="D99" s="857"/>
      <c r="E99" s="858"/>
      <c r="F99" s="368"/>
      <c r="G99" s="368">
        <f>[2]közművelődés!G70+[2]bölcsőde_és_óvoda!G68</f>
        <v>403990</v>
      </c>
      <c r="H99" s="368">
        <f t="shared" si="18"/>
        <v>403990</v>
      </c>
    </row>
    <row r="100" spans="1:8" s="374" customFormat="1" ht="19.5" thickBot="1" x14ac:dyDescent="0.35">
      <c r="A100" s="895" t="s">
        <v>364</v>
      </c>
      <c r="B100" s="896"/>
      <c r="C100" s="896"/>
      <c r="D100" s="896"/>
      <c r="E100" s="897"/>
      <c r="F100" s="373">
        <f>[2]közművelődés!F71+[2]bölcsőde_és_óvoda!F69</f>
        <v>51822065</v>
      </c>
      <c r="G100" s="373">
        <f>[2]közművelődés!G71+[2]bölcsőde_és_óvoda!G69</f>
        <v>2652488</v>
      </c>
      <c r="H100" s="373">
        <f>[2]közművelődés!H71+[2]bölcsőde_és_óvoda!H69</f>
        <v>54474553</v>
      </c>
    </row>
  </sheetData>
  <mergeCells count="99">
    <mergeCell ref="D1:H1"/>
    <mergeCell ref="A3:E3"/>
    <mergeCell ref="A97:E97"/>
    <mergeCell ref="A98:E98"/>
    <mergeCell ref="A99:E99"/>
    <mergeCell ref="A87:E87"/>
    <mergeCell ref="A88:E88"/>
    <mergeCell ref="A89:E89"/>
    <mergeCell ref="A90:E90"/>
    <mergeCell ref="A91:E91"/>
    <mergeCell ref="A86:E86"/>
    <mergeCell ref="A75:E75"/>
    <mergeCell ref="A76:E76"/>
    <mergeCell ref="A77:E77"/>
    <mergeCell ref="A78:E78"/>
    <mergeCell ref="A79:E79"/>
    <mergeCell ref="A83:E83"/>
    <mergeCell ref="A84:E84"/>
    <mergeCell ref="A100:E100"/>
    <mergeCell ref="A92:E92"/>
    <mergeCell ref="A93:E93"/>
    <mergeCell ref="A94:E94"/>
    <mergeCell ref="A95:E95"/>
    <mergeCell ref="A96:E96"/>
    <mergeCell ref="A85:E85"/>
    <mergeCell ref="A74:E74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80:E80"/>
    <mergeCell ref="A81:E81"/>
    <mergeCell ref="A82:E82"/>
    <mergeCell ref="A62:E62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50:E50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38:E38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26:E26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14:E14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40" workbookViewId="0">
      <selection activeCell="H4" sqref="H4"/>
    </sheetView>
  </sheetViews>
  <sheetFormatPr defaultRowHeight="15" x14ac:dyDescent="0.25"/>
  <cols>
    <col min="5" max="5" width="25.7109375" customWidth="1"/>
    <col min="6" max="6" width="18.28515625" style="364" bestFit="1" customWidth="1"/>
    <col min="7" max="7" width="10.42578125" style="364" bestFit="1" customWidth="1"/>
    <col min="8" max="8" width="18.28515625" bestFit="1" customWidth="1"/>
    <col min="260" max="260" width="13" customWidth="1"/>
    <col min="261" max="261" width="14.42578125" customWidth="1"/>
    <col min="262" max="262" width="10.42578125" bestFit="1" customWidth="1"/>
    <col min="263" max="263" width="15.85546875" bestFit="1" customWidth="1"/>
    <col min="264" max="264" width="13.7109375" bestFit="1" customWidth="1"/>
    <col min="516" max="516" width="13" customWidth="1"/>
    <col min="517" max="517" width="14.42578125" customWidth="1"/>
    <col min="518" max="518" width="10.42578125" bestFit="1" customWidth="1"/>
    <col min="519" max="519" width="15.85546875" bestFit="1" customWidth="1"/>
    <col min="520" max="520" width="13.7109375" bestFit="1" customWidth="1"/>
    <col min="772" max="772" width="13" customWidth="1"/>
    <col min="773" max="773" width="14.42578125" customWidth="1"/>
    <col min="774" max="774" width="10.42578125" bestFit="1" customWidth="1"/>
    <col min="775" max="775" width="15.85546875" bestFit="1" customWidth="1"/>
    <col min="776" max="776" width="13.7109375" bestFit="1" customWidth="1"/>
    <col min="1028" max="1028" width="13" customWidth="1"/>
    <col min="1029" max="1029" width="14.42578125" customWidth="1"/>
    <col min="1030" max="1030" width="10.42578125" bestFit="1" customWidth="1"/>
    <col min="1031" max="1031" width="15.85546875" bestFit="1" customWidth="1"/>
    <col min="1032" max="1032" width="13.7109375" bestFit="1" customWidth="1"/>
    <col min="1284" max="1284" width="13" customWidth="1"/>
    <col min="1285" max="1285" width="14.42578125" customWidth="1"/>
    <col min="1286" max="1286" width="10.42578125" bestFit="1" customWidth="1"/>
    <col min="1287" max="1287" width="15.85546875" bestFit="1" customWidth="1"/>
    <col min="1288" max="1288" width="13.7109375" bestFit="1" customWidth="1"/>
    <col min="1540" max="1540" width="13" customWidth="1"/>
    <col min="1541" max="1541" width="14.42578125" customWidth="1"/>
    <col min="1542" max="1542" width="10.42578125" bestFit="1" customWidth="1"/>
    <col min="1543" max="1543" width="15.85546875" bestFit="1" customWidth="1"/>
    <col min="1544" max="1544" width="13.7109375" bestFit="1" customWidth="1"/>
    <col min="1796" max="1796" width="13" customWidth="1"/>
    <col min="1797" max="1797" width="14.42578125" customWidth="1"/>
    <col min="1798" max="1798" width="10.42578125" bestFit="1" customWidth="1"/>
    <col min="1799" max="1799" width="15.85546875" bestFit="1" customWidth="1"/>
    <col min="1800" max="1800" width="13.7109375" bestFit="1" customWidth="1"/>
    <col min="2052" max="2052" width="13" customWidth="1"/>
    <col min="2053" max="2053" width="14.42578125" customWidth="1"/>
    <col min="2054" max="2054" width="10.42578125" bestFit="1" customWidth="1"/>
    <col min="2055" max="2055" width="15.85546875" bestFit="1" customWidth="1"/>
    <col min="2056" max="2056" width="13.7109375" bestFit="1" customWidth="1"/>
    <col min="2308" max="2308" width="13" customWidth="1"/>
    <col min="2309" max="2309" width="14.42578125" customWidth="1"/>
    <col min="2310" max="2310" width="10.42578125" bestFit="1" customWidth="1"/>
    <col min="2311" max="2311" width="15.85546875" bestFit="1" customWidth="1"/>
    <col min="2312" max="2312" width="13.7109375" bestFit="1" customWidth="1"/>
    <col min="2564" max="2564" width="13" customWidth="1"/>
    <col min="2565" max="2565" width="14.42578125" customWidth="1"/>
    <col min="2566" max="2566" width="10.42578125" bestFit="1" customWidth="1"/>
    <col min="2567" max="2567" width="15.85546875" bestFit="1" customWidth="1"/>
    <col min="2568" max="2568" width="13.7109375" bestFit="1" customWidth="1"/>
    <col min="2820" max="2820" width="13" customWidth="1"/>
    <col min="2821" max="2821" width="14.42578125" customWidth="1"/>
    <col min="2822" max="2822" width="10.42578125" bestFit="1" customWidth="1"/>
    <col min="2823" max="2823" width="15.85546875" bestFit="1" customWidth="1"/>
    <col min="2824" max="2824" width="13.7109375" bestFit="1" customWidth="1"/>
    <col min="3076" max="3076" width="13" customWidth="1"/>
    <col min="3077" max="3077" width="14.42578125" customWidth="1"/>
    <col min="3078" max="3078" width="10.42578125" bestFit="1" customWidth="1"/>
    <col min="3079" max="3079" width="15.85546875" bestFit="1" customWidth="1"/>
    <col min="3080" max="3080" width="13.7109375" bestFit="1" customWidth="1"/>
    <col min="3332" max="3332" width="13" customWidth="1"/>
    <col min="3333" max="3333" width="14.42578125" customWidth="1"/>
    <col min="3334" max="3334" width="10.42578125" bestFit="1" customWidth="1"/>
    <col min="3335" max="3335" width="15.85546875" bestFit="1" customWidth="1"/>
    <col min="3336" max="3336" width="13.7109375" bestFit="1" customWidth="1"/>
    <col min="3588" max="3588" width="13" customWidth="1"/>
    <col min="3589" max="3589" width="14.42578125" customWidth="1"/>
    <col min="3590" max="3590" width="10.42578125" bestFit="1" customWidth="1"/>
    <col min="3591" max="3591" width="15.85546875" bestFit="1" customWidth="1"/>
    <col min="3592" max="3592" width="13.7109375" bestFit="1" customWidth="1"/>
    <col min="3844" max="3844" width="13" customWidth="1"/>
    <col min="3845" max="3845" width="14.42578125" customWidth="1"/>
    <col min="3846" max="3846" width="10.42578125" bestFit="1" customWidth="1"/>
    <col min="3847" max="3847" width="15.85546875" bestFit="1" customWidth="1"/>
    <col min="3848" max="3848" width="13.7109375" bestFit="1" customWidth="1"/>
    <col min="4100" max="4100" width="13" customWidth="1"/>
    <col min="4101" max="4101" width="14.42578125" customWidth="1"/>
    <col min="4102" max="4102" width="10.42578125" bestFit="1" customWidth="1"/>
    <col min="4103" max="4103" width="15.85546875" bestFit="1" customWidth="1"/>
    <col min="4104" max="4104" width="13.7109375" bestFit="1" customWidth="1"/>
    <col min="4356" max="4356" width="13" customWidth="1"/>
    <col min="4357" max="4357" width="14.42578125" customWidth="1"/>
    <col min="4358" max="4358" width="10.42578125" bestFit="1" customWidth="1"/>
    <col min="4359" max="4359" width="15.85546875" bestFit="1" customWidth="1"/>
    <col min="4360" max="4360" width="13.7109375" bestFit="1" customWidth="1"/>
    <col min="4612" max="4612" width="13" customWidth="1"/>
    <col min="4613" max="4613" width="14.42578125" customWidth="1"/>
    <col min="4614" max="4614" width="10.42578125" bestFit="1" customWidth="1"/>
    <col min="4615" max="4615" width="15.85546875" bestFit="1" customWidth="1"/>
    <col min="4616" max="4616" width="13.7109375" bestFit="1" customWidth="1"/>
    <col min="4868" max="4868" width="13" customWidth="1"/>
    <col min="4869" max="4869" width="14.42578125" customWidth="1"/>
    <col min="4870" max="4870" width="10.42578125" bestFit="1" customWidth="1"/>
    <col min="4871" max="4871" width="15.85546875" bestFit="1" customWidth="1"/>
    <col min="4872" max="4872" width="13.7109375" bestFit="1" customWidth="1"/>
    <col min="5124" max="5124" width="13" customWidth="1"/>
    <col min="5125" max="5125" width="14.42578125" customWidth="1"/>
    <col min="5126" max="5126" width="10.42578125" bestFit="1" customWidth="1"/>
    <col min="5127" max="5127" width="15.85546875" bestFit="1" customWidth="1"/>
    <col min="5128" max="5128" width="13.7109375" bestFit="1" customWidth="1"/>
    <col min="5380" max="5380" width="13" customWidth="1"/>
    <col min="5381" max="5381" width="14.42578125" customWidth="1"/>
    <col min="5382" max="5382" width="10.42578125" bestFit="1" customWidth="1"/>
    <col min="5383" max="5383" width="15.85546875" bestFit="1" customWidth="1"/>
    <col min="5384" max="5384" width="13.7109375" bestFit="1" customWidth="1"/>
    <col min="5636" max="5636" width="13" customWidth="1"/>
    <col min="5637" max="5637" width="14.42578125" customWidth="1"/>
    <col min="5638" max="5638" width="10.42578125" bestFit="1" customWidth="1"/>
    <col min="5639" max="5639" width="15.85546875" bestFit="1" customWidth="1"/>
    <col min="5640" max="5640" width="13.7109375" bestFit="1" customWidth="1"/>
    <col min="5892" max="5892" width="13" customWidth="1"/>
    <col min="5893" max="5893" width="14.42578125" customWidth="1"/>
    <col min="5894" max="5894" width="10.42578125" bestFit="1" customWidth="1"/>
    <col min="5895" max="5895" width="15.85546875" bestFit="1" customWidth="1"/>
    <col min="5896" max="5896" width="13.7109375" bestFit="1" customWidth="1"/>
    <col min="6148" max="6148" width="13" customWidth="1"/>
    <col min="6149" max="6149" width="14.42578125" customWidth="1"/>
    <col min="6150" max="6150" width="10.42578125" bestFit="1" customWidth="1"/>
    <col min="6151" max="6151" width="15.85546875" bestFit="1" customWidth="1"/>
    <col min="6152" max="6152" width="13.7109375" bestFit="1" customWidth="1"/>
    <col min="6404" max="6404" width="13" customWidth="1"/>
    <col min="6405" max="6405" width="14.42578125" customWidth="1"/>
    <col min="6406" max="6406" width="10.42578125" bestFit="1" customWidth="1"/>
    <col min="6407" max="6407" width="15.85546875" bestFit="1" customWidth="1"/>
    <col min="6408" max="6408" width="13.7109375" bestFit="1" customWidth="1"/>
    <col min="6660" max="6660" width="13" customWidth="1"/>
    <col min="6661" max="6661" width="14.42578125" customWidth="1"/>
    <col min="6662" max="6662" width="10.42578125" bestFit="1" customWidth="1"/>
    <col min="6663" max="6663" width="15.85546875" bestFit="1" customWidth="1"/>
    <col min="6664" max="6664" width="13.7109375" bestFit="1" customWidth="1"/>
    <col min="6916" max="6916" width="13" customWidth="1"/>
    <col min="6917" max="6917" width="14.42578125" customWidth="1"/>
    <col min="6918" max="6918" width="10.42578125" bestFit="1" customWidth="1"/>
    <col min="6919" max="6919" width="15.85546875" bestFit="1" customWidth="1"/>
    <col min="6920" max="6920" width="13.7109375" bestFit="1" customWidth="1"/>
    <col min="7172" max="7172" width="13" customWidth="1"/>
    <col min="7173" max="7173" width="14.42578125" customWidth="1"/>
    <col min="7174" max="7174" width="10.42578125" bestFit="1" customWidth="1"/>
    <col min="7175" max="7175" width="15.85546875" bestFit="1" customWidth="1"/>
    <col min="7176" max="7176" width="13.7109375" bestFit="1" customWidth="1"/>
    <col min="7428" max="7428" width="13" customWidth="1"/>
    <col min="7429" max="7429" width="14.42578125" customWidth="1"/>
    <col min="7430" max="7430" width="10.42578125" bestFit="1" customWidth="1"/>
    <col min="7431" max="7431" width="15.85546875" bestFit="1" customWidth="1"/>
    <col min="7432" max="7432" width="13.7109375" bestFit="1" customWidth="1"/>
    <col min="7684" max="7684" width="13" customWidth="1"/>
    <col min="7685" max="7685" width="14.42578125" customWidth="1"/>
    <col min="7686" max="7686" width="10.42578125" bestFit="1" customWidth="1"/>
    <col min="7687" max="7687" width="15.85546875" bestFit="1" customWidth="1"/>
    <col min="7688" max="7688" width="13.7109375" bestFit="1" customWidth="1"/>
    <col min="7940" max="7940" width="13" customWidth="1"/>
    <col min="7941" max="7941" width="14.42578125" customWidth="1"/>
    <col min="7942" max="7942" width="10.42578125" bestFit="1" customWidth="1"/>
    <col min="7943" max="7943" width="15.85546875" bestFit="1" customWidth="1"/>
    <col min="7944" max="7944" width="13.7109375" bestFit="1" customWidth="1"/>
    <col min="8196" max="8196" width="13" customWidth="1"/>
    <col min="8197" max="8197" width="14.42578125" customWidth="1"/>
    <col min="8198" max="8198" width="10.42578125" bestFit="1" customWidth="1"/>
    <col min="8199" max="8199" width="15.85546875" bestFit="1" customWidth="1"/>
    <col min="8200" max="8200" width="13.7109375" bestFit="1" customWidth="1"/>
    <col min="8452" max="8452" width="13" customWidth="1"/>
    <col min="8453" max="8453" width="14.42578125" customWidth="1"/>
    <col min="8454" max="8454" width="10.42578125" bestFit="1" customWidth="1"/>
    <col min="8455" max="8455" width="15.85546875" bestFit="1" customWidth="1"/>
    <col min="8456" max="8456" width="13.7109375" bestFit="1" customWidth="1"/>
    <col min="8708" max="8708" width="13" customWidth="1"/>
    <col min="8709" max="8709" width="14.42578125" customWidth="1"/>
    <col min="8710" max="8710" width="10.42578125" bestFit="1" customWidth="1"/>
    <col min="8711" max="8711" width="15.85546875" bestFit="1" customWidth="1"/>
    <col min="8712" max="8712" width="13.7109375" bestFit="1" customWidth="1"/>
    <col min="8964" max="8964" width="13" customWidth="1"/>
    <col min="8965" max="8965" width="14.42578125" customWidth="1"/>
    <col min="8966" max="8966" width="10.42578125" bestFit="1" customWidth="1"/>
    <col min="8967" max="8967" width="15.85546875" bestFit="1" customWidth="1"/>
    <col min="8968" max="8968" width="13.7109375" bestFit="1" customWidth="1"/>
    <col min="9220" max="9220" width="13" customWidth="1"/>
    <col min="9221" max="9221" width="14.42578125" customWidth="1"/>
    <col min="9222" max="9222" width="10.42578125" bestFit="1" customWidth="1"/>
    <col min="9223" max="9223" width="15.85546875" bestFit="1" customWidth="1"/>
    <col min="9224" max="9224" width="13.7109375" bestFit="1" customWidth="1"/>
    <col min="9476" max="9476" width="13" customWidth="1"/>
    <col min="9477" max="9477" width="14.42578125" customWidth="1"/>
    <col min="9478" max="9478" width="10.42578125" bestFit="1" customWidth="1"/>
    <col min="9479" max="9479" width="15.85546875" bestFit="1" customWidth="1"/>
    <col min="9480" max="9480" width="13.7109375" bestFit="1" customWidth="1"/>
    <col min="9732" max="9732" width="13" customWidth="1"/>
    <col min="9733" max="9733" width="14.42578125" customWidth="1"/>
    <col min="9734" max="9734" width="10.42578125" bestFit="1" customWidth="1"/>
    <col min="9735" max="9735" width="15.85546875" bestFit="1" customWidth="1"/>
    <col min="9736" max="9736" width="13.7109375" bestFit="1" customWidth="1"/>
    <col min="9988" max="9988" width="13" customWidth="1"/>
    <col min="9989" max="9989" width="14.42578125" customWidth="1"/>
    <col min="9990" max="9990" width="10.42578125" bestFit="1" customWidth="1"/>
    <col min="9991" max="9991" width="15.85546875" bestFit="1" customWidth="1"/>
    <col min="9992" max="9992" width="13.7109375" bestFit="1" customWidth="1"/>
    <col min="10244" max="10244" width="13" customWidth="1"/>
    <col min="10245" max="10245" width="14.42578125" customWidth="1"/>
    <col min="10246" max="10246" width="10.42578125" bestFit="1" customWidth="1"/>
    <col min="10247" max="10247" width="15.85546875" bestFit="1" customWidth="1"/>
    <col min="10248" max="10248" width="13.7109375" bestFit="1" customWidth="1"/>
    <col min="10500" max="10500" width="13" customWidth="1"/>
    <col min="10501" max="10501" width="14.42578125" customWidth="1"/>
    <col min="10502" max="10502" width="10.42578125" bestFit="1" customWidth="1"/>
    <col min="10503" max="10503" width="15.85546875" bestFit="1" customWidth="1"/>
    <col min="10504" max="10504" width="13.7109375" bestFit="1" customWidth="1"/>
    <col min="10756" max="10756" width="13" customWidth="1"/>
    <col min="10757" max="10757" width="14.42578125" customWidth="1"/>
    <col min="10758" max="10758" width="10.42578125" bestFit="1" customWidth="1"/>
    <col min="10759" max="10759" width="15.85546875" bestFit="1" customWidth="1"/>
    <col min="10760" max="10760" width="13.7109375" bestFit="1" customWidth="1"/>
    <col min="11012" max="11012" width="13" customWidth="1"/>
    <col min="11013" max="11013" width="14.42578125" customWidth="1"/>
    <col min="11014" max="11014" width="10.42578125" bestFit="1" customWidth="1"/>
    <col min="11015" max="11015" width="15.85546875" bestFit="1" customWidth="1"/>
    <col min="11016" max="11016" width="13.7109375" bestFit="1" customWidth="1"/>
    <col min="11268" max="11268" width="13" customWidth="1"/>
    <col min="11269" max="11269" width="14.42578125" customWidth="1"/>
    <col min="11270" max="11270" width="10.42578125" bestFit="1" customWidth="1"/>
    <col min="11271" max="11271" width="15.85546875" bestFit="1" customWidth="1"/>
    <col min="11272" max="11272" width="13.7109375" bestFit="1" customWidth="1"/>
    <col min="11524" max="11524" width="13" customWidth="1"/>
    <col min="11525" max="11525" width="14.42578125" customWidth="1"/>
    <col min="11526" max="11526" width="10.42578125" bestFit="1" customWidth="1"/>
    <col min="11527" max="11527" width="15.85546875" bestFit="1" customWidth="1"/>
    <col min="11528" max="11528" width="13.7109375" bestFit="1" customWidth="1"/>
    <col min="11780" max="11780" width="13" customWidth="1"/>
    <col min="11781" max="11781" width="14.42578125" customWidth="1"/>
    <col min="11782" max="11782" width="10.42578125" bestFit="1" customWidth="1"/>
    <col min="11783" max="11783" width="15.85546875" bestFit="1" customWidth="1"/>
    <col min="11784" max="11784" width="13.7109375" bestFit="1" customWidth="1"/>
    <col min="12036" max="12036" width="13" customWidth="1"/>
    <col min="12037" max="12037" width="14.42578125" customWidth="1"/>
    <col min="12038" max="12038" width="10.42578125" bestFit="1" customWidth="1"/>
    <col min="12039" max="12039" width="15.85546875" bestFit="1" customWidth="1"/>
    <col min="12040" max="12040" width="13.7109375" bestFit="1" customWidth="1"/>
    <col min="12292" max="12292" width="13" customWidth="1"/>
    <col min="12293" max="12293" width="14.42578125" customWidth="1"/>
    <col min="12294" max="12294" width="10.42578125" bestFit="1" customWidth="1"/>
    <col min="12295" max="12295" width="15.85546875" bestFit="1" customWidth="1"/>
    <col min="12296" max="12296" width="13.7109375" bestFit="1" customWidth="1"/>
    <col min="12548" max="12548" width="13" customWidth="1"/>
    <col min="12549" max="12549" width="14.42578125" customWidth="1"/>
    <col min="12550" max="12550" width="10.42578125" bestFit="1" customWidth="1"/>
    <col min="12551" max="12551" width="15.85546875" bestFit="1" customWidth="1"/>
    <col min="12552" max="12552" width="13.7109375" bestFit="1" customWidth="1"/>
    <col min="12804" max="12804" width="13" customWidth="1"/>
    <col min="12805" max="12805" width="14.42578125" customWidth="1"/>
    <col min="12806" max="12806" width="10.42578125" bestFit="1" customWidth="1"/>
    <col min="12807" max="12807" width="15.85546875" bestFit="1" customWidth="1"/>
    <col min="12808" max="12808" width="13.7109375" bestFit="1" customWidth="1"/>
    <col min="13060" max="13060" width="13" customWidth="1"/>
    <col min="13061" max="13061" width="14.42578125" customWidth="1"/>
    <col min="13062" max="13062" width="10.42578125" bestFit="1" customWidth="1"/>
    <col min="13063" max="13063" width="15.85546875" bestFit="1" customWidth="1"/>
    <col min="13064" max="13064" width="13.7109375" bestFit="1" customWidth="1"/>
    <col min="13316" max="13316" width="13" customWidth="1"/>
    <col min="13317" max="13317" width="14.42578125" customWidth="1"/>
    <col min="13318" max="13318" width="10.42578125" bestFit="1" customWidth="1"/>
    <col min="13319" max="13319" width="15.85546875" bestFit="1" customWidth="1"/>
    <col min="13320" max="13320" width="13.7109375" bestFit="1" customWidth="1"/>
    <col min="13572" max="13572" width="13" customWidth="1"/>
    <col min="13573" max="13573" width="14.42578125" customWidth="1"/>
    <col min="13574" max="13574" width="10.42578125" bestFit="1" customWidth="1"/>
    <col min="13575" max="13575" width="15.85546875" bestFit="1" customWidth="1"/>
    <col min="13576" max="13576" width="13.7109375" bestFit="1" customWidth="1"/>
    <col min="13828" max="13828" width="13" customWidth="1"/>
    <col min="13829" max="13829" width="14.42578125" customWidth="1"/>
    <col min="13830" max="13830" width="10.42578125" bestFit="1" customWidth="1"/>
    <col min="13831" max="13831" width="15.85546875" bestFit="1" customWidth="1"/>
    <col min="13832" max="13832" width="13.7109375" bestFit="1" customWidth="1"/>
    <col min="14084" max="14084" width="13" customWidth="1"/>
    <col min="14085" max="14085" width="14.42578125" customWidth="1"/>
    <col min="14086" max="14086" width="10.42578125" bestFit="1" customWidth="1"/>
    <col min="14087" max="14087" width="15.85546875" bestFit="1" customWidth="1"/>
    <col min="14088" max="14088" width="13.7109375" bestFit="1" customWidth="1"/>
    <col min="14340" max="14340" width="13" customWidth="1"/>
    <col min="14341" max="14341" width="14.42578125" customWidth="1"/>
    <col min="14342" max="14342" width="10.42578125" bestFit="1" customWidth="1"/>
    <col min="14343" max="14343" width="15.85546875" bestFit="1" customWidth="1"/>
    <col min="14344" max="14344" width="13.7109375" bestFit="1" customWidth="1"/>
    <col min="14596" max="14596" width="13" customWidth="1"/>
    <col min="14597" max="14597" width="14.42578125" customWidth="1"/>
    <col min="14598" max="14598" width="10.42578125" bestFit="1" customWidth="1"/>
    <col min="14599" max="14599" width="15.85546875" bestFit="1" customWidth="1"/>
    <col min="14600" max="14600" width="13.7109375" bestFit="1" customWidth="1"/>
    <col min="14852" max="14852" width="13" customWidth="1"/>
    <col min="14853" max="14853" width="14.42578125" customWidth="1"/>
    <col min="14854" max="14854" width="10.42578125" bestFit="1" customWidth="1"/>
    <col min="14855" max="14855" width="15.85546875" bestFit="1" customWidth="1"/>
    <col min="14856" max="14856" width="13.7109375" bestFit="1" customWidth="1"/>
    <col min="15108" max="15108" width="13" customWidth="1"/>
    <col min="15109" max="15109" width="14.42578125" customWidth="1"/>
    <col min="15110" max="15110" width="10.42578125" bestFit="1" customWidth="1"/>
    <col min="15111" max="15111" width="15.85546875" bestFit="1" customWidth="1"/>
    <col min="15112" max="15112" width="13.7109375" bestFit="1" customWidth="1"/>
    <col min="15364" max="15364" width="13" customWidth="1"/>
    <col min="15365" max="15365" width="14.42578125" customWidth="1"/>
    <col min="15366" max="15366" width="10.42578125" bestFit="1" customWidth="1"/>
    <col min="15367" max="15367" width="15.85546875" bestFit="1" customWidth="1"/>
    <col min="15368" max="15368" width="13.7109375" bestFit="1" customWidth="1"/>
    <col min="15620" max="15620" width="13" customWidth="1"/>
    <col min="15621" max="15621" width="14.42578125" customWidth="1"/>
    <col min="15622" max="15622" width="10.42578125" bestFit="1" customWidth="1"/>
    <col min="15623" max="15623" width="15.85546875" bestFit="1" customWidth="1"/>
    <col min="15624" max="15624" width="13.7109375" bestFit="1" customWidth="1"/>
    <col min="15876" max="15876" width="13" customWidth="1"/>
    <col min="15877" max="15877" width="14.42578125" customWidth="1"/>
    <col min="15878" max="15878" width="10.42578125" bestFit="1" customWidth="1"/>
    <col min="15879" max="15879" width="15.85546875" bestFit="1" customWidth="1"/>
    <col min="15880" max="15880" width="13.7109375" bestFit="1" customWidth="1"/>
    <col min="16132" max="16132" width="13" customWidth="1"/>
    <col min="16133" max="16133" width="14.42578125" customWidth="1"/>
    <col min="16134" max="16134" width="10.42578125" bestFit="1" customWidth="1"/>
    <col min="16135" max="16135" width="15.85546875" bestFit="1" customWidth="1"/>
    <col min="16136" max="16136" width="13.7109375" bestFit="1" customWidth="1"/>
  </cols>
  <sheetData>
    <row r="1" spans="1:8" ht="15.75" thickBot="1" x14ac:dyDescent="0.3"/>
    <row r="2" spans="1:8" ht="19.5" thickBot="1" x14ac:dyDescent="0.35">
      <c r="D2" s="895" t="s">
        <v>721</v>
      </c>
      <c r="E2" s="896"/>
      <c r="F2" s="896"/>
      <c r="G2" s="896"/>
      <c r="H2" s="897"/>
    </row>
    <row r="3" spans="1:8" ht="15.75" thickBot="1" x14ac:dyDescent="0.3">
      <c r="H3" t="s">
        <v>815</v>
      </c>
    </row>
    <row r="4" spans="1:8" ht="15.75" thickBot="1" x14ac:dyDescent="0.3">
      <c r="A4" s="856" t="s">
        <v>7</v>
      </c>
      <c r="B4" s="857"/>
      <c r="C4" s="857"/>
      <c r="D4" s="857"/>
      <c r="E4" s="858"/>
      <c r="F4" s="366" t="s">
        <v>316</v>
      </c>
      <c r="G4" s="366" t="s">
        <v>317</v>
      </c>
      <c r="H4" s="367" t="s">
        <v>189</v>
      </c>
    </row>
    <row r="5" spans="1:8" ht="15.75" thickBot="1" x14ac:dyDescent="0.3">
      <c r="A5" s="859" t="s">
        <v>318</v>
      </c>
      <c r="B5" s="860"/>
      <c r="C5" s="860"/>
      <c r="D5" s="860"/>
      <c r="E5" s="861"/>
      <c r="F5" s="167">
        <f>1697614+129000+6993605</f>
        <v>8820219</v>
      </c>
      <c r="G5" s="167">
        <v>0</v>
      </c>
      <c r="H5" s="167">
        <f>G5+F5</f>
        <v>8820219</v>
      </c>
    </row>
    <row r="6" spans="1:8" ht="15.75" thickBot="1" x14ac:dyDescent="0.3">
      <c r="A6" s="859" t="s">
        <v>319</v>
      </c>
      <c r="B6" s="860"/>
      <c r="C6" s="860"/>
      <c r="D6" s="860"/>
      <c r="E6" s="861"/>
      <c r="F6" s="167">
        <v>300000</v>
      </c>
      <c r="G6" s="167">
        <v>0</v>
      </c>
      <c r="H6" s="167">
        <f>G6+F6</f>
        <v>300000</v>
      </c>
    </row>
    <row r="7" spans="1:8" ht="15.75" thickBot="1" x14ac:dyDescent="0.3">
      <c r="A7" s="859" t="s">
        <v>320</v>
      </c>
      <c r="B7" s="860"/>
      <c r="C7" s="860"/>
      <c r="D7" s="860"/>
      <c r="E7" s="861"/>
      <c r="F7" s="167">
        <v>288000</v>
      </c>
      <c r="G7" s="167">
        <v>0</v>
      </c>
      <c r="H7" s="167">
        <f>G7+F7</f>
        <v>288000</v>
      </c>
    </row>
    <row r="8" spans="1:8" ht="15.75" thickBot="1" x14ac:dyDescent="0.3">
      <c r="A8" s="859" t="s">
        <v>321</v>
      </c>
      <c r="B8" s="860"/>
      <c r="C8" s="860"/>
      <c r="D8" s="860"/>
      <c r="E8" s="861"/>
      <c r="F8" s="167">
        <v>82080</v>
      </c>
      <c r="G8" s="167">
        <v>0</v>
      </c>
      <c r="H8" s="167">
        <f>G8+F8</f>
        <v>82080</v>
      </c>
    </row>
    <row r="9" spans="1:8" ht="15.75" thickBot="1" x14ac:dyDescent="0.3">
      <c r="A9" s="859" t="s">
        <v>392</v>
      </c>
      <c r="B9" s="860"/>
      <c r="C9" s="860"/>
      <c r="D9" s="860"/>
      <c r="E9" s="861"/>
      <c r="F9" s="167">
        <v>60000</v>
      </c>
      <c r="G9" s="167">
        <v>0</v>
      </c>
      <c r="H9" s="167">
        <f>G9+F9</f>
        <v>60000</v>
      </c>
    </row>
    <row r="10" spans="1:8" s="372" customFormat="1" ht="16.5" thickBot="1" x14ac:dyDescent="0.3">
      <c r="A10" s="871" t="s">
        <v>327</v>
      </c>
      <c r="B10" s="872"/>
      <c r="C10" s="872"/>
      <c r="D10" s="872"/>
      <c r="E10" s="873"/>
      <c r="F10" s="371">
        <f>SUM(F5:F9)</f>
        <v>9550299</v>
      </c>
      <c r="G10" s="371">
        <v>0</v>
      </c>
      <c r="H10" s="371">
        <f>F10+G10</f>
        <v>9550299</v>
      </c>
    </row>
    <row r="11" spans="1:8" s="372" customFormat="1" ht="31.5" customHeight="1" thickBot="1" x14ac:dyDescent="0.3">
      <c r="A11" s="874" t="s">
        <v>328</v>
      </c>
      <c r="B11" s="875"/>
      <c r="C11" s="875"/>
      <c r="D11" s="875"/>
      <c r="E11" s="876"/>
      <c r="F11" s="371">
        <v>1905508</v>
      </c>
      <c r="G11" s="371">
        <f>'[3]bér+járulék'!E42</f>
        <v>0</v>
      </c>
      <c r="H11" s="371">
        <f>F11+G11</f>
        <v>1905508</v>
      </c>
    </row>
    <row r="12" spans="1:8" s="372" customFormat="1" ht="36.75" customHeight="1" thickBot="1" x14ac:dyDescent="0.3">
      <c r="A12" s="874" t="s">
        <v>680</v>
      </c>
      <c r="B12" s="875"/>
      <c r="C12" s="875"/>
      <c r="D12" s="875"/>
      <c r="E12" s="876"/>
      <c r="F12" s="371">
        <f>F10+F11</f>
        <v>11455807</v>
      </c>
      <c r="G12" s="371">
        <f t="shared" ref="G12:H12" si="0">G10+G11</f>
        <v>0</v>
      </c>
      <c r="H12" s="371">
        <f t="shared" si="0"/>
        <v>11455807</v>
      </c>
    </row>
    <row r="13" spans="1:8" ht="15.75" thickBot="1" x14ac:dyDescent="0.3">
      <c r="A13" s="859" t="s">
        <v>365</v>
      </c>
      <c r="B13" s="860"/>
      <c r="C13" s="860"/>
      <c r="D13" s="860"/>
      <c r="E13" s="861"/>
      <c r="F13" s="167">
        <v>45000</v>
      </c>
      <c r="G13" s="167">
        <f>F13*5%</f>
        <v>2250</v>
      </c>
      <c r="H13" s="167">
        <f>F13+G13</f>
        <v>47250</v>
      </c>
    </row>
    <row r="14" spans="1:8" ht="15.75" thickBot="1" x14ac:dyDescent="0.3">
      <c r="A14" s="865" t="s">
        <v>330</v>
      </c>
      <c r="B14" s="866"/>
      <c r="C14" s="866"/>
      <c r="D14" s="866"/>
      <c r="E14" s="867"/>
      <c r="F14" s="167">
        <f>393700+1500*12</f>
        <v>411700</v>
      </c>
      <c r="G14" s="167">
        <f>F14*27%</f>
        <v>111159.00000000001</v>
      </c>
      <c r="H14" s="167">
        <f>F14+G14</f>
        <v>522859</v>
      </c>
    </row>
    <row r="15" spans="1:8" ht="15.75" thickBot="1" x14ac:dyDescent="0.3">
      <c r="A15" s="880" t="s">
        <v>331</v>
      </c>
      <c r="B15" s="881"/>
      <c r="C15" s="881"/>
      <c r="D15" s="881"/>
      <c r="E15" s="882"/>
      <c r="F15" s="368">
        <f>F14+F13</f>
        <v>456700</v>
      </c>
      <c r="G15" s="368">
        <f>G14+G13</f>
        <v>113409.00000000001</v>
      </c>
      <c r="H15" s="368">
        <f>H14+H13</f>
        <v>570109</v>
      </c>
    </row>
    <row r="16" spans="1:8" ht="15.75" thickBot="1" x14ac:dyDescent="0.3">
      <c r="A16" s="886" t="s">
        <v>332</v>
      </c>
      <c r="B16" s="887"/>
      <c r="C16" s="887"/>
      <c r="D16" s="887"/>
      <c r="E16" s="888"/>
      <c r="F16" s="370">
        <v>50000</v>
      </c>
      <c r="G16" s="370">
        <f t="shared" ref="G16:G21" si="1">F16*27%</f>
        <v>13500</v>
      </c>
      <c r="H16" s="370">
        <f t="shared" ref="H16:H21" si="2">F16+G16</f>
        <v>63500</v>
      </c>
    </row>
    <row r="17" spans="1:8" ht="15.75" thickBot="1" x14ac:dyDescent="0.3">
      <c r="A17" s="886" t="s">
        <v>333</v>
      </c>
      <c r="B17" s="887"/>
      <c r="C17" s="887"/>
      <c r="D17" s="887"/>
      <c r="E17" s="888"/>
      <c r="F17" s="370">
        <v>30000</v>
      </c>
      <c r="G17" s="370">
        <f t="shared" si="1"/>
        <v>8100.0000000000009</v>
      </c>
      <c r="H17" s="370">
        <f t="shared" si="2"/>
        <v>38100</v>
      </c>
    </row>
    <row r="18" spans="1:8" ht="15.75" thickBot="1" x14ac:dyDescent="0.3">
      <c r="A18" s="868" t="s">
        <v>334</v>
      </c>
      <c r="B18" s="869"/>
      <c r="C18" s="869"/>
      <c r="D18" s="869"/>
      <c r="E18" s="870"/>
      <c r="F18" s="370">
        <v>60000</v>
      </c>
      <c r="G18" s="370">
        <f t="shared" si="1"/>
        <v>16200.000000000002</v>
      </c>
      <c r="H18" s="370">
        <f t="shared" si="2"/>
        <v>76200</v>
      </c>
    </row>
    <row r="19" spans="1:8" ht="15.75" thickBot="1" x14ac:dyDescent="0.3">
      <c r="A19" s="868" t="s">
        <v>722</v>
      </c>
      <c r="B19" s="869"/>
      <c r="C19" s="869"/>
      <c r="D19" s="869"/>
      <c r="E19" s="870"/>
      <c r="F19" s="370">
        <v>60000</v>
      </c>
      <c r="G19" s="370">
        <v>0</v>
      </c>
      <c r="H19" s="370">
        <f t="shared" si="2"/>
        <v>60000</v>
      </c>
    </row>
    <row r="20" spans="1:8" ht="15.75" thickBot="1" x14ac:dyDescent="0.3">
      <c r="A20" s="868" t="s">
        <v>723</v>
      </c>
      <c r="B20" s="869"/>
      <c r="C20" s="869"/>
      <c r="D20" s="869"/>
      <c r="E20" s="870"/>
      <c r="F20" s="370">
        <v>40000</v>
      </c>
      <c r="G20" s="370">
        <f t="shared" si="1"/>
        <v>10800</v>
      </c>
      <c r="H20" s="370">
        <f t="shared" si="2"/>
        <v>50800</v>
      </c>
    </row>
    <row r="21" spans="1:8" ht="15.75" thickBot="1" x14ac:dyDescent="0.3">
      <c r="A21" s="868" t="s">
        <v>366</v>
      </c>
      <c r="B21" s="869"/>
      <c r="C21" s="869"/>
      <c r="D21" s="869"/>
      <c r="E21" s="870"/>
      <c r="F21" s="370">
        <v>30000</v>
      </c>
      <c r="G21" s="370">
        <f t="shared" si="1"/>
        <v>8100.0000000000009</v>
      </c>
      <c r="H21" s="370">
        <f t="shared" si="2"/>
        <v>38100</v>
      </c>
    </row>
    <row r="22" spans="1:8" s="365" customFormat="1" ht="15.75" thickBot="1" x14ac:dyDescent="0.3">
      <c r="A22" s="880" t="s">
        <v>337</v>
      </c>
      <c r="B22" s="881"/>
      <c r="C22" s="881"/>
      <c r="D22" s="881"/>
      <c r="E22" s="882"/>
      <c r="F22" s="368">
        <f>F16+F17+F18+F19+F20+F21</f>
        <v>270000</v>
      </c>
      <c r="G22" s="368">
        <f t="shared" ref="G22:H22" si="3">G16+G17+G18+G19+G20+G21</f>
        <v>56700</v>
      </c>
      <c r="H22" s="368">
        <f t="shared" si="3"/>
        <v>326700</v>
      </c>
    </row>
    <row r="23" spans="1:8" s="365" customFormat="1" ht="15.75" thickBot="1" x14ac:dyDescent="0.3">
      <c r="A23" s="880" t="s">
        <v>338</v>
      </c>
      <c r="B23" s="881"/>
      <c r="C23" s="881"/>
      <c r="D23" s="881"/>
      <c r="E23" s="882"/>
      <c r="F23" s="368">
        <f>F22+F15</f>
        <v>726700</v>
      </c>
      <c r="G23" s="368">
        <f t="shared" ref="G23:H23" si="4">G22+G15</f>
        <v>170109</v>
      </c>
      <c r="H23" s="368">
        <f t="shared" si="4"/>
        <v>896809</v>
      </c>
    </row>
    <row r="24" spans="1:8" ht="15.75" thickBot="1" x14ac:dyDescent="0.3">
      <c r="A24" s="886" t="s">
        <v>341</v>
      </c>
      <c r="B24" s="887"/>
      <c r="C24" s="887"/>
      <c r="D24" s="887"/>
      <c r="E24" s="888"/>
      <c r="F24" s="370">
        <f>8000*12</f>
        <v>96000</v>
      </c>
      <c r="G24" s="370">
        <f>F24*27%</f>
        <v>25920</v>
      </c>
      <c r="H24" s="370">
        <f>F24+G24</f>
        <v>121920</v>
      </c>
    </row>
    <row r="25" spans="1:8" s="365" customFormat="1" ht="15.75" thickBot="1" x14ac:dyDescent="0.3">
      <c r="A25" s="880" t="s">
        <v>342</v>
      </c>
      <c r="B25" s="881"/>
      <c r="C25" s="881"/>
      <c r="D25" s="881"/>
      <c r="E25" s="882"/>
      <c r="F25" s="368">
        <f>F24</f>
        <v>96000</v>
      </c>
      <c r="G25" s="368">
        <f>G24</f>
        <v>25920</v>
      </c>
      <c r="H25" s="368">
        <f>H24</f>
        <v>121920</v>
      </c>
    </row>
    <row r="26" spans="1:8" s="365" customFormat="1" ht="15.75" thickBot="1" x14ac:dyDescent="0.3">
      <c r="A26" s="880" t="s">
        <v>343</v>
      </c>
      <c r="B26" s="881"/>
      <c r="C26" s="881"/>
      <c r="D26" s="881"/>
      <c r="E26" s="882"/>
      <c r="F26" s="368">
        <f>F24</f>
        <v>96000</v>
      </c>
      <c r="G26" s="368">
        <f>G24</f>
        <v>25920</v>
      </c>
      <c r="H26" s="368">
        <f>H24</f>
        <v>121920</v>
      </c>
    </row>
    <row r="27" spans="1:8" s="365" customFormat="1" ht="15.75" thickBot="1" x14ac:dyDescent="0.3">
      <c r="A27" s="856" t="s">
        <v>724</v>
      </c>
      <c r="B27" s="857"/>
      <c r="C27" s="857"/>
      <c r="D27" s="857"/>
      <c r="E27" s="858"/>
      <c r="F27" s="368">
        <v>510000</v>
      </c>
      <c r="G27" s="368">
        <f>F27*27%-1</f>
        <v>137699</v>
      </c>
      <c r="H27" s="368">
        <f>F27+G27</f>
        <v>647699</v>
      </c>
    </row>
    <row r="28" spans="1:8" ht="15.75" thickBot="1" x14ac:dyDescent="0.3">
      <c r="A28" s="868" t="s">
        <v>345</v>
      </c>
      <c r="B28" s="869"/>
      <c r="C28" s="869"/>
      <c r="D28" s="869"/>
      <c r="E28" s="870"/>
      <c r="F28" s="370">
        <v>60000</v>
      </c>
      <c r="G28" s="370">
        <f>F28*27%</f>
        <v>16200.000000000002</v>
      </c>
      <c r="H28" s="370">
        <f>F28+G28</f>
        <v>76200</v>
      </c>
    </row>
    <row r="29" spans="1:8" ht="15.75" thickBot="1" x14ac:dyDescent="0.3">
      <c r="A29" s="868" t="s">
        <v>346</v>
      </c>
      <c r="B29" s="869"/>
      <c r="C29" s="869"/>
      <c r="D29" s="869"/>
      <c r="E29" s="870"/>
      <c r="F29" s="370">
        <v>50000</v>
      </c>
      <c r="G29" s="370">
        <f>F29*27%</f>
        <v>13500</v>
      </c>
      <c r="H29" s="370">
        <f>F29+G29</f>
        <v>63500</v>
      </c>
    </row>
    <row r="30" spans="1:8" ht="15.75" thickBot="1" x14ac:dyDescent="0.3">
      <c r="A30" s="868" t="s">
        <v>725</v>
      </c>
      <c r="B30" s="869"/>
      <c r="C30" s="869"/>
      <c r="D30" s="869"/>
      <c r="E30" s="870"/>
      <c r="F30" s="370">
        <v>68400</v>
      </c>
      <c r="G30" s="370">
        <v>0</v>
      </c>
      <c r="H30" s="370">
        <f t="shared" ref="H30" si="5">F30+G30</f>
        <v>68400</v>
      </c>
    </row>
    <row r="31" spans="1:8" s="365" customFormat="1" ht="15.75" thickBot="1" x14ac:dyDescent="0.3">
      <c r="A31" s="856" t="s">
        <v>347</v>
      </c>
      <c r="B31" s="857"/>
      <c r="C31" s="857"/>
      <c r="D31" s="857"/>
      <c r="E31" s="858"/>
      <c r="F31" s="368">
        <f>F29+F30</f>
        <v>118400</v>
      </c>
      <c r="G31" s="368">
        <f t="shared" ref="G31:H31" si="6">G29+G30</f>
        <v>13500</v>
      </c>
      <c r="H31" s="368">
        <f t="shared" si="6"/>
        <v>131900</v>
      </c>
    </row>
    <row r="32" spans="1:8" s="365" customFormat="1" ht="15.75" thickBot="1" x14ac:dyDescent="0.3">
      <c r="A32" s="868" t="s">
        <v>726</v>
      </c>
      <c r="B32" s="869"/>
      <c r="C32" s="869"/>
      <c r="D32" s="869"/>
      <c r="E32" s="870"/>
      <c r="F32" s="576">
        <f>2000*3</f>
        <v>6000</v>
      </c>
      <c r="G32" s="576">
        <f>F32*27%</f>
        <v>1620</v>
      </c>
      <c r="H32" s="576">
        <f>F32+G32</f>
        <v>7620</v>
      </c>
    </row>
    <row r="33" spans="1:8" ht="15.75" thickBot="1" x14ac:dyDescent="0.3">
      <c r="A33" s="868" t="s">
        <v>348</v>
      </c>
      <c r="B33" s="869"/>
      <c r="C33" s="869"/>
      <c r="D33" s="869"/>
      <c r="E33" s="870"/>
      <c r="F33" s="370">
        <v>5000</v>
      </c>
      <c r="G33" s="370">
        <f>F33*27%</f>
        <v>1350</v>
      </c>
      <c r="H33" s="370">
        <f>F33+G33</f>
        <v>6350</v>
      </c>
    </row>
    <row r="34" spans="1:8" s="365" customFormat="1" ht="15.75" thickBot="1" x14ac:dyDescent="0.3">
      <c r="A34" s="856" t="s">
        <v>353</v>
      </c>
      <c r="B34" s="857"/>
      <c r="C34" s="857"/>
      <c r="D34" s="857"/>
      <c r="E34" s="858"/>
      <c r="F34" s="368">
        <f>F32+F33</f>
        <v>11000</v>
      </c>
      <c r="G34" s="368">
        <f t="shared" ref="G34:H34" si="7">G32+G33</f>
        <v>2970</v>
      </c>
      <c r="H34" s="368">
        <f t="shared" si="7"/>
        <v>13970</v>
      </c>
    </row>
    <row r="35" spans="1:8" s="365" customFormat="1" ht="15.75" thickBot="1" x14ac:dyDescent="0.3">
      <c r="A35" s="856" t="s">
        <v>354</v>
      </c>
      <c r="B35" s="857"/>
      <c r="C35" s="857"/>
      <c r="D35" s="857"/>
      <c r="E35" s="858"/>
      <c r="F35" s="368">
        <f>F27+F28+F31+F34</f>
        <v>699400</v>
      </c>
      <c r="G35" s="368">
        <f>G27+G28+G31+G34</f>
        <v>170369</v>
      </c>
      <c r="H35" s="368">
        <f>H27+H28+H31+H34</f>
        <v>869769</v>
      </c>
    </row>
    <row r="36" spans="1:8" ht="15.75" thickBot="1" x14ac:dyDescent="0.3">
      <c r="A36" s="868" t="s">
        <v>355</v>
      </c>
      <c r="B36" s="869"/>
      <c r="C36" s="869"/>
      <c r="D36" s="869"/>
      <c r="E36" s="870"/>
      <c r="F36" s="370">
        <v>50000</v>
      </c>
      <c r="G36" s="370">
        <v>0</v>
      </c>
      <c r="H36" s="167">
        <f>F36+G36</f>
        <v>50000</v>
      </c>
    </row>
    <row r="37" spans="1:8" s="365" customFormat="1" ht="15.75" thickBot="1" x14ac:dyDescent="0.3">
      <c r="A37" s="856" t="s">
        <v>357</v>
      </c>
      <c r="B37" s="857"/>
      <c r="C37" s="857"/>
      <c r="D37" s="857"/>
      <c r="E37" s="858"/>
      <c r="F37" s="368">
        <f>F36</f>
        <v>50000</v>
      </c>
      <c r="G37" s="368">
        <f>G36</f>
        <v>0</v>
      </c>
      <c r="H37" s="368">
        <f>H36</f>
        <v>50000</v>
      </c>
    </row>
    <row r="38" spans="1:8" ht="15.75" thickBot="1" x14ac:dyDescent="0.3">
      <c r="A38" s="868" t="s">
        <v>358</v>
      </c>
      <c r="B38" s="869"/>
      <c r="C38" s="869"/>
      <c r="D38" s="869"/>
      <c r="E38" s="870"/>
      <c r="F38" s="370">
        <v>0</v>
      </c>
      <c r="G38" s="370">
        <f>G23+G26+G27+G28+G31+G34</f>
        <v>366398</v>
      </c>
      <c r="H38" s="370">
        <f>G38</f>
        <v>366398</v>
      </c>
    </row>
    <row r="39" spans="1:8" ht="15.75" thickBot="1" x14ac:dyDescent="0.3">
      <c r="A39" s="868" t="s">
        <v>361</v>
      </c>
      <c r="B39" s="869"/>
      <c r="C39" s="869"/>
      <c r="D39" s="869"/>
      <c r="E39" s="870"/>
      <c r="F39" s="370">
        <v>5000</v>
      </c>
      <c r="G39" s="370">
        <v>0</v>
      </c>
      <c r="H39" s="370">
        <f>F39+G39</f>
        <v>5000</v>
      </c>
    </row>
    <row r="40" spans="1:8" s="365" customFormat="1" ht="15.75" thickBot="1" x14ac:dyDescent="0.3">
      <c r="A40" s="856" t="s">
        <v>359</v>
      </c>
      <c r="B40" s="857"/>
      <c r="C40" s="857"/>
      <c r="D40" s="857"/>
      <c r="E40" s="858"/>
      <c r="F40" s="368">
        <f>F38+F39</f>
        <v>5000</v>
      </c>
      <c r="G40" s="368">
        <f>G38</f>
        <v>366398</v>
      </c>
      <c r="H40" s="368">
        <f>H38+H39</f>
        <v>371398</v>
      </c>
    </row>
    <row r="41" spans="1:8" s="365" customFormat="1" ht="15.75" thickBot="1" x14ac:dyDescent="0.3">
      <c r="A41" s="856" t="s">
        <v>360</v>
      </c>
      <c r="B41" s="857"/>
      <c r="C41" s="857"/>
      <c r="D41" s="857"/>
      <c r="E41" s="858"/>
      <c r="F41" s="368">
        <f>F23+F26+F27+F28+F31+F34+F37+F39</f>
        <v>1577100</v>
      </c>
      <c r="G41" s="368">
        <f>G15+G22+G25+G27+G28+G29+G34+G37+G39</f>
        <v>366398</v>
      </c>
      <c r="H41" s="368">
        <f>F41+G41</f>
        <v>1943498</v>
      </c>
    </row>
    <row r="42" spans="1:8" s="369" customFormat="1" ht="15.75" thickBot="1" x14ac:dyDescent="0.3">
      <c r="A42" s="865" t="s">
        <v>167</v>
      </c>
      <c r="B42" s="866"/>
      <c r="C42" s="866"/>
      <c r="D42" s="866"/>
      <c r="E42" s="867"/>
      <c r="F42" s="167">
        <v>50000</v>
      </c>
      <c r="G42" s="167">
        <f t="shared" ref="G42:G46" si="8">F42*27%</f>
        <v>13500</v>
      </c>
      <c r="H42" s="167">
        <f>F42+G42</f>
        <v>63500</v>
      </c>
    </row>
    <row r="43" spans="1:8" s="369" customFormat="1" ht="15.75" thickBot="1" x14ac:dyDescent="0.3">
      <c r="A43" s="865" t="s">
        <v>168</v>
      </c>
      <c r="B43" s="866"/>
      <c r="C43" s="866"/>
      <c r="D43" s="866"/>
      <c r="E43" s="867"/>
      <c r="F43" s="167">
        <v>20000</v>
      </c>
      <c r="G43" s="167">
        <f t="shared" si="8"/>
        <v>5400</v>
      </c>
      <c r="H43" s="167">
        <f t="shared" ref="H43:H47" si="9">F43+G43</f>
        <v>25400</v>
      </c>
    </row>
    <row r="44" spans="1:8" s="369" customFormat="1" ht="15.75" thickBot="1" x14ac:dyDescent="0.3">
      <c r="A44" s="865" t="s">
        <v>158</v>
      </c>
      <c r="B44" s="866"/>
      <c r="C44" s="866"/>
      <c r="D44" s="866"/>
      <c r="E44" s="867"/>
      <c r="F44" s="167">
        <v>12000</v>
      </c>
      <c r="G44" s="167">
        <f t="shared" si="8"/>
        <v>3240</v>
      </c>
      <c r="H44" s="167">
        <f t="shared" si="9"/>
        <v>15240</v>
      </c>
    </row>
    <row r="45" spans="1:8" s="369" customFormat="1" ht="15.75" thickBot="1" x14ac:dyDescent="0.3">
      <c r="A45" s="865" t="s">
        <v>169</v>
      </c>
      <c r="B45" s="866"/>
      <c r="C45" s="866"/>
      <c r="D45" s="866"/>
      <c r="E45" s="867"/>
      <c r="F45" s="167">
        <v>50000</v>
      </c>
      <c r="G45" s="167">
        <f t="shared" si="8"/>
        <v>13500</v>
      </c>
      <c r="H45" s="167">
        <f t="shared" si="9"/>
        <v>63500</v>
      </c>
    </row>
    <row r="46" spans="1:8" s="365" customFormat="1" ht="15.75" thickBot="1" x14ac:dyDescent="0.3">
      <c r="A46" s="856" t="s">
        <v>362</v>
      </c>
      <c r="B46" s="857"/>
      <c r="C46" s="857"/>
      <c r="D46" s="857"/>
      <c r="E46" s="858"/>
      <c r="F46" s="368">
        <f>F42+F43+F44+F45</f>
        <v>132000</v>
      </c>
      <c r="G46" s="368">
        <f t="shared" si="8"/>
        <v>35640</v>
      </c>
      <c r="H46" s="368">
        <f t="shared" si="9"/>
        <v>167640</v>
      </c>
    </row>
    <row r="47" spans="1:8" s="365" customFormat="1" ht="15.75" thickBot="1" x14ac:dyDescent="0.3">
      <c r="A47" s="856" t="s">
        <v>363</v>
      </c>
      <c r="B47" s="857"/>
      <c r="C47" s="857"/>
      <c r="D47" s="857"/>
      <c r="E47" s="858"/>
      <c r="F47" s="368"/>
      <c r="G47" s="368">
        <f>G46</f>
        <v>35640</v>
      </c>
      <c r="H47" s="368">
        <f t="shared" si="9"/>
        <v>35640</v>
      </c>
    </row>
    <row r="48" spans="1:8" s="374" customFormat="1" ht="19.5" thickBot="1" x14ac:dyDescent="0.35">
      <c r="A48" s="895" t="s">
        <v>364</v>
      </c>
      <c r="B48" s="896"/>
      <c r="C48" s="896"/>
      <c r="D48" s="896"/>
      <c r="E48" s="897"/>
      <c r="F48" s="373">
        <f>F10+F11+F41+F46</f>
        <v>13164907</v>
      </c>
      <c r="G48" s="373">
        <f t="shared" ref="G48:H48" si="10">G10+G11+G41+G46</f>
        <v>402038</v>
      </c>
      <c r="H48" s="373">
        <f t="shared" si="10"/>
        <v>13566945</v>
      </c>
    </row>
  </sheetData>
  <mergeCells count="46">
    <mergeCell ref="A4:E4"/>
    <mergeCell ref="A5:E5"/>
    <mergeCell ref="A46:E46"/>
    <mergeCell ref="A47:E47"/>
    <mergeCell ref="D2:H2"/>
    <mergeCell ref="A39:E39"/>
    <mergeCell ref="A40:E40"/>
    <mergeCell ref="A41:E41"/>
    <mergeCell ref="A42:E42"/>
    <mergeCell ref="A26:E26"/>
    <mergeCell ref="A24:E24"/>
    <mergeCell ref="A15:E15"/>
    <mergeCell ref="A16:E16"/>
    <mergeCell ref="A17:E17"/>
    <mergeCell ref="A18:E18"/>
    <mergeCell ref="A19:E19"/>
    <mergeCell ref="A48:E48"/>
    <mergeCell ref="A38:E38"/>
    <mergeCell ref="A27:E27"/>
    <mergeCell ref="A28:E28"/>
    <mergeCell ref="A34:E34"/>
    <mergeCell ref="A35:E35"/>
    <mergeCell ref="A36:E36"/>
    <mergeCell ref="A37:E37"/>
    <mergeCell ref="A29:E29"/>
    <mergeCell ref="A30:E30"/>
    <mergeCell ref="A31:E31"/>
    <mergeCell ref="A32:E32"/>
    <mergeCell ref="A33:E33"/>
    <mergeCell ref="A43:E43"/>
    <mergeCell ref="A44:E44"/>
    <mergeCell ref="A45:E45"/>
    <mergeCell ref="A6:E6"/>
    <mergeCell ref="A7:E7"/>
    <mergeCell ref="A8:E8"/>
    <mergeCell ref="A9:E9"/>
    <mergeCell ref="A10:E10"/>
    <mergeCell ref="A25:E25"/>
    <mergeCell ref="A14:E14"/>
    <mergeCell ref="A22:E22"/>
    <mergeCell ref="A23:E23"/>
    <mergeCell ref="A11:E11"/>
    <mergeCell ref="A12:E12"/>
    <mergeCell ref="A13:E13"/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0"/>
  <sheetViews>
    <sheetView topLeftCell="A19" workbookViewId="0">
      <selection activeCell="I8" sqref="I8"/>
    </sheetView>
  </sheetViews>
  <sheetFormatPr defaultRowHeight="15" x14ac:dyDescent="0.25"/>
  <cols>
    <col min="5" max="5" width="24.140625" customWidth="1"/>
    <col min="6" max="6" width="14.42578125" style="364" customWidth="1"/>
    <col min="7" max="7" width="12.5703125" style="364" customWidth="1"/>
    <col min="8" max="8" width="15.85546875" bestFit="1" customWidth="1"/>
    <col min="260" max="260" width="13" customWidth="1"/>
    <col min="261" max="261" width="14.42578125" customWidth="1"/>
    <col min="262" max="262" width="10.42578125" bestFit="1" customWidth="1"/>
    <col min="263" max="263" width="15.85546875" bestFit="1" customWidth="1"/>
    <col min="264" max="264" width="14" bestFit="1" customWidth="1"/>
    <col min="516" max="516" width="13" customWidth="1"/>
    <col min="517" max="517" width="14.42578125" customWidth="1"/>
    <col min="518" max="518" width="10.42578125" bestFit="1" customWidth="1"/>
    <col min="519" max="519" width="15.85546875" bestFit="1" customWidth="1"/>
    <col min="520" max="520" width="14" bestFit="1" customWidth="1"/>
    <col min="772" max="772" width="13" customWidth="1"/>
    <col min="773" max="773" width="14.42578125" customWidth="1"/>
    <col min="774" max="774" width="10.42578125" bestFit="1" customWidth="1"/>
    <col min="775" max="775" width="15.85546875" bestFit="1" customWidth="1"/>
    <col min="776" max="776" width="14" bestFit="1" customWidth="1"/>
    <col min="1028" max="1028" width="13" customWidth="1"/>
    <col min="1029" max="1029" width="14.42578125" customWidth="1"/>
    <col min="1030" max="1030" width="10.42578125" bestFit="1" customWidth="1"/>
    <col min="1031" max="1031" width="15.85546875" bestFit="1" customWidth="1"/>
    <col min="1032" max="1032" width="14" bestFit="1" customWidth="1"/>
    <col min="1284" max="1284" width="13" customWidth="1"/>
    <col min="1285" max="1285" width="14.42578125" customWidth="1"/>
    <col min="1286" max="1286" width="10.42578125" bestFit="1" customWidth="1"/>
    <col min="1287" max="1287" width="15.85546875" bestFit="1" customWidth="1"/>
    <col min="1288" max="1288" width="14" bestFit="1" customWidth="1"/>
    <col min="1540" max="1540" width="13" customWidth="1"/>
    <col min="1541" max="1541" width="14.42578125" customWidth="1"/>
    <col min="1542" max="1542" width="10.42578125" bestFit="1" customWidth="1"/>
    <col min="1543" max="1543" width="15.85546875" bestFit="1" customWidth="1"/>
    <col min="1544" max="1544" width="14" bestFit="1" customWidth="1"/>
    <col min="1796" max="1796" width="13" customWidth="1"/>
    <col min="1797" max="1797" width="14.42578125" customWidth="1"/>
    <col min="1798" max="1798" width="10.42578125" bestFit="1" customWidth="1"/>
    <col min="1799" max="1799" width="15.85546875" bestFit="1" customWidth="1"/>
    <col min="1800" max="1800" width="14" bestFit="1" customWidth="1"/>
    <col min="2052" max="2052" width="13" customWidth="1"/>
    <col min="2053" max="2053" width="14.42578125" customWidth="1"/>
    <col min="2054" max="2054" width="10.42578125" bestFit="1" customWidth="1"/>
    <col min="2055" max="2055" width="15.85546875" bestFit="1" customWidth="1"/>
    <col min="2056" max="2056" width="14" bestFit="1" customWidth="1"/>
    <col min="2308" max="2308" width="13" customWidth="1"/>
    <col min="2309" max="2309" width="14.42578125" customWidth="1"/>
    <col min="2310" max="2310" width="10.42578125" bestFit="1" customWidth="1"/>
    <col min="2311" max="2311" width="15.85546875" bestFit="1" customWidth="1"/>
    <col min="2312" max="2312" width="14" bestFit="1" customWidth="1"/>
    <col min="2564" max="2564" width="13" customWidth="1"/>
    <col min="2565" max="2565" width="14.42578125" customWidth="1"/>
    <col min="2566" max="2566" width="10.42578125" bestFit="1" customWidth="1"/>
    <col min="2567" max="2567" width="15.85546875" bestFit="1" customWidth="1"/>
    <col min="2568" max="2568" width="14" bestFit="1" customWidth="1"/>
    <col min="2820" max="2820" width="13" customWidth="1"/>
    <col min="2821" max="2821" width="14.42578125" customWidth="1"/>
    <col min="2822" max="2822" width="10.42578125" bestFit="1" customWidth="1"/>
    <col min="2823" max="2823" width="15.85546875" bestFit="1" customWidth="1"/>
    <col min="2824" max="2824" width="14" bestFit="1" customWidth="1"/>
    <col min="3076" max="3076" width="13" customWidth="1"/>
    <col min="3077" max="3077" width="14.42578125" customWidth="1"/>
    <col min="3078" max="3078" width="10.42578125" bestFit="1" customWidth="1"/>
    <col min="3079" max="3079" width="15.85546875" bestFit="1" customWidth="1"/>
    <col min="3080" max="3080" width="14" bestFit="1" customWidth="1"/>
    <col min="3332" max="3332" width="13" customWidth="1"/>
    <col min="3333" max="3333" width="14.42578125" customWidth="1"/>
    <col min="3334" max="3334" width="10.42578125" bestFit="1" customWidth="1"/>
    <col min="3335" max="3335" width="15.85546875" bestFit="1" customWidth="1"/>
    <col min="3336" max="3336" width="14" bestFit="1" customWidth="1"/>
    <col min="3588" max="3588" width="13" customWidth="1"/>
    <col min="3589" max="3589" width="14.42578125" customWidth="1"/>
    <col min="3590" max="3590" width="10.42578125" bestFit="1" customWidth="1"/>
    <col min="3591" max="3591" width="15.85546875" bestFit="1" customWidth="1"/>
    <col min="3592" max="3592" width="14" bestFit="1" customWidth="1"/>
    <col min="3844" max="3844" width="13" customWidth="1"/>
    <col min="3845" max="3845" width="14.42578125" customWidth="1"/>
    <col min="3846" max="3846" width="10.42578125" bestFit="1" customWidth="1"/>
    <col min="3847" max="3847" width="15.85546875" bestFit="1" customWidth="1"/>
    <col min="3848" max="3848" width="14" bestFit="1" customWidth="1"/>
    <col min="4100" max="4100" width="13" customWidth="1"/>
    <col min="4101" max="4101" width="14.42578125" customWidth="1"/>
    <col min="4102" max="4102" width="10.42578125" bestFit="1" customWidth="1"/>
    <col min="4103" max="4103" width="15.85546875" bestFit="1" customWidth="1"/>
    <col min="4104" max="4104" width="14" bestFit="1" customWidth="1"/>
    <col min="4356" max="4356" width="13" customWidth="1"/>
    <col min="4357" max="4357" width="14.42578125" customWidth="1"/>
    <col min="4358" max="4358" width="10.42578125" bestFit="1" customWidth="1"/>
    <col min="4359" max="4359" width="15.85546875" bestFit="1" customWidth="1"/>
    <col min="4360" max="4360" width="14" bestFit="1" customWidth="1"/>
    <col min="4612" max="4612" width="13" customWidth="1"/>
    <col min="4613" max="4613" width="14.42578125" customWidth="1"/>
    <col min="4614" max="4614" width="10.42578125" bestFit="1" customWidth="1"/>
    <col min="4615" max="4615" width="15.85546875" bestFit="1" customWidth="1"/>
    <col min="4616" max="4616" width="14" bestFit="1" customWidth="1"/>
    <col min="4868" max="4868" width="13" customWidth="1"/>
    <col min="4869" max="4869" width="14.42578125" customWidth="1"/>
    <col min="4870" max="4870" width="10.42578125" bestFit="1" customWidth="1"/>
    <col min="4871" max="4871" width="15.85546875" bestFit="1" customWidth="1"/>
    <col min="4872" max="4872" width="14" bestFit="1" customWidth="1"/>
    <col min="5124" max="5124" width="13" customWidth="1"/>
    <col min="5125" max="5125" width="14.42578125" customWidth="1"/>
    <col min="5126" max="5126" width="10.42578125" bestFit="1" customWidth="1"/>
    <col min="5127" max="5127" width="15.85546875" bestFit="1" customWidth="1"/>
    <col min="5128" max="5128" width="14" bestFit="1" customWidth="1"/>
    <col min="5380" max="5380" width="13" customWidth="1"/>
    <col min="5381" max="5381" width="14.42578125" customWidth="1"/>
    <col min="5382" max="5382" width="10.42578125" bestFit="1" customWidth="1"/>
    <col min="5383" max="5383" width="15.85546875" bestFit="1" customWidth="1"/>
    <col min="5384" max="5384" width="14" bestFit="1" customWidth="1"/>
    <col min="5636" max="5636" width="13" customWidth="1"/>
    <col min="5637" max="5637" width="14.42578125" customWidth="1"/>
    <col min="5638" max="5638" width="10.42578125" bestFit="1" customWidth="1"/>
    <col min="5639" max="5639" width="15.85546875" bestFit="1" customWidth="1"/>
    <col min="5640" max="5640" width="14" bestFit="1" customWidth="1"/>
    <col min="5892" max="5892" width="13" customWidth="1"/>
    <col min="5893" max="5893" width="14.42578125" customWidth="1"/>
    <col min="5894" max="5894" width="10.42578125" bestFit="1" customWidth="1"/>
    <col min="5895" max="5895" width="15.85546875" bestFit="1" customWidth="1"/>
    <col min="5896" max="5896" width="14" bestFit="1" customWidth="1"/>
    <col min="6148" max="6148" width="13" customWidth="1"/>
    <col min="6149" max="6149" width="14.42578125" customWidth="1"/>
    <col min="6150" max="6150" width="10.42578125" bestFit="1" customWidth="1"/>
    <col min="6151" max="6151" width="15.85546875" bestFit="1" customWidth="1"/>
    <col min="6152" max="6152" width="14" bestFit="1" customWidth="1"/>
    <col min="6404" max="6404" width="13" customWidth="1"/>
    <col min="6405" max="6405" width="14.42578125" customWidth="1"/>
    <col min="6406" max="6406" width="10.42578125" bestFit="1" customWidth="1"/>
    <col min="6407" max="6407" width="15.85546875" bestFit="1" customWidth="1"/>
    <col min="6408" max="6408" width="14" bestFit="1" customWidth="1"/>
    <col min="6660" max="6660" width="13" customWidth="1"/>
    <col min="6661" max="6661" width="14.42578125" customWidth="1"/>
    <col min="6662" max="6662" width="10.42578125" bestFit="1" customWidth="1"/>
    <col min="6663" max="6663" width="15.85546875" bestFit="1" customWidth="1"/>
    <col min="6664" max="6664" width="14" bestFit="1" customWidth="1"/>
    <col min="6916" max="6916" width="13" customWidth="1"/>
    <col min="6917" max="6917" width="14.42578125" customWidth="1"/>
    <col min="6918" max="6918" width="10.42578125" bestFit="1" customWidth="1"/>
    <col min="6919" max="6919" width="15.85546875" bestFit="1" customWidth="1"/>
    <col min="6920" max="6920" width="14" bestFit="1" customWidth="1"/>
    <col min="7172" max="7172" width="13" customWidth="1"/>
    <col min="7173" max="7173" width="14.42578125" customWidth="1"/>
    <col min="7174" max="7174" width="10.42578125" bestFit="1" customWidth="1"/>
    <col min="7175" max="7175" width="15.85546875" bestFit="1" customWidth="1"/>
    <col min="7176" max="7176" width="14" bestFit="1" customWidth="1"/>
    <col min="7428" max="7428" width="13" customWidth="1"/>
    <col min="7429" max="7429" width="14.42578125" customWidth="1"/>
    <col min="7430" max="7430" width="10.42578125" bestFit="1" customWidth="1"/>
    <col min="7431" max="7431" width="15.85546875" bestFit="1" customWidth="1"/>
    <col min="7432" max="7432" width="14" bestFit="1" customWidth="1"/>
    <col min="7684" max="7684" width="13" customWidth="1"/>
    <col min="7685" max="7685" width="14.42578125" customWidth="1"/>
    <col min="7686" max="7686" width="10.42578125" bestFit="1" customWidth="1"/>
    <col min="7687" max="7687" width="15.85546875" bestFit="1" customWidth="1"/>
    <col min="7688" max="7688" width="14" bestFit="1" customWidth="1"/>
    <col min="7940" max="7940" width="13" customWidth="1"/>
    <col min="7941" max="7941" width="14.42578125" customWidth="1"/>
    <col min="7942" max="7942" width="10.42578125" bestFit="1" customWidth="1"/>
    <col min="7943" max="7943" width="15.85546875" bestFit="1" customWidth="1"/>
    <col min="7944" max="7944" width="14" bestFit="1" customWidth="1"/>
    <col min="8196" max="8196" width="13" customWidth="1"/>
    <col min="8197" max="8197" width="14.42578125" customWidth="1"/>
    <col min="8198" max="8198" width="10.42578125" bestFit="1" customWidth="1"/>
    <col min="8199" max="8199" width="15.85546875" bestFit="1" customWidth="1"/>
    <col min="8200" max="8200" width="14" bestFit="1" customWidth="1"/>
    <col min="8452" max="8452" width="13" customWidth="1"/>
    <col min="8453" max="8453" width="14.42578125" customWidth="1"/>
    <col min="8454" max="8454" width="10.42578125" bestFit="1" customWidth="1"/>
    <col min="8455" max="8455" width="15.85546875" bestFit="1" customWidth="1"/>
    <col min="8456" max="8456" width="14" bestFit="1" customWidth="1"/>
    <col min="8708" max="8708" width="13" customWidth="1"/>
    <col min="8709" max="8709" width="14.42578125" customWidth="1"/>
    <col min="8710" max="8710" width="10.42578125" bestFit="1" customWidth="1"/>
    <col min="8711" max="8711" width="15.85546875" bestFit="1" customWidth="1"/>
    <col min="8712" max="8712" width="14" bestFit="1" customWidth="1"/>
    <col min="8964" max="8964" width="13" customWidth="1"/>
    <col min="8965" max="8965" width="14.42578125" customWidth="1"/>
    <col min="8966" max="8966" width="10.42578125" bestFit="1" customWidth="1"/>
    <col min="8967" max="8967" width="15.85546875" bestFit="1" customWidth="1"/>
    <col min="8968" max="8968" width="14" bestFit="1" customWidth="1"/>
    <col min="9220" max="9220" width="13" customWidth="1"/>
    <col min="9221" max="9221" width="14.42578125" customWidth="1"/>
    <col min="9222" max="9222" width="10.42578125" bestFit="1" customWidth="1"/>
    <col min="9223" max="9223" width="15.85546875" bestFit="1" customWidth="1"/>
    <col min="9224" max="9224" width="14" bestFit="1" customWidth="1"/>
    <col min="9476" max="9476" width="13" customWidth="1"/>
    <col min="9477" max="9477" width="14.42578125" customWidth="1"/>
    <col min="9478" max="9478" width="10.42578125" bestFit="1" customWidth="1"/>
    <col min="9479" max="9479" width="15.85546875" bestFit="1" customWidth="1"/>
    <col min="9480" max="9480" width="14" bestFit="1" customWidth="1"/>
    <col min="9732" max="9732" width="13" customWidth="1"/>
    <col min="9733" max="9733" width="14.42578125" customWidth="1"/>
    <col min="9734" max="9734" width="10.42578125" bestFit="1" customWidth="1"/>
    <col min="9735" max="9735" width="15.85546875" bestFit="1" customWidth="1"/>
    <col min="9736" max="9736" width="14" bestFit="1" customWidth="1"/>
    <col min="9988" max="9988" width="13" customWidth="1"/>
    <col min="9989" max="9989" width="14.42578125" customWidth="1"/>
    <col min="9990" max="9990" width="10.42578125" bestFit="1" customWidth="1"/>
    <col min="9991" max="9991" width="15.85546875" bestFit="1" customWidth="1"/>
    <col min="9992" max="9992" width="14" bestFit="1" customWidth="1"/>
    <col min="10244" max="10244" width="13" customWidth="1"/>
    <col min="10245" max="10245" width="14.42578125" customWidth="1"/>
    <col min="10246" max="10246" width="10.42578125" bestFit="1" customWidth="1"/>
    <col min="10247" max="10247" width="15.85546875" bestFit="1" customWidth="1"/>
    <col min="10248" max="10248" width="14" bestFit="1" customWidth="1"/>
    <col min="10500" max="10500" width="13" customWidth="1"/>
    <col min="10501" max="10501" width="14.42578125" customWidth="1"/>
    <col min="10502" max="10502" width="10.42578125" bestFit="1" customWidth="1"/>
    <col min="10503" max="10503" width="15.85546875" bestFit="1" customWidth="1"/>
    <col min="10504" max="10504" width="14" bestFit="1" customWidth="1"/>
    <col min="10756" max="10756" width="13" customWidth="1"/>
    <col min="10757" max="10757" width="14.42578125" customWidth="1"/>
    <col min="10758" max="10758" width="10.42578125" bestFit="1" customWidth="1"/>
    <col min="10759" max="10759" width="15.85546875" bestFit="1" customWidth="1"/>
    <col min="10760" max="10760" width="14" bestFit="1" customWidth="1"/>
    <col min="11012" max="11012" width="13" customWidth="1"/>
    <col min="11013" max="11013" width="14.42578125" customWidth="1"/>
    <col min="11014" max="11014" width="10.42578125" bestFit="1" customWidth="1"/>
    <col min="11015" max="11015" width="15.85546875" bestFit="1" customWidth="1"/>
    <col min="11016" max="11016" width="14" bestFit="1" customWidth="1"/>
    <col min="11268" max="11268" width="13" customWidth="1"/>
    <col min="11269" max="11269" width="14.42578125" customWidth="1"/>
    <col min="11270" max="11270" width="10.42578125" bestFit="1" customWidth="1"/>
    <col min="11271" max="11271" width="15.85546875" bestFit="1" customWidth="1"/>
    <col min="11272" max="11272" width="14" bestFit="1" customWidth="1"/>
    <col min="11524" max="11524" width="13" customWidth="1"/>
    <col min="11525" max="11525" width="14.42578125" customWidth="1"/>
    <col min="11526" max="11526" width="10.42578125" bestFit="1" customWidth="1"/>
    <col min="11527" max="11527" width="15.85546875" bestFit="1" customWidth="1"/>
    <col min="11528" max="11528" width="14" bestFit="1" customWidth="1"/>
    <col min="11780" max="11780" width="13" customWidth="1"/>
    <col min="11781" max="11781" width="14.42578125" customWidth="1"/>
    <col min="11782" max="11782" width="10.42578125" bestFit="1" customWidth="1"/>
    <col min="11783" max="11783" width="15.85546875" bestFit="1" customWidth="1"/>
    <col min="11784" max="11784" width="14" bestFit="1" customWidth="1"/>
    <col min="12036" max="12036" width="13" customWidth="1"/>
    <col min="12037" max="12037" width="14.42578125" customWidth="1"/>
    <col min="12038" max="12038" width="10.42578125" bestFit="1" customWidth="1"/>
    <col min="12039" max="12039" width="15.85546875" bestFit="1" customWidth="1"/>
    <col min="12040" max="12040" width="14" bestFit="1" customWidth="1"/>
    <col min="12292" max="12292" width="13" customWidth="1"/>
    <col min="12293" max="12293" width="14.42578125" customWidth="1"/>
    <col min="12294" max="12294" width="10.42578125" bestFit="1" customWidth="1"/>
    <col min="12295" max="12295" width="15.85546875" bestFit="1" customWidth="1"/>
    <col min="12296" max="12296" width="14" bestFit="1" customWidth="1"/>
    <col min="12548" max="12548" width="13" customWidth="1"/>
    <col min="12549" max="12549" width="14.42578125" customWidth="1"/>
    <col min="12550" max="12550" width="10.42578125" bestFit="1" customWidth="1"/>
    <col min="12551" max="12551" width="15.85546875" bestFit="1" customWidth="1"/>
    <col min="12552" max="12552" width="14" bestFit="1" customWidth="1"/>
    <col min="12804" max="12804" width="13" customWidth="1"/>
    <col min="12805" max="12805" width="14.42578125" customWidth="1"/>
    <col min="12806" max="12806" width="10.42578125" bestFit="1" customWidth="1"/>
    <col min="12807" max="12807" width="15.85546875" bestFit="1" customWidth="1"/>
    <col min="12808" max="12808" width="14" bestFit="1" customWidth="1"/>
    <col min="13060" max="13060" width="13" customWidth="1"/>
    <col min="13061" max="13061" width="14.42578125" customWidth="1"/>
    <col min="13062" max="13062" width="10.42578125" bestFit="1" customWidth="1"/>
    <col min="13063" max="13063" width="15.85546875" bestFit="1" customWidth="1"/>
    <col min="13064" max="13064" width="14" bestFit="1" customWidth="1"/>
    <col min="13316" max="13316" width="13" customWidth="1"/>
    <col min="13317" max="13317" width="14.42578125" customWidth="1"/>
    <col min="13318" max="13318" width="10.42578125" bestFit="1" customWidth="1"/>
    <col min="13319" max="13319" width="15.85546875" bestFit="1" customWidth="1"/>
    <col min="13320" max="13320" width="14" bestFit="1" customWidth="1"/>
    <col min="13572" max="13572" width="13" customWidth="1"/>
    <col min="13573" max="13573" width="14.42578125" customWidth="1"/>
    <col min="13574" max="13574" width="10.42578125" bestFit="1" customWidth="1"/>
    <col min="13575" max="13575" width="15.85546875" bestFit="1" customWidth="1"/>
    <col min="13576" max="13576" width="14" bestFit="1" customWidth="1"/>
    <col min="13828" max="13828" width="13" customWidth="1"/>
    <col min="13829" max="13829" width="14.42578125" customWidth="1"/>
    <col min="13830" max="13830" width="10.42578125" bestFit="1" customWidth="1"/>
    <col min="13831" max="13831" width="15.85546875" bestFit="1" customWidth="1"/>
    <col min="13832" max="13832" width="14" bestFit="1" customWidth="1"/>
    <col min="14084" max="14084" width="13" customWidth="1"/>
    <col min="14085" max="14085" width="14.42578125" customWidth="1"/>
    <col min="14086" max="14086" width="10.42578125" bestFit="1" customWidth="1"/>
    <col min="14087" max="14087" width="15.85546875" bestFit="1" customWidth="1"/>
    <col min="14088" max="14088" width="14" bestFit="1" customWidth="1"/>
    <col min="14340" max="14340" width="13" customWidth="1"/>
    <col min="14341" max="14341" width="14.42578125" customWidth="1"/>
    <col min="14342" max="14342" width="10.42578125" bestFit="1" customWidth="1"/>
    <col min="14343" max="14343" width="15.85546875" bestFit="1" customWidth="1"/>
    <col min="14344" max="14344" width="14" bestFit="1" customWidth="1"/>
    <col min="14596" max="14596" width="13" customWidth="1"/>
    <col min="14597" max="14597" width="14.42578125" customWidth="1"/>
    <col min="14598" max="14598" width="10.42578125" bestFit="1" customWidth="1"/>
    <col min="14599" max="14599" width="15.85546875" bestFit="1" customWidth="1"/>
    <col min="14600" max="14600" width="14" bestFit="1" customWidth="1"/>
    <col min="14852" max="14852" width="13" customWidth="1"/>
    <col min="14853" max="14853" width="14.42578125" customWidth="1"/>
    <col min="14854" max="14854" width="10.42578125" bestFit="1" customWidth="1"/>
    <col min="14855" max="14855" width="15.85546875" bestFit="1" customWidth="1"/>
    <col min="14856" max="14856" width="14" bestFit="1" customWidth="1"/>
    <col min="15108" max="15108" width="13" customWidth="1"/>
    <col min="15109" max="15109" width="14.42578125" customWidth="1"/>
    <col min="15110" max="15110" width="10.42578125" bestFit="1" customWidth="1"/>
    <col min="15111" max="15111" width="15.85546875" bestFit="1" customWidth="1"/>
    <col min="15112" max="15112" width="14" bestFit="1" customWidth="1"/>
    <col min="15364" max="15364" width="13" customWidth="1"/>
    <col min="15365" max="15365" width="14.42578125" customWidth="1"/>
    <col min="15366" max="15366" width="10.42578125" bestFit="1" customWidth="1"/>
    <col min="15367" max="15367" width="15.85546875" bestFit="1" customWidth="1"/>
    <col min="15368" max="15368" width="14" bestFit="1" customWidth="1"/>
    <col min="15620" max="15620" width="13" customWidth="1"/>
    <col min="15621" max="15621" width="14.42578125" customWidth="1"/>
    <col min="15622" max="15622" width="10.42578125" bestFit="1" customWidth="1"/>
    <col min="15623" max="15623" width="15.85546875" bestFit="1" customWidth="1"/>
    <col min="15624" max="15624" width="14" bestFit="1" customWidth="1"/>
    <col min="15876" max="15876" width="13" customWidth="1"/>
    <col min="15877" max="15877" width="14.42578125" customWidth="1"/>
    <col min="15878" max="15878" width="10.42578125" bestFit="1" customWidth="1"/>
    <col min="15879" max="15879" width="15.85546875" bestFit="1" customWidth="1"/>
    <col min="15880" max="15880" width="14" bestFit="1" customWidth="1"/>
    <col min="16132" max="16132" width="13" customWidth="1"/>
    <col min="16133" max="16133" width="14.42578125" customWidth="1"/>
    <col min="16134" max="16134" width="10.42578125" bestFit="1" customWidth="1"/>
    <col min="16135" max="16135" width="15.85546875" bestFit="1" customWidth="1"/>
    <col min="16136" max="16136" width="14" bestFit="1" customWidth="1"/>
  </cols>
  <sheetData>
    <row r="2" spans="1:8" ht="18.75" x14ac:dyDescent="0.3">
      <c r="D2" s="898" t="s">
        <v>727</v>
      </c>
      <c r="E2" s="898"/>
      <c r="F2" s="898"/>
      <c r="G2" s="898"/>
      <c r="H2" s="898"/>
    </row>
    <row r="3" spans="1:8" ht="15.75" thickBot="1" x14ac:dyDescent="0.3">
      <c r="H3" t="s">
        <v>816</v>
      </c>
    </row>
    <row r="4" spans="1:8" ht="15.75" thickBot="1" x14ac:dyDescent="0.3">
      <c r="A4" s="856" t="s">
        <v>7</v>
      </c>
      <c r="B4" s="857"/>
      <c r="C4" s="857"/>
      <c r="D4" s="857"/>
      <c r="E4" s="858"/>
      <c r="F4" s="366" t="s">
        <v>316</v>
      </c>
      <c r="G4" s="366" t="s">
        <v>317</v>
      </c>
      <c r="H4" s="367" t="s">
        <v>189</v>
      </c>
    </row>
    <row r="5" spans="1:8" ht="15.75" thickBot="1" x14ac:dyDescent="0.3">
      <c r="A5" s="859" t="s">
        <v>318</v>
      </c>
      <c r="B5" s="860"/>
      <c r="C5" s="860"/>
      <c r="D5" s="860"/>
      <c r="E5" s="861"/>
      <c r="F5" s="167">
        <f>9831498+1425060+4687030</f>
        <v>15943588</v>
      </c>
      <c r="G5" s="167">
        <v>0</v>
      </c>
      <c r="H5" s="167">
        <f>G5+F5</f>
        <v>15943588</v>
      </c>
    </row>
    <row r="6" spans="1:8" ht="15.75" thickBot="1" x14ac:dyDescent="0.3">
      <c r="A6" s="859" t="s">
        <v>319</v>
      </c>
      <c r="B6" s="860"/>
      <c r="C6" s="860"/>
      <c r="D6" s="860"/>
      <c r="E6" s="861"/>
      <c r="F6" s="167">
        <f>400000+200000</f>
        <v>600000</v>
      </c>
      <c r="G6" s="167">
        <v>0</v>
      </c>
      <c r="H6" s="167">
        <f>G6+F6</f>
        <v>600000</v>
      </c>
    </row>
    <row r="7" spans="1:8" ht="15.75" thickBot="1" x14ac:dyDescent="0.3">
      <c r="A7" s="859" t="s">
        <v>320</v>
      </c>
      <c r="B7" s="860"/>
      <c r="C7" s="860"/>
      <c r="D7" s="860"/>
      <c r="E7" s="861"/>
      <c r="F7" s="167">
        <f>384000+192000</f>
        <v>576000</v>
      </c>
      <c r="G7" s="167">
        <v>0</v>
      </c>
      <c r="H7" s="167">
        <f>G7+F7</f>
        <v>576000</v>
      </c>
    </row>
    <row r="8" spans="1:8" ht="15.75" thickBot="1" x14ac:dyDescent="0.3">
      <c r="A8" s="859" t="s">
        <v>321</v>
      </c>
      <c r="B8" s="860"/>
      <c r="C8" s="860"/>
      <c r="D8" s="860"/>
      <c r="E8" s="861"/>
      <c r="F8" s="167">
        <v>197100</v>
      </c>
      <c r="G8" s="167"/>
      <c r="H8" s="167">
        <f>G8+F8</f>
        <v>197100</v>
      </c>
    </row>
    <row r="9" spans="1:8" ht="15.75" thickBot="1" x14ac:dyDescent="0.3">
      <c r="A9" s="862" t="s">
        <v>678</v>
      </c>
      <c r="B9" s="863"/>
      <c r="C9" s="863"/>
      <c r="D9" s="863"/>
      <c r="E9" s="864"/>
      <c r="F9" s="167">
        <f>80000+40000</f>
        <v>120000</v>
      </c>
      <c r="G9" s="167">
        <v>0</v>
      </c>
      <c r="H9" s="167">
        <f>G9+F9</f>
        <v>120000</v>
      </c>
    </row>
    <row r="10" spans="1:8" s="369" customFormat="1" ht="19.5" thickBot="1" x14ac:dyDescent="0.35">
      <c r="A10" s="899" t="s">
        <v>327</v>
      </c>
      <c r="B10" s="900"/>
      <c r="C10" s="900"/>
      <c r="D10" s="900"/>
      <c r="E10" s="901"/>
      <c r="F10" s="167">
        <f>SUM(F5:F9)</f>
        <v>17436688</v>
      </c>
      <c r="G10" s="167">
        <f>SUM(G5:G9)</f>
        <v>0</v>
      </c>
      <c r="H10" s="167">
        <f>SUM(H5:H9)</f>
        <v>17436688</v>
      </c>
    </row>
    <row r="11" spans="1:8" s="365" customFormat="1" ht="39" customHeight="1" thickBot="1" x14ac:dyDescent="0.3">
      <c r="A11" s="874" t="s">
        <v>328</v>
      </c>
      <c r="B11" s="875"/>
      <c r="C11" s="875"/>
      <c r="D11" s="875"/>
      <c r="E11" s="876"/>
      <c r="F11" s="368">
        <f>2459543+1027011</f>
        <v>3486554</v>
      </c>
      <c r="G11" s="368">
        <v>0</v>
      </c>
      <c r="H11" s="371">
        <f>F11+G11</f>
        <v>3486554</v>
      </c>
    </row>
    <row r="12" spans="1:8" s="372" customFormat="1" ht="37.5" customHeight="1" thickBot="1" x14ac:dyDescent="0.3">
      <c r="A12" s="874" t="s">
        <v>680</v>
      </c>
      <c r="B12" s="875"/>
      <c r="C12" s="875"/>
      <c r="D12" s="875"/>
      <c r="E12" s="876"/>
      <c r="F12" s="371">
        <f>F10+F11</f>
        <v>20923242</v>
      </c>
      <c r="G12" s="371"/>
      <c r="H12" s="371">
        <f>F12+G12</f>
        <v>20923242</v>
      </c>
    </row>
    <row r="13" spans="1:8" ht="15.75" thickBot="1" x14ac:dyDescent="0.3">
      <c r="A13" s="859" t="s">
        <v>329</v>
      </c>
      <c r="B13" s="860"/>
      <c r="C13" s="860"/>
      <c r="D13" s="860"/>
      <c r="E13" s="861"/>
      <c r="F13" s="167">
        <v>94000</v>
      </c>
      <c r="G13" s="167">
        <f>F13*5%</f>
        <v>4700</v>
      </c>
      <c r="H13" s="167">
        <f>F13+G13</f>
        <v>98700</v>
      </c>
    </row>
    <row r="14" spans="1:8" ht="15.75" thickBot="1" x14ac:dyDescent="0.3">
      <c r="A14" s="865" t="s">
        <v>330</v>
      </c>
      <c r="B14" s="866"/>
      <c r="C14" s="866"/>
      <c r="D14" s="866"/>
      <c r="E14" s="867"/>
      <c r="F14" s="167">
        <v>500000</v>
      </c>
      <c r="G14" s="167">
        <f>F14*27%</f>
        <v>135000</v>
      </c>
      <c r="H14" s="167">
        <f>F14+G14</f>
        <v>635000</v>
      </c>
    </row>
    <row r="15" spans="1:8" ht="15.75" thickBot="1" x14ac:dyDescent="0.3">
      <c r="A15" s="880" t="s">
        <v>331</v>
      </c>
      <c r="B15" s="881"/>
      <c r="C15" s="881"/>
      <c r="D15" s="881"/>
      <c r="E15" s="882"/>
      <c r="F15" s="368">
        <f>F14+F13</f>
        <v>594000</v>
      </c>
      <c r="G15" s="368">
        <f>G14+G13</f>
        <v>139700</v>
      </c>
      <c r="H15" s="368">
        <f>H14+H13</f>
        <v>733700</v>
      </c>
    </row>
    <row r="16" spans="1:8" ht="15.75" thickBot="1" x14ac:dyDescent="0.3">
      <c r="A16" s="886" t="s">
        <v>332</v>
      </c>
      <c r="B16" s="887"/>
      <c r="C16" s="887"/>
      <c r="D16" s="887"/>
      <c r="E16" s="888"/>
      <c r="F16" s="370">
        <v>50000</v>
      </c>
      <c r="G16" s="370">
        <f t="shared" ref="G16:G22" si="0">F16*27%</f>
        <v>13500</v>
      </c>
      <c r="H16" s="370">
        <f t="shared" ref="H16:H22" si="1">F16+G16</f>
        <v>63500</v>
      </c>
    </row>
    <row r="17" spans="1:8" ht="15.75" thickBot="1" x14ac:dyDescent="0.3">
      <c r="A17" s="886" t="s">
        <v>333</v>
      </c>
      <c r="B17" s="887"/>
      <c r="C17" s="887"/>
      <c r="D17" s="887"/>
      <c r="E17" s="888"/>
      <c r="F17" s="370">
        <v>50000</v>
      </c>
      <c r="G17" s="370">
        <f t="shared" si="0"/>
        <v>13500</v>
      </c>
      <c r="H17" s="370">
        <f t="shared" si="1"/>
        <v>63500</v>
      </c>
    </row>
    <row r="18" spans="1:8" ht="15.75" thickBot="1" x14ac:dyDescent="0.3">
      <c r="A18" s="868" t="s">
        <v>728</v>
      </c>
      <c r="B18" s="869"/>
      <c r="C18" s="869"/>
      <c r="D18" s="869"/>
      <c r="E18" s="870"/>
      <c r="F18" s="370">
        <v>140000</v>
      </c>
      <c r="G18" s="370">
        <v>0</v>
      </c>
      <c r="H18" s="370">
        <f t="shared" si="1"/>
        <v>140000</v>
      </c>
    </row>
    <row r="19" spans="1:8" ht="15.75" thickBot="1" x14ac:dyDescent="0.3">
      <c r="A19" s="886" t="s">
        <v>729</v>
      </c>
      <c r="B19" s="887"/>
      <c r="C19" s="887"/>
      <c r="D19" s="887"/>
      <c r="E19" s="888"/>
      <c r="F19" s="370">
        <v>100000</v>
      </c>
      <c r="G19" s="370">
        <f t="shared" si="0"/>
        <v>27000</v>
      </c>
      <c r="H19" s="370">
        <f t="shared" si="1"/>
        <v>127000</v>
      </c>
    </row>
    <row r="20" spans="1:8" ht="15.75" thickBot="1" x14ac:dyDescent="0.3">
      <c r="A20" s="868" t="s">
        <v>334</v>
      </c>
      <c r="B20" s="869"/>
      <c r="C20" s="869"/>
      <c r="D20" s="869"/>
      <c r="E20" s="870"/>
      <c r="F20" s="370">
        <v>200000</v>
      </c>
      <c r="G20" s="370">
        <f t="shared" si="0"/>
        <v>54000</v>
      </c>
      <c r="H20" s="370">
        <f t="shared" si="1"/>
        <v>254000</v>
      </c>
    </row>
    <row r="21" spans="1:8" ht="17.25" customHeight="1" thickBot="1" x14ac:dyDescent="0.3">
      <c r="A21" s="889" t="s">
        <v>692</v>
      </c>
      <c r="B21" s="890"/>
      <c r="C21" s="890"/>
      <c r="D21" s="890"/>
      <c r="E21" s="891"/>
      <c r="F21" s="370">
        <v>400000</v>
      </c>
      <c r="G21" s="370">
        <f t="shared" si="0"/>
        <v>108000</v>
      </c>
      <c r="H21" s="370">
        <f t="shared" si="1"/>
        <v>508000</v>
      </c>
    </row>
    <row r="22" spans="1:8" ht="15.75" thickBot="1" x14ac:dyDescent="0.3">
      <c r="A22" s="868" t="s">
        <v>335</v>
      </c>
      <c r="B22" s="869"/>
      <c r="C22" s="869"/>
      <c r="D22" s="869"/>
      <c r="E22" s="870"/>
      <c r="F22" s="370">
        <v>100000</v>
      </c>
      <c r="G22" s="370">
        <f t="shared" si="0"/>
        <v>27000</v>
      </c>
      <c r="H22" s="370">
        <f t="shared" si="1"/>
        <v>127000</v>
      </c>
    </row>
    <row r="23" spans="1:8" s="365" customFormat="1" ht="15.75" thickBot="1" x14ac:dyDescent="0.3">
      <c r="A23" s="880" t="s">
        <v>337</v>
      </c>
      <c r="B23" s="881"/>
      <c r="C23" s="881"/>
      <c r="D23" s="881"/>
      <c r="E23" s="882"/>
      <c r="F23" s="368">
        <f>F16+F17+F20+F21+F22+F19+F18</f>
        <v>1040000</v>
      </c>
      <c r="G23" s="368">
        <f t="shared" ref="G23:H23" si="2">G16+G17+G20+G21+G22+G19+G18</f>
        <v>243000</v>
      </c>
      <c r="H23" s="368">
        <f t="shared" si="2"/>
        <v>1283000</v>
      </c>
    </row>
    <row r="24" spans="1:8" s="365" customFormat="1" ht="15.75" thickBot="1" x14ac:dyDescent="0.3">
      <c r="A24" s="880" t="s">
        <v>338</v>
      </c>
      <c r="B24" s="881"/>
      <c r="C24" s="881"/>
      <c r="D24" s="881"/>
      <c r="E24" s="882"/>
      <c r="F24" s="368">
        <f>F15+F23</f>
        <v>1634000</v>
      </c>
      <c r="G24" s="368">
        <f t="shared" ref="G24:H24" si="3">G15+G23</f>
        <v>382700</v>
      </c>
      <c r="H24" s="368">
        <f t="shared" si="3"/>
        <v>2016700</v>
      </c>
    </row>
    <row r="25" spans="1:8" s="365" customFormat="1" ht="15.75" thickBot="1" x14ac:dyDescent="0.3">
      <c r="A25" s="886" t="s">
        <v>339</v>
      </c>
      <c r="B25" s="887"/>
      <c r="C25" s="887"/>
      <c r="D25" s="887"/>
      <c r="E25" s="888"/>
      <c r="F25" s="370">
        <v>75000</v>
      </c>
      <c r="G25" s="370">
        <f>F25*5%</f>
        <v>3750</v>
      </c>
      <c r="H25" s="370">
        <f>F25+G25</f>
        <v>78750</v>
      </c>
    </row>
    <row r="26" spans="1:8" s="365" customFormat="1" ht="15.75" thickBot="1" x14ac:dyDescent="0.3">
      <c r="A26" s="880" t="s">
        <v>340</v>
      </c>
      <c r="B26" s="881"/>
      <c r="C26" s="881"/>
      <c r="D26" s="881"/>
      <c r="E26" s="882"/>
      <c r="F26" s="368">
        <f>F25</f>
        <v>75000</v>
      </c>
      <c r="G26" s="368">
        <f>G25</f>
        <v>3750</v>
      </c>
      <c r="H26" s="368">
        <f>H25</f>
        <v>78750</v>
      </c>
    </row>
    <row r="27" spans="1:8" ht="15.75" thickBot="1" x14ac:dyDescent="0.3">
      <c r="A27" s="886" t="s">
        <v>341</v>
      </c>
      <c r="B27" s="887"/>
      <c r="C27" s="887"/>
      <c r="D27" s="887"/>
      <c r="E27" s="888"/>
      <c r="F27" s="370">
        <v>120000</v>
      </c>
      <c r="G27" s="370">
        <f>F27*27%</f>
        <v>32400.000000000004</v>
      </c>
      <c r="H27" s="370">
        <f>F27+G27</f>
        <v>152400</v>
      </c>
    </row>
    <row r="28" spans="1:8" s="365" customFormat="1" ht="15.75" thickBot="1" x14ac:dyDescent="0.3">
      <c r="A28" s="880" t="s">
        <v>342</v>
      </c>
      <c r="B28" s="881"/>
      <c r="C28" s="881"/>
      <c r="D28" s="881"/>
      <c r="E28" s="882"/>
      <c r="F28" s="368">
        <f>F27</f>
        <v>120000</v>
      </c>
      <c r="G28" s="368">
        <f>G27</f>
        <v>32400.000000000004</v>
      </c>
      <c r="H28" s="368">
        <f>H27</f>
        <v>152400</v>
      </c>
    </row>
    <row r="29" spans="1:8" s="365" customFormat="1" ht="15.75" thickBot="1" x14ac:dyDescent="0.3">
      <c r="A29" s="880" t="s">
        <v>343</v>
      </c>
      <c r="B29" s="881"/>
      <c r="C29" s="881"/>
      <c r="D29" s="881"/>
      <c r="E29" s="882"/>
      <c r="F29" s="368">
        <f>F28+F26</f>
        <v>195000</v>
      </c>
      <c r="G29" s="368">
        <f>G28+G26</f>
        <v>36150</v>
      </c>
      <c r="H29" s="368">
        <f>H28+H26</f>
        <v>231150</v>
      </c>
    </row>
    <row r="30" spans="1:8" s="365" customFormat="1" ht="15.75" thickBot="1" x14ac:dyDescent="0.3">
      <c r="A30" s="902" t="s">
        <v>344</v>
      </c>
      <c r="B30" s="903"/>
      <c r="C30" s="903"/>
      <c r="D30" s="903"/>
      <c r="E30" s="904"/>
      <c r="F30" s="576">
        <v>1500000</v>
      </c>
      <c r="G30" s="576">
        <f>F30*27%</f>
        <v>405000</v>
      </c>
      <c r="H30" s="576">
        <f>F30+G30</f>
        <v>1905000</v>
      </c>
    </row>
    <row r="31" spans="1:8" ht="15.75" thickBot="1" x14ac:dyDescent="0.3">
      <c r="A31" s="868" t="s">
        <v>345</v>
      </c>
      <c r="B31" s="869"/>
      <c r="C31" s="869"/>
      <c r="D31" s="869"/>
      <c r="E31" s="870"/>
      <c r="F31" s="370">
        <v>100000</v>
      </c>
      <c r="G31" s="370">
        <f>F31*27%</f>
        <v>27000</v>
      </c>
      <c r="H31" s="370">
        <f>F31+G31</f>
        <v>127000</v>
      </c>
    </row>
    <row r="32" spans="1:8" ht="15.75" thickBot="1" x14ac:dyDescent="0.3">
      <c r="A32" s="868" t="s">
        <v>346</v>
      </c>
      <c r="B32" s="869"/>
      <c r="C32" s="869"/>
      <c r="D32" s="869"/>
      <c r="E32" s="870"/>
      <c r="F32" s="370">
        <v>60000</v>
      </c>
      <c r="G32" s="370">
        <f>F32*27%</f>
        <v>16200.000000000002</v>
      </c>
      <c r="H32" s="370">
        <f>F32+G32</f>
        <v>76200</v>
      </c>
    </row>
    <row r="33" spans="1:8" ht="15.75" thickBot="1" x14ac:dyDescent="0.3">
      <c r="A33" s="868" t="s">
        <v>730</v>
      </c>
      <c r="B33" s="869"/>
      <c r="C33" s="869"/>
      <c r="D33" s="869"/>
      <c r="E33" s="870"/>
      <c r="F33" s="370">
        <v>121900</v>
      </c>
      <c r="G33" s="370">
        <v>0</v>
      </c>
      <c r="H33" s="370">
        <f>F33+G33</f>
        <v>121900</v>
      </c>
    </row>
    <row r="34" spans="1:8" s="365" customFormat="1" ht="15.75" thickBot="1" x14ac:dyDescent="0.3">
      <c r="A34" s="856" t="s">
        <v>347</v>
      </c>
      <c r="B34" s="857"/>
      <c r="C34" s="857"/>
      <c r="D34" s="857"/>
      <c r="E34" s="858"/>
      <c r="F34" s="368">
        <f>F32+F33</f>
        <v>181900</v>
      </c>
      <c r="G34" s="368">
        <f t="shared" ref="G34:H34" si="4">G32+G33</f>
        <v>16200.000000000002</v>
      </c>
      <c r="H34" s="368">
        <f t="shared" si="4"/>
        <v>198100</v>
      </c>
    </row>
    <row r="35" spans="1:8" ht="15.75" thickBot="1" x14ac:dyDescent="0.3">
      <c r="A35" s="868" t="s">
        <v>703</v>
      </c>
      <c r="B35" s="869"/>
      <c r="C35" s="869"/>
      <c r="D35" s="869"/>
      <c r="E35" s="870"/>
      <c r="F35" s="370">
        <v>20000</v>
      </c>
      <c r="G35" s="370">
        <f>F35*27%</f>
        <v>5400</v>
      </c>
      <c r="H35" s="370">
        <f>F35+G35</f>
        <v>25400</v>
      </c>
    </row>
    <row r="36" spans="1:8" ht="15.75" thickBot="1" x14ac:dyDescent="0.3">
      <c r="A36" s="868" t="s">
        <v>702</v>
      </c>
      <c r="B36" s="869"/>
      <c r="C36" s="869"/>
      <c r="D36" s="869"/>
      <c r="E36" s="870"/>
      <c r="F36" s="370">
        <v>30000</v>
      </c>
      <c r="G36" s="370">
        <f>F36*27%</f>
        <v>8100.0000000000009</v>
      </c>
      <c r="H36" s="370">
        <f>F36+G36</f>
        <v>38100</v>
      </c>
    </row>
    <row r="37" spans="1:8" ht="15.75" thickBot="1" x14ac:dyDescent="0.3">
      <c r="A37" s="868" t="s">
        <v>731</v>
      </c>
      <c r="B37" s="869"/>
      <c r="C37" s="869"/>
      <c r="D37" s="869"/>
      <c r="E37" s="870"/>
      <c r="F37" s="370">
        <v>60000</v>
      </c>
      <c r="G37" s="370">
        <f>F37*27%</f>
        <v>16200.000000000002</v>
      </c>
      <c r="H37" s="370">
        <f>F37+G37</f>
        <v>76200</v>
      </c>
    </row>
    <row r="38" spans="1:8" ht="15.75" thickBot="1" x14ac:dyDescent="0.3">
      <c r="A38" s="868" t="s">
        <v>732</v>
      </c>
      <c r="B38" s="869"/>
      <c r="C38" s="869"/>
      <c r="D38" s="869"/>
      <c r="E38" s="870"/>
      <c r="F38" s="370">
        <v>100000</v>
      </c>
      <c r="G38" s="370">
        <v>0</v>
      </c>
      <c r="H38" s="370">
        <v>100000</v>
      </c>
    </row>
    <row r="39" spans="1:8" s="365" customFormat="1" ht="15.75" thickBot="1" x14ac:dyDescent="0.3">
      <c r="A39" s="856" t="s">
        <v>353</v>
      </c>
      <c r="B39" s="857"/>
      <c r="C39" s="857"/>
      <c r="D39" s="857"/>
      <c r="E39" s="858"/>
      <c r="F39" s="368">
        <f>F35+F36+F37+F38</f>
        <v>210000</v>
      </c>
      <c r="G39" s="368">
        <f t="shared" ref="G39:H39" si="5">G35+G36+G37+G38</f>
        <v>29700</v>
      </c>
      <c r="H39" s="368">
        <f t="shared" si="5"/>
        <v>239700</v>
      </c>
    </row>
    <row r="40" spans="1:8" s="365" customFormat="1" ht="15.75" thickBot="1" x14ac:dyDescent="0.3">
      <c r="A40" s="856" t="s">
        <v>354</v>
      </c>
      <c r="B40" s="857"/>
      <c r="C40" s="857"/>
      <c r="D40" s="857"/>
      <c r="E40" s="858"/>
      <c r="F40" s="368">
        <f>F39+F34+F31+F30</f>
        <v>1991900</v>
      </c>
      <c r="G40" s="368">
        <f t="shared" ref="G40:H40" si="6">G39+G34+G31+G30</f>
        <v>477900</v>
      </c>
      <c r="H40" s="368">
        <f t="shared" si="6"/>
        <v>2469800</v>
      </c>
    </row>
    <row r="41" spans="1:8" ht="15.75" thickBot="1" x14ac:dyDescent="0.3">
      <c r="A41" s="868" t="s">
        <v>355</v>
      </c>
      <c r="B41" s="869"/>
      <c r="C41" s="869"/>
      <c r="D41" s="869"/>
      <c r="E41" s="870"/>
      <c r="F41" s="370">
        <v>70000</v>
      </c>
      <c r="G41" s="370">
        <v>0</v>
      </c>
      <c r="H41" s="167">
        <f>F41+G41</f>
        <v>70000</v>
      </c>
    </row>
    <row r="42" spans="1:8" s="365" customFormat="1" ht="15.75" thickBot="1" x14ac:dyDescent="0.3">
      <c r="A42" s="856" t="s">
        <v>357</v>
      </c>
      <c r="B42" s="857"/>
      <c r="C42" s="857"/>
      <c r="D42" s="857"/>
      <c r="E42" s="858"/>
      <c r="F42" s="368">
        <f>F41</f>
        <v>70000</v>
      </c>
      <c r="G42" s="368">
        <f>G41</f>
        <v>0</v>
      </c>
      <c r="H42" s="368">
        <f>H41</f>
        <v>70000</v>
      </c>
    </row>
    <row r="43" spans="1:8" ht="15.75" thickBot="1" x14ac:dyDescent="0.3">
      <c r="A43" s="868" t="s">
        <v>358</v>
      </c>
      <c r="B43" s="869"/>
      <c r="C43" s="869"/>
      <c r="D43" s="869"/>
      <c r="E43" s="870"/>
      <c r="F43" s="370">
        <v>0</v>
      </c>
      <c r="G43" s="370">
        <f>G40+G29+G24</f>
        <v>896750</v>
      </c>
      <c r="H43" s="370">
        <f>G43</f>
        <v>896750</v>
      </c>
    </row>
    <row r="44" spans="1:8" ht="15.75" thickBot="1" x14ac:dyDescent="0.3">
      <c r="A44" s="868" t="s">
        <v>361</v>
      </c>
      <c r="B44" s="869"/>
      <c r="C44" s="869"/>
      <c r="D44" s="869"/>
      <c r="E44" s="870"/>
      <c r="F44" s="370">
        <v>20000</v>
      </c>
      <c r="G44" s="370">
        <v>0</v>
      </c>
      <c r="H44" s="370">
        <f>F44+G44</f>
        <v>20000</v>
      </c>
    </row>
    <row r="45" spans="1:8" s="365" customFormat="1" ht="15.75" thickBot="1" x14ac:dyDescent="0.3">
      <c r="A45" s="856" t="s">
        <v>359</v>
      </c>
      <c r="B45" s="857"/>
      <c r="C45" s="857"/>
      <c r="D45" s="857"/>
      <c r="E45" s="858"/>
      <c r="F45" s="368">
        <f>F43+F44</f>
        <v>20000</v>
      </c>
      <c r="G45" s="368">
        <f>G43</f>
        <v>896750</v>
      </c>
      <c r="H45" s="368">
        <f>H43+H44</f>
        <v>916750</v>
      </c>
    </row>
    <row r="46" spans="1:8" s="365" customFormat="1" ht="15.75" thickBot="1" x14ac:dyDescent="0.3">
      <c r="A46" s="856" t="s">
        <v>360</v>
      </c>
      <c r="B46" s="857"/>
      <c r="C46" s="857"/>
      <c r="D46" s="857"/>
      <c r="E46" s="858"/>
      <c r="F46" s="368">
        <f>F45+F42+F40+F29+F24</f>
        <v>3910900</v>
      </c>
      <c r="G46" s="368">
        <f>G45</f>
        <v>896750</v>
      </c>
      <c r="H46" s="368">
        <f>F46+G46</f>
        <v>4807650</v>
      </c>
    </row>
    <row r="47" spans="1:8" s="369" customFormat="1" ht="15.75" thickBot="1" x14ac:dyDescent="0.3">
      <c r="A47" s="865" t="s">
        <v>157</v>
      </c>
      <c r="B47" s="866"/>
      <c r="C47" s="866"/>
      <c r="D47" s="866"/>
      <c r="E47" s="867"/>
      <c r="F47" s="167">
        <v>50000</v>
      </c>
      <c r="G47" s="167">
        <f>F47*5%</f>
        <v>2500</v>
      </c>
      <c r="H47" s="167">
        <f>F47+G47</f>
        <v>52500</v>
      </c>
    </row>
    <row r="48" spans="1:8" s="369" customFormat="1" ht="15.75" thickBot="1" x14ac:dyDescent="0.3">
      <c r="A48" s="865" t="s">
        <v>715</v>
      </c>
      <c r="B48" s="866"/>
      <c r="C48" s="866"/>
      <c r="D48" s="866"/>
      <c r="E48" s="867"/>
      <c r="F48" s="167">
        <v>80000</v>
      </c>
      <c r="G48" s="167">
        <f t="shared" ref="G48:G57" si="7">F48*27%</f>
        <v>21600</v>
      </c>
      <c r="H48" s="167">
        <f t="shared" ref="H48:H59" si="8">F48+G48</f>
        <v>101600</v>
      </c>
    </row>
    <row r="49" spans="1:8" s="369" customFormat="1" ht="15.75" thickBot="1" x14ac:dyDescent="0.3">
      <c r="A49" s="865" t="s">
        <v>158</v>
      </c>
      <c r="B49" s="866"/>
      <c r="C49" s="866"/>
      <c r="D49" s="866"/>
      <c r="E49" s="867"/>
      <c r="F49" s="167">
        <v>20000</v>
      </c>
      <c r="G49" s="167">
        <f t="shared" si="7"/>
        <v>5400</v>
      </c>
      <c r="H49" s="167">
        <f t="shared" si="8"/>
        <v>25400</v>
      </c>
    </row>
    <row r="50" spans="1:8" s="369" customFormat="1" ht="15.75" thickBot="1" x14ac:dyDescent="0.3">
      <c r="A50" s="865" t="s">
        <v>159</v>
      </c>
      <c r="B50" s="866"/>
      <c r="C50" s="866"/>
      <c r="D50" s="866"/>
      <c r="E50" s="867"/>
      <c r="F50" s="167">
        <v>15000</v>
      </c>
      <c r="G50" s="167">
        <f t="shared" si="7"/>
        <v>4050.0000000000005</v>
      </c>
      <c r="H50" s="167">
        <f t="shared" si="8"/>
        <v>19050</v>
      </c>
    </row>
    <row r="51" spans="1:8" s="369" customFormat="1" ht="15.75" thickBot="1" x14ac:dyDescent="0.3">
      <c r="A51" s="865" t="s">
        <v>160</v>
      </c>
      <c r="B51" s="866"/>
      <c r="C51" s="866"/>
      <c r="D51" s="866"/>
      <c r="E51" s="867"/>
      <c r="F51" s="167">
        <v>40000</v>
      </c>
      <c r="G51" s="167">
        <f t="shared" si="7"/>
        <v>10800</v>
      </c>
      <c r="H51" s="167">
        <f t="shared" si="8"/>
        <v>50800</v>
      </c>
    </row>
    <row r="52" spans="1:8" s="369" customFormat="1" ht="15.75" thickBot="1" x14ac:dyDescent="0.3">
      <c r="A52" s="865" t="s">
        <v>716</v>
      </c>
      <c r="B52" s="866"/>
      <c r="C52" s="866"/>
      <c r="D52" s="866"/>
      <c r="E52" s="867"/>
      <c r="F52" s="167">
        <v>100000</v>
      </c>
      <c r="G52" s="167">
        <f>F52*27%</f>
        <v>27000</v>
      </c>
      <c r="H52" s="167">
        <f t="shared" si="8"/>
        <v>127000</v>
      </c>
    </row>
    <row r="53" spans="1:8" s="369" customFormat="1" ht="15.75" thickBot="1" x14ac:dyDescent="0.3">
      <c r="A53" s="865" t="s">
        <v>161</v>
      </c>
      <c r="B53" s="866"/>
      <c r="C53" s="866"/>
      <c r="D53" s="866"/>
      <c r="E53" s="867"/>
      <c r="F53" s="167">
        <v>25000</v>
      </c>
      <c r="G53" s="167">
        <f t="shared" si="7"/>
        <v>6750</v>
      </c>
      <c r="H53" s="167">
        <f t="shared" si="8"/>
        <v>31750</v>
      </c>
    </row>
    <row r="54" spans="1:8" s="369" customFormat="1" ht="15.75" thickBot="1" x14ac:dyDescent="0.3">
      <c r="A54" s="865" t="s">
        <v>162</v>
      </c>
      <c r="B54" s="866"/>
      <c r="C54" s="866"/>
      <c r="D54" s="866"/>
      <c r="E54" s="867"/>
      <c r="F54" s="167">
        <v>30000</v>
      </c>
      <c r="G54" s="167">
        <f>F54*27%</f>
        <v>8100.0000000000009</v>
      </c>
      <c r="H54" s="167">
        <f t="shared" si="8"/>
        <v>38100</v>
      </c>
    </row>
    <row r="55" spans="1:8" s="369" customFormat="1" ht="15.75" thickBot="1" x14ac:dyDescent="0.3">
      <c r="A55" s="865" t="s">
        <v>163</v>
      </c>
      <c r="B55" s="866"/>
      <c r="C55" s="866"/>
      <c r="D55" s="866"/>
      <c r="E55" s="867"/>
      <c r="F55" s="167">
        <v>90000</v>
      </c>
      <c r="G55" s="167">
        <f t="shared" si="7"/>
        <v>24300</v>
      </c>
      <c r="H55" s="167">
        <f t="shared" si="8"/>
        <v>114300</v>
      </c>
    </row>
    <row r="56" spans="1:8" s="369" customFormat="1" ht="15.75" thickBot="1" x14ac:dyDescent="0.3">
      <c r="A56" s="865" t="s">
        <v>164</v>
      </c>
      <c r="B56" s="866"/>
      <c r="C56" s="866"/>
      <c r="D56" s="866"/>
      <c r="E56" s="867"/>
      <c r="F56" s="167">
        <v>140000</v>
      </c>
      <c r="G56" s="167">
        <f>F56*27%</f>
        <v>37800</v>
      </c>
      <c r="H56" s="167">
        <f t="shared" si="8"/>
        <v>177800</v>
      </c>
    </row>
    <row r="57" spans="1:8" s="369" customFormat="1" ht="15.75" thickBot="1" x14ac:dyDescent="0.3">
      <c r="A57" s="865" t="s">
        <v>165</v>
      </c>
      <c r="B57" s="866"/>
      <c r="C57" s="866"/>
      <c r="D57" s="866"/>
      <c r="E57" s="867"/>
      <c r="F57" s="167">
        <v>120000</v>
      </c>
      <c r="G57" s="167">
        <f t="shared" si="7"/>
        <v>32400.000000000004</v>
      </c>
      <c r="H57" s="167">
        <f t="shared" si="8"/>
        <v>152400</v>
      </c>
    </row>
    <row r="58" spans="1:8" s="365" customFormat="1" ht="15.75" thickBot="1" x14ac:dyDescent="0.3">
      <c r="A58" s="856" t="s">
        <v>362</v>
      </c>
      <c r="B58" s="857"/>
      <c r="C58" s="857"/>
      <c r="D58" s="857"/>
      <c r="E58" s="858"/>
      <c r="F58" s="368">
        <f>F47+F48+F49+F50+F51+F52+F53+F54+F55+F56+F57</f>
        <v>710000</v>
      </c>
      <c r="G58" s="368">
        <f t="shared" ref="G58:H58" si="9">G47+G48+G49+G50+G51+G52+G53+G54+G55+G56+G57</f>
        <v>180700</v>
      </c>
      <c r="H58" s="368">
        <f t="shared" si="9"/>
        <v>890700</v>
      </c>
    </row>
    <row r="59" spans="1:8" s="365" customFormat="1" ht="15.75" thickBot="1" x14ac:dyDescent="0.3">
      <c r="A59" s="856" t="s">
        <v>363</v>
      </c>
      <c r="B59" s="857"/>
      <c r="C59" s="857"/>
      <c r="D59" s="857"/>
      <c r="E59" s="858"/>
      <c r="F59" s="368"/>
      <c r="G59" s="368">
        <f>G58</f>
        <v>180700</v>
      </c>
      <c r="H59" s="368">
        <f t="shared" si="8"/>
        <v>180700</v>
      </c>
    </row>
    <row r="60" spans="1:8" s="374" customFormat="1" ht="19.5" thickBot="1" x14ac:dyDescent="0.35">
      <c r="A60" s="895" t="s">
        <v>364</v>
      </c>
      <c r="B60" s="896"/>
      <c r="C60" s="896"/>
      <c r="D60" s="896"/>
      <c r="E60" s="897"/>
      <c r="F60" s="373">
        <f>F58+F46+F12</f>
        <v>25544142</v>
      </c>
      <c r="G60" s="373">
        <f t="shared" ref="G60:H60" si="10">G58+G46+G12</f>
        <v>1077450</v>
      </c>
      <c r="H60" s="373">
        <f t="shared" si="10"/>
        <v>26621592</v>
      </c>
    </row>
  </sheetData>
  <mergeCells count="58">
    <mergeCell ref="A60:E60"/>
    <mergeCell ref="A57:E57"/>
    <mergeCell ref="A58:E58"/>
    <mergeCell ref="A59:E59"/>
    <mergeCell ref="A51:E51"/>
    <mergeCell ref="A52:E52"/>
    <mergeCell ref="A53:E53"/>
    <mergeCell ref="A54:E54"/>
    <mergeCell ref="A55:E55"/>
    <mergeCell ref="A56:E56"/>
    <mergeCell ref="A50:E50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38:E38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26:E26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14:E14"/>
    <mergeCell ref="D2:H2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M10" sqref="M10"/>
    </sheetView>
  </sheetViews>
  <sheetFormatPr defaultRowHeight="15" x14ac:dyDescent="0.25"/>
  <cols>
    <col min="5" max="5" width="20.42578125" customWidth="1"/>
    <col min="6" max="6" width="14.42578125" style="364" customWidth="1"/>
    <col min="7" max="7" width="12.42578125" style="364" bestFit="1" customWidth="1"/>
    <col min="8" max="8" width="15.85546875" bestFit="1" customWidth="1"/>
    <col min="260" max="260" width="13" customWidth="1"/>
    <col min="261" max="261" width="14.42578125" customWidth="1"/>
    <col min="262" max="262" width="12.42578125" bestFit="1" customWidth="1"/>
    <col min="263" max="263" width="15.85546875" bestFit="1" customWidth="1"/>
    <col min="264" max="264" width="14" bestFit="1" customWidth="1"/>
    <col min="516" max="516" width="13" customWidth="1"/>
    <col min="517" max="517" width="14.42578125" customWidth="1"/>
    <col min="518" max="518" width="12.42578125" bestFit="1" customWidth="1"/>
    <col min="519" max="519" width="15.85546875" bestFit="1" customWidth="1"/>
    <col min="520" max="520" width="14" bestFit="1" customWidth="1"/>
    <col min="772" max="772" width="13" customWidth="1"/>
    <col min="773" max="773" width="14.42578125" customWidth="1"/>
    <col min="774" max="774" width="12.42578125" bestFit="1" customWidth="1"/>
    <col min="775" max="775" width="15.85546875" bestFit="1" customWidth="1"/>
    <col min="776" max="776" width="14" bestFit="1" customWidth="1"/>
    <col min="1028" max="1028" width="13" customWidth="1"/>
    <col min="1029" max="1029" width="14.42578125" customWidth="1"/>
    <col min="1030" max="1030" width="12.42578125" bestFit="1" customWidth="1"/>
    <col min="1031" max="1031" width="15.85546875" bestFit="1" customWidth="1"/>
    <col min="1032" max="1032" width="14" bestFit="1" customWidth="1"/>
    <col min="1284" max="1284" width="13" customWidth="1"/>
    <col min="1285" max="1285" width="14.42578125" customWidth="1"/>
    <col min="1286" max="1286" width="12.42578125" bestFit="1" customWidth="1"/>
    <col min="1287" max="1287" width="15.85546875" bestFit="1" customWidth="1"/>
    <col min="1288" max="1288" width="14" bestFit="1" customWidth="1"/>
    <col min="1540" max="1540" width="13" customWidth="1"/>
    <col min="1541" max="1541" width="14.42578125" customWidth="1"/>
    <col min="1542" max="1542" width="12.42578125" bestFit="1" customWidth="1"/>
    <col min="1543" max="1543" width="15.85546875" bestFit="1" customWidth="1"/>
    <col min="1544" max="1544" width="14" bestFit="1" customWidth="1"/>
    <col min="1796" max="1796" width="13" customWidth="1"/>
    <col min="1797" max="1797" width="14.42578125" customWidth="1"/>
    <col min="1798" max="1798" width="12.42578125" bestFit="1" customWidth="1"/>
    <col min="1799" max="1799" width="15.85546875" bestFit="1" customWidth="1"/>
    <col min="1800" max="1800" width="14" bestFit="1" customWidth="1"/>
    <col min="2052" max="2052" width="13" customWidth="1"/>
    <col min="2053" max="2053" width="14.42578125" customWidth="1"/>
    <col min="2054" max="2054" width="12.42578125" bestFit="1" customWidth="1"/>
    <col min="2055" max="2055" width="15.85546875" bestFit="1" customWidth="1"/>
    <col min="2056" max="2056" width="14" bestFit="1" customWidth="1"/>
    <col min="2308" max="2308" width="13" customWidth="1"/>
    <col min="2309" max="2309" width="14.42578125" customWidth="1"/>
    <col min="2310" max="2310" width="12.42578125" bestFit="1" customWidth="1"/>
    <col min="2311" max="2311" width="15.85546875" bestFit="1" customWidth="1"/>
    <col min="2312" max="2312" width="14" bestFit="1" customWidth="1"/>
    <col min="2564" max="2564" width="13" customWidth="1"/>
    <col min="2565" max="2565" width="14.42578125" customWidth="1"/>
    <col min="2566" max="2566" width="12.42578125" bestFit="1" customWidth="1"/>
    <col min="2567" max="2567" width="15.85546875" bestFit="1" customWidth="1"/>
    <col min="2568" max="2568" width="14" bestFit="1" customWidth="1"/>
    <col min="2820" max="2820" width="13" customWidth="1"/>
    <col min="2821" max="2821" width="14.42578125" customWidth="1"/>
    <col min="2822" max="2822" width="12.42578125" bestFit="1" customWidth="1"/>
    <col min="2823" max="2823" width="15.85546875" bestFit="1" customWidth="1"/>
    <col min="2824" max="2824" width="14" bestFit="1" customWidth="1"/>
    <col min="3076" max="3076" width="13" customWidth="1"/>
    <col min="3077" max="3077" width="14.42578125" customWidth="1"/>
    <col min="3078" max="3078" width="12.42578125" bestFit="1" customWidth="1"/>
    <col min="3079" max="3079" width="15.85546875" bestFit="1" customWidth="1"/>
    <col min="3080" max="3080" width="14" bestFit="1" customWidth="1"/>
    <col min="3332" max="3332" width="13" customWidth="1"/>
    <col min="3333" max="3333" width="14.42578125" customWidth="1"/>
    <col min="3334" max="3334" width="12.42578125" bestFit="1" customWidth="1"/>
    <col min="3335" max="3335" width="15.85546875" bestFit="1" customWidth="1"/>
    <col min="3336" max="3336" width="14" bestFit="1" customWidth="1"/>
    <col min="3588" max="3588" width="13" customWidth="1"/>
    <col min="3589" max="3589" width="14.42578125" customWidth="1"/>
    <col min="3590" max="3590" width="12.42578125" bestFit="1" customWidth="1"/>
    <col min="3591" max="3591" width="15.85546875" bestFit="1" customWidth="1"/>
    <col min="3592" max="3592" width="14" bestFit="1" customWidth="1"/>
    <col min="3844" max="3844" width="13" customWidth="1"/>
    <col min="3845" max="3845" width="14.42578125" customWidth="1"/>
    <col min="3846" max="3846" width="12.42578125" bestFit="1" customWidth="1"/>
    <col min="3847" max="3847" width="15.85546875" bestFit="1" customWidth="1"/>
    <col min="3848" max="3848" width="14" bestFit="1" customWidth="1"/>
    <col min="4100" max="4100" width="13" customWidth="1"/>
    <col min="4101" max="4101" width="14.42578125" customWidth="1"/>
    <col min="4102" max="4102" width="12.42578125" bestFit="1" customWidth="1"/>
    <col min="4103" max="4103" width="15.85546875" bestFit="1" customWidth="1"/>
    <col min="4104" max="4104" width="14" bestFit="1" customWidth="1"/>
    <col min="4356" max="4356" width="13" customWidth="1"/>
    <col min="4357" max="4357" width="14.42578125" customWidth="1"/>
    <col min="4358" max="4358" width="12.42578125" bestFit="1" customWidth="1"/>
    <col min="4359" max="4359" width="15.85546875" bestFit="1" customWidth="1"/>
    <col min="4360" max="4360" width="14" bestFit="1" customWidth="1"/>
    <col min="4612" max="4612" width="13" customWidth="1"/>
    <col min="4613" max="4613" width="14.42578125" customWidth="1"/>
    <col min="4614" max="4614" width="12.42578125" bestFit="1" customWidth="1"/>
    <col min="4615" max="4615" width="15.85546875" bestFit="1" customWidth="1"/>
    <col min="4616" max="4616" width="14" bestFit="1" customWidth="1"/>
    <col min="4868" max="4868" width="13" customWidth="1"/>
    <col min="4869" max="4869" width="14.42578125" customWidth="1"/>
    <col min="4870" max="4870" width="12.42578125" bestFit="1" customWidth="1"/>
    <col min="4871" max="4871" width="15.85546875" bestFit="1" customWidth="1"/>
    <col min="4872" max="4872" width="14" bestFit="1" customWidth="1"/>
    <col min="5124" max="5124" width="13" customWidth="1"/>
    <col min="5125" max="5125" width="14.42578125" customWidth="1"/>
    <col min="5126" max="5126" width="12.42578125" bestFit="1" customWidth="1"/>
    <col min="5127" max="5127" width="15.85546875" bestFit="1" customWidth="1"/>
    <col min="5128" max="5128" width="14" bestFit="1" customWidth="1"/>
    <col min="5380" max="5380" width="13" customWidth="1"/>
    <col min="5381" max="5381" width="14.42578125" customWidth="1"/>
    <col min="5382" max="5382" width="12.42578125" bestFit="1" customWidth="1"/>
    <col min="5383" max="5383" width="15.85546875" bestFit="1" customWidth="1"/>
    <col min="5384" max="5384" width="14" bestFit="1" customWidth="1"/>
    <col min="5636" max="5636" width="13" customWidth="1"/>
    <col min="5637" max="5637" width="14.42578125" customWidth="1"/>
    <col min="5638" max="5638" width="12.42578125" bestFit="1" customWidth="1"/>
    <col min="5639" max="5639" width="15.85546875" bestFit="1" customWidth="1"/>
    <col min="5640" max="5640" width="14" bestFit="1" customWidth="1"/>
    <col min="5892" max="5892" width="13" customWidth="1"/>
    <col min="5893" max="5893" width="14.42578125" customWidth="1"/>
    <col min="5894" max="5894" width="12.42578125" bestFit="1" customWidth="1"/>
    <col min="5895" max="5895" width="15.85546875" bestFit="1" customWidth="1"/>
    <col min="5896" max="5896" width="14" bestFit="1" customWidth="1"/>
    <col min="6148" max="6148" width="13" customWidth="1"/>
    <col min="6149" max="6149" width="14.42578125" customWidth="1"/>
    <col min="6150" max="6150" width="12.42578125" bestFit="1" customWidth="1"/>
    <col min="6151" max="6151" width="15.85546875" bestFit="1" customWidth="1"/>
    <col min="6152" max="6152" width="14" bestFit="1" customWidth="1"/>
    <col min="6404" max="6404" width="13" customWidth="1"/>
    <col min="6405" max="6405" width="14.42578125" customWidth="1"/>
    <col min="6406" max="6406" width="12.42578125" bestFit="1" customWidth="1"/>
    <col min="6407" max="6407" width="15.85546875" bestFit="1" customWidth="1"/>
    <col min="6408" max="6408" width="14" bestFit="1" customWidth="1"/>
    <col min="6660" max="6660" width="13" customWidth="1"/>
    <col min="6661" max="6661" width="14.42578125" customWidth="1"/>
    <col min="6662" max="6662" width="12.42578125" bestFit="1" customWidth="1"/>
    <col min="6663" max="6663" width="15.85546875" bestFit="1" customWidth="1"/>
    <col min="6664" max="6664" width="14" bestFit="1" customWidth="1"/>
    <col min="6916" max="6916" width="13" customWidth="1"/>
    <col min="6917" max="6917" width="14.42578125" customWidth="1"/>
    <col min="6918" max="6918" width="12.42578125" bestFit="1" customWidth="1"/>
    <col min="6919" max="6919" width="15.85546875" bestFit="1" customWidth="1"/>
    <col min="6920" max="6920" width="14" bestFit="1" customWidth="1"/>
    <col min="7172" max="7172" width="13" customWidth="1"/>
    <col min="7173" max="7173" width="14.42578125" customWidth="1"/>
    <col min="7174" max="7174" width="12.42578125" bestFit="1" customWidth="1"/>
    <col min="7175" max="7175" width="15.85546875" bestFit="1" customWidth="1"/>
    <col min="7176" max="7176" width="14" bestFit="1" customWidth="1"/>
    <col min="7428" max="7428" width="13" customWidth="1"/>
    <col min="7429" max="7429" width="14.42578125" customWidth="1"/>
    <col min="7430" max="7430" width="12.42578125" bestFit="1" customWidth="1"/>
    <col min="7431" max="7431" width="15.85546875" bestFit="1" customWidth="1"/>
    <col min="7432" max="7432" width="14" bestFit="1" customWidth="1"/>
    <col min="7684" max="7684" width="13" customWidth="1"/>
    <col min="7685" max="7685" width="14.42578125" customWidth="1"/>
    <col min="7686" max="7686" width="12.42578125" bestFit="1" customWidth="1"/>
    <col min="7687" max="7687" width="15.85546875" bestFit="1" customWidth="1"/>
    <col min="7688" max="7688" width="14" bestFit="1" customWidth="1"/>
    <col min="7940" max="7940" width="13" customWidth="1"/>
    <col min="7941" max="7941" width="14.42578125" customWidth="1"/>
    <col min="7942" max="7942" width="12.42578125" bestFit="1" customWidth="1"/>
    <col min="7943" max="7943" width="15.85546875" bestFit="1" customWidth="1"/>
    <col min="7944" max="7944" width="14" bestFit="1" customWidth="1"/>
    <col min="8196" max="8196" width="13" customWidth="1"/>
    <col min="8197" max="8197" width="14.42578125" customWidth="1"/>
    <col min="8198" max="8198" width="12.42578125" bestFit="1" customWidth="1"/>
    <col min="8199" max="8199" width="15.85546875" bestFit="1" customWidth="1"/>
    <col min="8200" max="8200" width="14" bestFit="1" customWidth="1"/>
    <col min="8452" max="8452" width="13" customWidth="1"/>
    <col min="8453" max="8453" width="14.42578125" customWidth="1"/>
    <col min="8454" max="8454" width="12.42578125" bestFit="1" customWidth="1"/>
    <col min="8455" max="8455" width="15.85546875" bestFit="1" customWidth="1"/>
    <col min="8456" max="8456" width="14" bestFit="1" customWidth="1"/>
    <col min="8708" max="8708" width="13" customWidth="1"/>
    <col min="8709" max="8709" width="14.42578125" customWidth="1"/>
    <col min="8710" max="8710" width="12.42578125" bestFit="1" customWidth="1"/>
    <col min="8711" max="8711" width="15.85546875" bestFit="1" customWidth="1"/>
    <col min="8712" max="8712" width="14" bestFit="1" customWidth="1"/>
    <col min="8964" max="8964" width="13" customWidth="1"/>
    <col min="8965" max="8965" width="14.42578125" customWidth="1"/>
    <col min="8966" max="8966" width="12.42578125" bestFit="1" customWidth="1"/>
    <col min="8967" max="8967" width="15.85546875" bestFit="1" customWidth="1"/>
    <col min="8968" max="8968" width="14" bestFit="1" customWidth="1"/>
    <col min="9220" max="9220" width="13" customWidth="1"/>
    <col min="9221" max="9221" width="14.42578125" customWidth="1"/>
    <col min="9222" max="9222" width="12.42578125" bestFit="1" customWidth="1"/>
    <col min="9223" max="9223" width="15.85546875" bestFit="1" customWidth="1"/>
    <col min="9224" max="9224" width="14" bestFit="1" customWidth="1"/>
    <col min="9476" max="9476" width="13" customWidth="1"/>
    <col min="9477" max="9477" width="14.42578125" customWidth="1"/>
    <col min="9478" max="9478" width="12.42578125" bestFit="1" customWidth="1"/>
    <col min="9479" max="9479" width="15.85546875" bestFit="1" customWidth="1"/>
    <col min="9480" max="9480" width="14" bestFit="1" customWidth="1"/>
    <col min="9732" max="9732" width="13" customWidth="1"/>
    <col min="9733" max="9733" width="14.42578125" customWidth="1"/>
    <col min="9734" max="9734" width="12.42578125" bestFit="1" customWidth="1"/>
    <col min="9735" max="9735" width="15.85546875" bestFit="1" customWidth="1"/>
    <col min="9736" max="9736" width="14" bestFit="1" customWidth="1"/>
    <col min="9988" max="9988" width="13" customWidth="1"/>
    <col min="9989" max="9989" width="14.42578125" customWidth="1"/>
    <col min="9990" max="9990" width="12.42578125" bestFit="1" customWidth="1"/>
    <col min="9991" max="9991" width="15.85546875" bestFit="1" customWidth="1"/>
    <col min="9992" max="9992" width="14" bestFit="1" customWidth="1"/>
    <col min="10244" max="10244" width="13" customWidth="1"/>
    <col min="10245" max="10245" width="14.42578125" customWidth="1"/>
    <col min="10246" max="10246" width="12.42578125" bestFit="1" customWidth="1"/>
    <col min="10247" max="10247" width="15.85546875" bestFit="1" customWidth="1"/>
    <col min="10248" max="10248" width="14" bestFit="1" customWidth="1"/>
    <col min="10500" max="10500" width="13" customWidth="1"/>
    <col min="10501" max="10501" width="14.42578125" customWidth="1"/>
    <col min="10502" max="10502" width="12.42578125" bestFit="1" customWidth="1"/>
    <col min="10503" max="10503" width="15.85546875" bestFit="1" customWidth="1"/>
    <col min="10504" max="10504" width="14" bestFit="1" customWidth="1"/>
    <col min="10756" max="10756" width="13" customWidth="1"/>
    <col min="10757" max="10757" width="14.42578125" customWidth="1"/>
    <col min="10758" max="10758" width="12.42578125" bestFit="1" customWidth="1"/>
    <col min="10759" max="10759" width="15.85546875" bestFit="1" customWidth="1"/>
    <col min="10760" max="10760" width="14" bestFit="1" customWidth="1"/>
    <col min="11012" max="11012" width="13" customWidth="1"/>
    <col min="11013" max="11013" width="14.42578125" customWidth="1"/>
    <col min="11014" max="11014" width="12.42578125" bestFit="1" customWidth="1"/>
    <col min="11015" max="11015" width="15.85546875" bestFit="1" customWidth="1"/>
    <col min="11016" max="11016" width="14" bestFit="1" customWidth="1"/>
    <col min="11268" max="11268" width="13" customWidth="1"/>
    <col min="11269" max="11269" width="14.42578125" customWidth="1"/>
    <col min="11270" max="11270" width="12.42578125" bestFit="1" customWidth="1"/>
    <col min="11271" max="11271" width="15.85546875" bestFit="1" customWidth="1"/>
    <col min="11272" max="11272" width="14" bestFit="1" customWidth="1"/>
    <col min="11524" max="11524" width="13" customWidth="1"/>
    <col min="11525" max="11525" width="14.42578125" customWidth="1"/>
    <col min="11526" max="11526" width="12.42578125" bestFit="1" customWidth="1"/>
    <col min="11527" max="11527" width="15.85546875" bestFit="1" customWidth="1"/>
    <col min="11528" max="11528" width="14" bestFit="1" customWidth="1"/>
    <col min="11780" max="11780" width="13" customWidth="1"/>
    <col min="11781" max="11781" width="14.42578125" customWidth="1"/>
    <col min="11782" max="11782" width="12.42578125" bestFit="1" customWidth="1"/>
    <col min="11783" max="11783" width="15.85546875" bestFit="1" customWidth="1"/>
    <col min="11784" max="11784" width="14" bestFit="1" customWidth="1"/>
    <col min="12036" max="12036" width="13" customWidth="1"/>
    <col min="12037" max="12037" width="14.42578125" customWidth="1"/>
    <col min="12038" max="12038" width="12.42578125" bestFit="1" customWidth="1"/>
    <col min="12039" max="12039" width="15.85546875" bestFit="1" customWidth="1"/>
    <col min="12040" max="12040" width="14" bestFit="1" customWidth="1"/>
    <col min="12292" max="12292" width="13" customWidth="1"/>
    <col min="12293" max="12293" width="14.42578125" customWidth="1"/>
    <col min="12294" max="12294" width="12.42578125" bestFit="1" customWidth="1"/>
    <col min="12295" max="12295" width="15.85546875" bestFit="1" customWidth="1"/>
    <col min="12296" max="12296" width="14" bestFit="1" customWidth="1"/>
    <col min="12548" max="12548" width="13" customWidth="1"/>
    <col min="12549" max="12549" width="14.42578125" customWidth="1"/>
    <col min="12550" max="12550" width="12.42578125" bestFit="1" customWidth="1"/>
    <col min="12551" max="12551" width="15.85546875" bestFit="1" customWidth="1"/>
    <col min="12552" max="12552" width="14" bestFit="1" customWidth="1"/>
    <col min="12804" max="12804" width="13" customWidth="1"/>
    <col min="12805" max="12805" width="14.42578125" customWidth="1"/>
    <col min="12806" max="12806" width="12.42578125" bestFit="1" customWidth="1"/>
    <col min="12807" max="12807" width="15.85546875" bestFit="1" customWidth="1"/>
    <col min="12808" max="12808" width="14" bestFit="1" customWidth="1"/>
    <col min="13060" max="13060" width="13" customWidth="1"/>
    <col min="13061" max="13061" width="14.42578125" customWidth="1"/>
    <col min="13062" max="13062" width="12.42578125" bestFit="1" customWidth="1"/>
    <col min="13063" max="13063" width="15.85546875" bestFit="1" customWidth="1"/>
    <col min="13064" max="13064" width="14" bestFit="1" customWidth="1"/>
    <col min="13316" max="13316" width="13" customWidth="1"/>
    <col min="13317" max="13317" width="14.42578125" customWidth="1"/>
    <col min="13318" max="13318" width="12.42578125" bestFit="1" customWidth="1"/>
    <col min="13319" max="13319" width="15.85546875" bestFit="1" customWidth="1"/>
    <col min="13320" max="13320" width="14" bestFit="1" customWidth="1"/>
    <col min="13572" max="13572" width="13" customWidth="1"/>
    <col min="13573" max="13573" width="14.42578125" customWidth="1"/>
    <col min="13574" max="13574" width="12.42578125" bestFit="1" customWidth="1"/>
    <col min="13575" max="13575" width="15.85546875" bestFit="1" customWidth="1"/>
    <col min="13576" max="13576" width="14" bestFit="1" customWidth="1"/>
    <col min="13828" max="13828" width="13" customWidth="1"/>
    <col min="13829" max="13829" width="14.42578125" customWidth="1"/>
    <col min="13830" max="13830" width="12.42578125" bestFit="1" customWidth="1"/>
    <col min="13831" max="13831" width="15.85546875" bestFit="1" customWidth="1"/>
    <col min="13832" max="13832" width="14" bestFit="1" customWidth="1"/>
    <col min="14084" max="14084" width="13" customWidth="1"/>
    <col min="14085" max="14085" width="14.42578125" customWidth="1"/>
    <col min="14086" max="14086" width="12.42578125" bestFit="1" customWidth="1"/>
    <col min="14087" max="14087" width="15.85546875" bestFit="1" customWidth="1"/>
    <col min="14088" max="14088" width="14" bestFit="1" customWidth="1"/>
    <col min="14340" max="14340" width="13" customWidth="1"/>
    <col min="14341" max="14341" width="14.42578125" customWidth="1"/>
    <col min="14342" max="14342" width="12.42578125" bestFit="1" customWidth="1"/>
    <col min="14343" max="14343" width="15.85546875" bestFit="1" customWidth="1"/>
    <col min="14344" max="14344" width="14" bestFit="1" customWidth="1"/>
    <col min="14596" max="14596" width="13" customWidth="1"/>
    <col min="14597" max="14597" width="14.42578125" customWidth="1"/>
    <col min="14598" max="14598" width="12.42578125" bestFit="1" customWidth="1"/>
    <col min="14599" max="14599" width="15.85546875" bestFit="1" customWidth="1"/>
    <col min="14600" max="14600" width="14" bestFit="1" customWidth="1"/>
    <col min="14852" max="14852" width="13" customWidth="1"/>
    <col min="14853" max="14853" width="14.42578125" customWidth="1"/>
    <col min="14854" max="14854" width="12.42578125" bestFit="1" customWidth="1"/>
    <col min="14855" max="14855" width="15.85546875" bestFit="1" customWidth="1"/>
    <col min="14856" max="14856" width="14" bestFit="1" customWidth="1"/>
    <col min="15108" max="15108" width="13" customWidth="1"/>
    <col min="15109" max="15109" width="14.42578125" customWidth="1"/>
    <col min="15110" max="15110" width="12.42578125" bestFit="1" customWidth="1"/>
    <col min="15111" max="15111" width="15.85546875" bestFit="1" customWidth="1"/>
    <col min="15112" max="15112" width="14" bestFit="1" customWidth="1"/>
    <col min="15364" max="15364" width="13" customWidth="1"/>
    <col min="15365" max="15365" width="14.42578125" customWidth="1"/>
    <col min="15366" max="15366" width="12.42578125" bestFit="1" customWidth="1"/>
    <col min="15367" max="15367" width="15.85546875" bestFit="1" customWidth="1"/>
    <col min="15368" max="15368" width="14" bestFit="1" customWidth="1"/>
    <col min="15620" max="15620" width="13" customWidth="1"/>
    <col min="15621" max="15621" width="14.42578125" customWidth="1"/>
    <col min="15622" max="15622" width="12.42578125" bestFit="1" customWidth="1"/>
    <col min="15623" max="15623" width="15.85546875" bestFit="1" customWidth="1"/>
    <col min="15624" max="15624" width="14" bestFit="1" customWidth="1"/>
    <col min="15876" max="15876" width="13" customWidth="1"/>
    <col min="15877" max="15877" width="14.42578125" customWidth="1"/>
    <col min="15878" max="15878" width="12.42578125" bestFit="1" customWidth="1"/>
    <col min="15879" max="15879" width="15.85546875" bestFit="1" customWidth="1"/>
    <col min="15880" max="15880" width="14" bestFit="1" customWidth="1"/>
    <col min="16132" max="16132" width="13" customWidth="1"/>
    <col min="16133" max="16133" width="14.42578125" customWidth="1"/>
    <col min="16134" max="16134" width="12.42578125" bestFit="1" customWidth="1"/>
    <col min="16135" max="16135" width="15.85546875" bestFit="1" customWidth="1"/>
    <col min="16136" max="16136" width="14" bestFit="1" customWidth="1"/>
  </cols>
  <sheetData>
    <row r="1" spans="1:8" ht="15.75" thickBot="1" x14ac:dyDescent="0.3"/>
    <row r="2" spans="1:8" s="365" customFormat="1" ht="19.5" thickBot="1" x14ac:dyDescent="0.35">
      <c r="C2" s="895" t="s">
        <v>733</v>
      </c>
      <c r="D2" s="896"/>
      <c r="E2" s="896"/>
      <c r="F2" s="896"/>
      <c r="G2" s="896"/>
      <c r="H2" s="897"/>
    </row>
    <row r="3" spans="1:8" ht="15.75" thickBot="1" x14ac:dyDescent="0.3">
      <c r="H3" t="s">
        <v>817</v>
      </c>
    </row>
    <row r="4" spans="1:8" ht="15.75" thickBot="1" x14ac:dyDescent="0.3">
      <c r="A4" s="856" t="s">
        <v>7</v>
      </c>
      <c r="B4" s="857"/>
      <c r="C4" s="857"/>
      <c r="D4" s="857"/>
      <c r="E4" s="858"/>
      <c r="F4" s="366" t="s">
        <v>316</v>
      </c>
      <c r="G4" s="366" t="s">
        <v>317</v>
      </c>
      <c r="H4" s="367" t="s">
        <v>189</v>
      </c>
    </row>
    <row r="5" spans="1:8" ht="15.75" thickBot="1" x14ac:dyDescent="0.3">
      <c r="A5" s="859" t="s">
        <v>318</v>
      </c>
      <c r="B5" s="860"/>
      <c r="C5" s="860"/>
      <c r="D5" s="860"/>
      <c r="E5" s="861"/>
      <c r="F5" s="167">
        <f>[4]bölcsőde!F5+[4]óvoda!F5</f>
        <v>24763807</v>
      </c>
      <c r="G5" s="167">
        <v>0</v>
      </c>
      <c r="H5" s="167">
        <f>G5+F5</f>
        <v>24763807</v>
      </c>
    </row>
    <row r="6" spans="1:8" ht="15.75" thickBot="1" x14ac:dyDescent="0.3">
      <c r="A6" s="859" t="s">
        <v>319</v>
      </c>
      <c r="B6" s="860"/>
      <c r="C6" s="860"/>
      <c r="D6" s="860"/>
      <c r="E6" s="861"/>
      <c r="F6" s="167">
        <f>[4]bölcsőde!F6+[4]óvoda!F6</f>
        <v>900000</v>
      </c>
      <c r="G6" s="167">
        <v>0</v>
      </c>
      <c r="H6" s="167">
        <f>G6+F6</f>
        <v>900000</v>
      </c>
    </row>
    <row r="7" spans="1:8" ht="15.75" thickBot="1" x14ac:dyDescent="0.3">
      <c r="A7" s="859" t="s">
        <v>320</v>
      </c>
      <c r="B7" s="860"/>
      <c r="C7" s="860"/>
      <c r="D7" s="860"/>
      <c r="E7" s="861"/>
      <c r="F7" s="167">
        <f>[4]bölcsőde!F7+[4]óvoda!F7</f>
        <v>864000</v>
      </c>
      <c r="G7" s="167">
        <v>0</v>
      </c>
      <c r="H7" s="167">
        <f>G7+F7</f>
        <v>864000</v>
      </c>
    </row>
    <row r="8" spans="1:8" ht="15.75" thickBot="1" x14ac:dyDescent="0.3">
      <c r="A8" s="859" t="s">
        <v>321</v>
      </c>
      <c r="B8" s="860"/>
      <c r="C8" s="860"/>
      <c r="D8" s="860"/>
      <c r="E8" s="861"/>
      <c r="F8" s="167">
        <f>[4]bölcsőde!F8+[4]óvoda!F8</f>
        <v>279180</v>
      </c>
      <c r="G8" s="167">
        <v>0</v>
      </c>
      <c r="H8" s="167">
        <f>G8+F8</f>
        <v>279180</v>
      </c>
    </row>
    <row r="9" spans="1:8" ht="15.75" thickBot="1" x14ac:dyDescent="0.3">
      <c r="A9" s="859" t="s">
        <v>392</v>
      </c>
      <c r="B9" s="860"/>
      <c r="C9" s="860"/>
      <c r="D9" s="860"/>
      <c r="E9" s="861"/>
      <c r="F9" s="167">
        <f>[4]bölcsőde!F9+[4]óvoda!F9</f>
        <v>180000</v>
      </c>
      <c r="G9" s="167">
        <v>0</v>
      </c>
      <c r="H9" s="167">
        <f>G9+F9</f>
        <v>180000</v>
      </c>
    </row>
    <row r="10" spans="1:8" s="365" customFormat="1" ht="16.5" thickBot="1" x14ac:dyDescent="0.3">
      <c r="A10" s="871" t="s">
        <v>327</v>
      </c>
      <c r="B10" s="872"/>
      <c r="C10" s="872"/>
      <c r="D10" s="872"/>
      <c r="E10" s="873"/>
      <c r="F10" s="371">
        <f>[4]bölcsőde!F10+[4]óvoda!F10</f>
        <v>26986987</v>
      </c>
      <c r="G10" s="371">
        <v>0</v>
      </c>
      <c r="H10" s="371">
        <f>F10+G10</f>
        <v>26986987</v>
      </c>
    </row>
    <row r="11" spans="1:8" s="369" customFormat="1" ht="16.5" customHeight="1" thickBot="1" x14ac:dyDescent="0.3">
      <c r="A11" s="874" t="s">
        <v>328</v>
      </c>
      <c r="B11" s="875"/>
      <c r="C11" s="875"/>
      <c r="D11" s="875"/>
      <c r="E11" s="876"/>
      <c r="F11" s="371">
        <f>[4]bölcsőde!F11+[4]óvoda!F11</f>
        <v>5392062</v>
      </c>
      <c r="G11" s="371">
        <v>0</v>
      </c>
      <c r="H11" s="371">
        <f>F11+G11</f>
        <v>5392062</v>
      </c>
    </row>
    <row r="12" spans="1:8" s="365" customFormat="1" ht="16.5" customHeight="1" thickBot="1" x14ac:dyDescent="0.3">
      <c r="A12" s="874" t="s">
        <v>680</v>
      </c>
      <c r="B12" s="875"/>
      <c r="C12" s="875"/>
      <c r="D12" s="875"/>
      <c r="E12" s="876"/>
      <c r="F12" s="371">
        <f>[4]bölcsőde!F12+[4]óvoda!F12</f>
        <v>32379049</v>
      </c>
      <c r="G12" s="371">
        <f t="shared" ref="G12:H12" si="0">G10+G11</f>
        <v>0</v>
      </c>
      <c r="H12" s="371">
        <f t="shared" si="0"/>
        <v>32379049</v>
      </c>
    </row>
    <row r="13" spans="1:8" s="372" customFormat="1" ht="16.5" thickBot="1" x14ac:dyDescent="0.3">
      <c r="A13" s="859" t="s">
        <v>734</v>
      </c>
      <c r="B13" s="860"/>
      <c r="C13" s="860"/>
      <c r="D13" s="860"/>
      <c r="E13" s="861"/>
      <c r="F13" s="167">
        <f>[4]bölcsőde!F13+[4]óvoda!F13</f>
        <v>139000</v>
      </c>
      <c r="G13" s="167">
        <f>[4]bölcsőde!G13+[4]óvoda!G13</f>
        <v>6950</v>
      </c>
      <c r="H13" s="167">
        <f>[4]bölcsőde!H13+[4]óvoda!H13</f>
        <v>145950</v>
      </c>
    </row>
    <row r="14" spans="1:8" s="372" customFormat="1" ht="16.5" customHeight="1" thickBot="1" x14ac:dyDescent="0.3">
      <c r="A14" s="865" t="s">
        <v>330</v>
      </c>
      <c r="B14" s="866"/>
      <c r="C14" s="866"/>
      <c r="D14" s="866"/>
      <c r="E14" s="867"/>
      <c r="F14" s="167">
        <f>[4]bölcsőde!F14+[4]óvoda!F14</f>
        <v>911700</v>
      </c>
      <c r="G14" s="167">
        <f>[4]bölcsőde!G14+[4]óvoda!G14</f>
        <v>246159</v>
      </c>
      <c r="H14" s="167">
        <f>[4]bölcsőde!H14+[4]óvoda!H14</f>
        <v>1157859</v>
      </c>
    </row>
    <row r="15" spans="1:8" s="372" customFormat="1" ht="16.5" thickBot="1" x14ac:dyDescent="0.3">
      <c r="A15" s="880" t="s">
        <v>331</v>
      </c>
      <c r="B15" s="881"/>
      <c r="C15" s="881"/>
      <c r="D15" s="881"/>
      <c r="E15" s="882"/>
      <c r="F15" s="368">
        <f>F14+F13</f>
        <v>1050700</v>
      </c>
      <c r="G15" s="368">
        <f t="shared" ref="G15:H15" si="1">G14+G13</f>
        <v>253109</v>
      </c>
      <c r="H15" s="368">
        <f t="shared" si="1"/>
        <v>1303809</v>
      </c>
    </row>
    <row r="16" spans="1:8" ht="15.75" thickBot="1" x14ac:dyDescent="0.3">
      <c r="A16" s="886" t="s">
        <v>332</v>
      </c>
      <c r="B16" s="887"/>
      <c r="C16" s="887"/>
      <c r="D16" s="887"/>
      <c r="E16" s="888"/>
      <c r="F16" s="370">
        <f>[4]bölcsőde!F16+[4]óvoda!F16</f>
        <v>100000</v>
      </c>
      <c r="G16" s="370">
        <f t="shared" ref="G16:G23" si="2">F16*27%</f>
        <v>27000</v>
      </c>
      <c r="H16" s="370">
        <f t="shared" ref="H16:H23" si="3">F16+G16</f>
        <v>127000</v>
      </c>
    </row>
    <row r="17" spans="1:8" ht="15.75" thickBot="1" x14ac:dyDescent="0.3">
      <c r="A17" s="886" t="s">
        <v>333</v>
      </c>
      <c r="B17" s="887"/>
      <c r="C17" s="887"/>
      <c r="D17" s="887"/>
      <c r="E17" s="888"/>
      <c r="F17" s="370">
        <f>[4]bölcsőde!F17+[4]óvoda!F17</f>
        <v>80000</v>
      </c>
      <c r="G17" s="370">
        <f t="shared" si="2"/>
        <v>21600</v>
      </c>
      <c r="H17" s="370">
        <f t="shared" si="3"/>
        <v>101600</v>
      </c>
    </row>
    <row r="18" spans="1:8" ht="15.75" thickBot="1" x14ac:dyDescent="0.3">
      <c r="A18" s="868" t="s">
        <v>334</v>
      </c>
      <c r="B18" s="869"/>
      <c r="C18" s="869"/>
      <c r="D18" s="869"/>
      <c r="E18" s="870"/>
      <c r="F18" s="370">
        <f>[4]óvoda!F20+[4]bölcsőde!F18</f>
        <v>260000</v>
      </c>
      <c r="G18" s="370">
        <f t="shared" si="2"/>
        <v>70200</v>
      </c>
      <c r="H18" s="370">
        <f t="shared" si="3"/>
        <v>330200</v>
      </c>
    </row>
    <row r="19" spans="1:8" ht="15.75" thickBot="1" x14ac:dyDescent="0.3">
      <c r="A19" s="868" t="s">
        <v>686</v>
      </c>
      <c r="B19" s="869"/>
      <c r="C19" s="869"/>
      <c r="D19" s="869"/>
      <c r="E19" s="870"/>
      <c r="F19" s="370">
        <f>[4]bölcsőde!F19+[4]óvoda!F18</f>
        <v>200000</v>
      </c>
      <c r="G19" s="370">
        <f>[4]bölcsőde!G19+[4]óvoda!G18</f>
        <v>0</v>
      </c>
      <c r="H19" s="370">
        <f>[4]bölcsőde!H19+[4]óvoda!H18</f>
        <v>200000</v>
      </c>
    </row>
    <row r="20" spans="1:8" ht="15.75" thickBot="1" x14ac:dyDescent="0.3">
      <c r="A20" s="868" t="s">
        <v>723</v>
      </c>
      <c r="B20" s="869"/>
      <c r="C20" s="869"/>
      <c r="D20" s="869"/>
      <c r="E20" s="870"/>
      <c r="F20" s="370">
        <f>[4]bölcsőde!F20+[4]óvoda!F19</f>
        <v>140000</v>
      </c>
      <c r="G20" s="370">
        <f>[4]bölcsőde!G20+[4]óvoda!G19</f>
        <v>37800</v>
      </c>
      <c r="H20" s="370">
        <f>[4]bölcsőde!H20+[4]óvoda!H19</f>
        <v>177800</v>
      </c>
    </row>
    <row r="21" spans="1:8" ht="15.75" thickBot="1" x14ac:dyDescent="0.3">
      <c r="A21" s="868" t="s">
        <v>366</v>
      </c>
      <c r="B21" s="869"/>
      <c r="C21" s="869"/>
      <c r="D21" s="869"/>
      <c r="E21" s="870"/>
      <c r="F21" s="370">
        <v>30000</v>
      </c>
      <c r="G21" s="370">
        <f t="shared" si="2"/>
        <v>8100.0000000000009</v>
      </c>
      <c r="H21" s="370">
        <f t="shared" si="3"/>
        <v>38100</v>
      </c>
    </row>
    <row r="22" spans="1:8" ht="15.75" thickBot="1" x14ac:dyDescent="0.3">
      <c r="A22" s="889" t="s">
        <v>692</v>
      </c>
      <c r="B22" s="890"/>
      <c r="C22" s="890"/>
      <c r="D22" s="890"/>
      <c r="E22" s="891"/>
      <c r="F22" s="370">
        <v>400000</v>
      </c>
      <c r="G22" s="370">
        <f t="shared" si="2"/>
        <v>108000</v>
      </c>
      <c r="H22" s="370">
        <f t="shared" si="3"/>
        <v>508000</v>
      </c>
    </row>
    <row r="23" spans="1:8" ht="15.75" thickBot="1" x14ac:dyDescent="0.3">
      <c r="A23" s="868" t="s">
        <v>335</v>
      </c>
      <c r="B23" s="869"/>
      <c r="C23" s="869"/>
      <c r="D23" s="869"/>
      <c r="E23" s="870"/>
      <c r="F23" s="370">
        <v>100000</v>
      </c>
      <c r="G23" s="370">
        <f t="shared" si="2"/>
        <v>27000</v>
      </c>
      <c r="H23" s="370">
        <f t="shared" si="3"/>
        <v>127000</v>
      </c>
    </row>
    <row r="24" spans="1:8" ht="15.75" thickBot="1" x14ac:dyDescent="0.3">
      <c r="A24" s="880" t="s">
        <v>337</v>
      </c>
      <c r="B24" s="881"/>
      <c r="C24" s="881"/>
      <c r="D24" s="881"/>
      <c r="E24" s="882"/>
      <c r="F24" s="368">
        <f>F16+F17+F18+F19+F20+F21+F22+F23</f>
        <v>1310000</v>
      </c>
      <c r="G24" s="368">
        <f t="shared" ref="G24:H24" si="4">G16+G17+G18+G19+G20+G21+G22+G23</f>
        <v>299700</v>
      </c>
      <c r="H24" s="368">
        <f t="shared" si="4"/>
        <v>1609700</v>
      </c>
    </row>
    <row r="25" spans="1:8" s="365" customFormat="1" ht="20.25" customHeight="1" thickBot="1" x14ac:dyDescent="0.3">
      <c r="A25" s="880" t="s">
        <v>338</v>
      </c>
      <c r="B25" s="881"/>
      <c r="C25" s="881"/>
      <c r="D25" s="881"/>
      <c r="E25" s="882"/>
      <c r="F25" s="368">
        <f>F24+F15</f>
        <v>2360700</v>
      </c>
      <c r="G25" s="368">
        <f t="shared" ref="G25:H25" si="5">G24+G15</f>
        <v>552809</v>
      </c>
      <c r="H25" s="368">
        <f t="shared" si="5"/>
        <v>2913509</v>
      </c>
    </row>
    <row r="26" spans="1:8" s="365" customFormat="1" ht="20.25" customHeight="1" thickBot="1" x14ac:dyDescent="0.3">
      <c r="A26" s="886" t="s">
        <v>339</v>
      </c>
      <c r="B26" s="887"/>
      <c r="C26" s="887"/>
      <c r="D26" s="887"/>
      <c r="E26" s="888"/>
      <c r="F26" s="370">
        <v>75000</v>
      </c>
      <c r="G26" s="370">
        <f>F26*5%</f>
        <v>3750</v>
      </c>
      <c r="H26" s="370">
        <f>F26+G26</f>
        <v>78750</v>
      </c>
    </row>
    <row r="27" spans="1:8" s="365" customFormat="1" ht="20.25" customHeight="1" thickBot="1" x14ac:dyDescent="0.3">
      <c r="A27" s="880" t="s">
        <v>340</v>
      </c>
      <c r="B27" s="881"/>
      <c r="C27" s="881"/>
      <c r="D27" s="881"/>
      <c r="E27" s="882"/>
      <c r="F27" s="368">
        <f>F26</f>
        <v>75000</v>
      </c>
      <c r="G27" s="368">
        <f>G26</f>
        <v>3750</v>
      </c>
      <c r="H27" s="368">
        <f>H26</f>
        <v>78750</v>
      </c>
    </row>
    <row r="28" spans="1:8" s="365" customFormat="1" ht="15.75" thickBot="1" x14ac:dyDescent="0.3">
      <c r="A28" s="886" t="s">
        <v>341</v>
      </c>
      <c r="B28" s="887"/>
      <c r="C28" s="887"/>
      <c r="D28" s="887"/>
      <c r="E28" s="888"/>
      <c r="F28" s="370">
        <f>[4]óvoda!F27+[4]bölcsőde!F24</f>
        <v>216000</v>
      </c>
      <c r="G28" s="370">
        <f>[4]óvoda!G27+[4]bölcsőde!G24</f>
        <v>58320</v>
      </c>
      <c r="H28" s="370">
        <f>[4]óvoda!H27+[4]bölcsőde!H24</f>
        <v>274320</v>
      </c>
    </row>
    <row r="29" spans="1:8" s="365" customFormat="1" ht="15.75" thickBot="1" x14ac:dyDescent="0.3">
      <c r="A29" s="880" t="s">
        <v>342</v>
      </c>
      <c r="B29" s="881"/>
      <c r="C29" s="881"/>
      <c r="D29" s="881"/>
      <c r="E29" s="882"/>
      <c r="F29" s="368">
        <f>F28</f>
        <v>216000</v>
      </c>
      <c r="G29" s="368">
        <f>G28</f>
        <v>58320</v>
      </c>
      <c r="H29" s="368">
        <f>H28</f>
        <v>274320</v>
      </c>
    </row>
    <row r="30" spans="1:8" s="365" customFormat="1" ht="15.75" thickBot="1" x14ac:dyDescent="0.3">
      <c r="A30" s="880" t="s">
        <v>343</v>
      </c>
      <c r="B30" s="881"/>
      <c r="C30" s="881"/>
      <c r="D30" s="881"/>
      <c r="E30" s="882"/>
      <c r="F30" s="368">
        <f>F29+F27</f>
        <v>291000</v>
      </c>
      <c r="G30" s="368">
        <f t="shared" ref="G30:H30" si="6">G29+G27</f>
        <v>62070</v>
      </c>
      <c r="H30" s="368">
        <f t="shared" si="6"/>
        <v>353070</v>
      </c>
    </row>
    <row r="31" spans="1:8" ht="15.75" thickBot="1" x14ac:dyDescent="0.3">
      <c r="A31" s="856" t="s">
        <v>724</v>
      </c>
      <c r="B31" s="857"/>
      <c r="C31" s="857"/>
      <c r="D31" s="857"/>
      <c r="E31" s="858"/>
      <c r="F31" s="368">
        <f>[4]bölcsőde!F27+[4]óvoda!F30</f>
        <v>2010000</v>
      </c>
      <c r="G31" s="368">
        <f>[4]bölcsőde!G27+[4]óvoda!G30</f>
        <v>542699</v>
      </c>
      <c r="H31" s="368">
        <f>[4]bölcsőde!H27+[4]óvoda!H30</f>
        <v>2552699</v>
      </c>
    </row>
    <row r="32" spans="1:8" s="365" customFormat="1" ht="15.75" thickBot="1" x14ac:dyDescent="0.3">
      <c r="A32" s="868" t="s">
        <v>345</v>
      </c>
      <c r="B32" s="869"/>
      <c r="C32" s="869"/>
      <c r="D32" s="869"/>
      <c r="E32" s="870"/>
      <c r="F32" s="370">
        <f>[4]óvoda!F31+[4]bölcsőde!F28</f>
        <v>160000</v>
      </c>
      <c r="G32" s="370">
        <f>[4]óvoda!G31+[4]bölcsőde!G28</f>
        <v>43200</v>
      </c>
      <c r="H32" s="370">
        <f>[4]óvoda!H31+[4]bölcsőde!H28</f>
        <v>203200</v>
      </c>
    </row>
    <row r="33" spans="1:8" s="365" customFormat="1" ht="15.75" thickBot="1" x14ac:dyDescent="0.3">
      <c r="A33" s="868" t="s">
        <v>346</v>
      </c>
      <c r="B33" s="869"/>
      <c r="C33" s="869"/>
      <c r="D33" s="869"/>
      <c r="E33" s="870"/>
      <c r="F33" s="370">
        <f>[4]bölcsőde!F29+[4]óvoda!F32</f>
        <v>110000</v>
      </c>
      <c r="G33" s="370">
        <f>[4]bölcsőde!G29+[4]óvoda!G32</f>
        <v>29700</v>
      </c>
      <c r="H33" s="370">
        <f>[4]bölcsőde!H29+[4]óvoda!H32</f>
        <v>139700</v>
      </c>
    </row>
    <row r="34" spans="1:8" s="369" customFormat="1" ht="15.75" thickBot="1" x14ac:dyDescent="0.3">
      <c r="A34" s="868" t="s">
        <v>725</v>
      </c>
      <c r="B34" s="869"/>
      <c r="C34" s="869"/>
      <c r="D34" s="869"/>
      <c r="E34" s="870"/>
      <c r="F34" s="370">
        <f>[4]bölcsőde!F30+[4]óvoda!F33</f>
        <v>190300</v>
      </c>
      <c r="G34" s="370">
        <f>[4]bölcsőde!G30+[4]óvoda!G33</f>
        <v>0</v>
      </c>
      <c r="H34" s="370">
        <f>[4]bölcsőde!H30+[4]óvoda!H33</f>
        <v>190300</v>
      </c>
    </row>
    <row r="35" spans="1:8" s="369" customFormat="1" ht="15.75" thickBot="1" x14ac:dyDescent="0.3">
      <c r="A35" s="856" t="s">
        <v>347</v>
      </c>
      <c r="B35" s="857"/>
      <c r="C35" s="857"/>
      <c r="D35" s="857"/>
      <c r="E35" s="858"/>
      <c r="F35" s="368">
        <f>F33+F34</f>
        <v>300300</v>
      </c>
      <c r="G35" s="368">
        <f t="shared" ref="G35:H35" si="7">G33+G34</f>
        <v>29700</v>
      </c>
      <c r="H35" s="368">
        <f t="shared" si="7"/>
        <v>330000</v>
      </c>
    </row>
    <row r="36" spans="1:8" s="369" customFormat="1" ht="15.75" thickBot="1" x14ac:dyDescent="0.3">
      <c r="A36" s="868" t="s">
        <v>701</v>
      </c>
      <c r="B36" s="869"/>
      <c r="C36" s="869"/>
      <c r="D36" s="869"/>
      <c r="E36" s="870"/>
      <c r="F36" s="576">
        <f>[4]bölcsőde!F32+[4]óvoda!F37</f>
        <v>66000</v>
      </c>
      <c r="G36" s="576">
        <f>[4]bölcsőde!G32+[4]óvoda!G37</f>
        <v>17820</v>
      </c>
      <c r="H36" s="576">
        <f>[4]bölcsőde!H32+[4]óvoda!H37</f>
        <v>83820</v>
      </c>
    </row>
    <row r="37" spans="1:8" s="369" customFormat="1" ht="15.75" thickBot="1" x14ac:dyDescent="0.3">
      <c r="A37" s="868" t="s">
        <v>702</v>
      </c>
      <c r="B37" s="869"/>
      <c r="C37" s="869"/>
      <c r="D37" s="869"/>
      <c r="E37" s="870"/>
      <c r="F37" s="370">
        <v>30000</v>
      </c>
      <c r="G37" s="370">
        <f>F37*27%</f>
        <v>8100.0000000000009</v>
      </c>
      <c r="H37" s="370">
        <f>F37+G37</f>
        <v>38100</v>
      </c>
    </row>
    <row r="38" spans="1:8" s="365" customFormat="1" ht="15.75" thickBot="1" x14ac:dyDescent="0.3">
      <c r="A38" s="868" t="s">
        <v>703</v>
      </c>
      <c r="B38" s="869"/>
      <c r="C38" s="869"/>
      <c r="D38" s="869"/>
      <c r="E38" s="870"/>
      <c r="F38" s="370">
        <f>[4]bölcsőde!F33+[4]óvoda!F35</f>
        <v>25000</v>
      </c>
      <c r="G38" s="370">
        <f>[4]bölcsőde!G33+[4]óvoda!G35</f>
        <v>6750</v>
      </c>
      <c r="H38" s="370">
        <f>[4]bölcsőde!H33+[4]óvoda!H35</f>
        <v>31750</v>
      </c>
    </row>
    <row r="39" spans="1:8" s="365" customFormat="1" ht="15.75" thickBot="1" x14ac:dyDescent="0.3">
      <c r="A39" s="868" t="s">
        <v>704</v>
      </c>
      <c r="B39" s="869"/>
      <c r="C39" s="869"/>
      <c r="D39" s="869"/>
      <c r="E39" s="870"/>
      <c r="F39" s="370">
        <v>100000</v>
      </c>
      <c r="G39" s="370">
        <v>0</v>
      </c>
      <c r="H39" s="370">
        <v>100000</v>
      </c>
    </row>
    <row r="40" spans="1:8" ht="15.75" thickBot="1" x14ac:dyDescent="0.3">
      <c r="A40" s="856" t="s">
        <v>353</v>
      </c>
      <c r="B40" s="857"/>
      <c r="C40" s="857"/>
      <c r="D40" s="857"/>
      <c r="E40" s="858"/>
      <c r="F40" s="368">
        <f>F36+F37+F38+F39</f>
        <v>221000</v>
      </c>
      <c r="G40" s="368">
        <f t="shared" ref="G40:H40" si="8">G36+G37+G38+G39</f>
        <v>32670</v>
      </c>
      <c r="H40" s="368">
        <f t="shared" si="8"/>
        <v>253670</v>
      </c>
    </row>
    <row r="41" spans="1:8" ht="15.75" thickBot="1" x14ac:dyDescent="0.3">
      <c r="A41" s="856" t="s">
        <v>354</v>
      </c>
      <c r="B41" s="857"/>
      <c r="C41" s="857"/>
      <c r="D41" s="857"/>
      <c r="E41" s="858"/>
      <c r="F41" s="368">
        <f>F31+F32+F35+F40</f>
        <v>2691300</v>
      </c>
      <c r="G41" s="368">
        <f>G31+G32+G35+G40</f>
        <v>648269</v>
      </c>
      <c r="H41" s="368">
        <f>H31+H32+H35+H40</f>
        <v>3339569</v>
      </c>
    </row>
    <row r="42" spans="1:8" s="365" customFormat="1" ht="15.75" thickBot="1" x14ac:dyDescent="0.3">
      <c r="A42" s="868" t="s">
        <v>355</v>
      </c>
      <c r="B42" s="869"/>
      <c r="C42" s="869"/>
      <c r="D42" s="869"/>
      <c r="E42" s="870"/>
      <c r="F42" s="370">
        <f>[4]bölcsőde!F36+[4]óvoda!F41</f>
        <v>120000</v>
      </c>
      <c r="G42" s="370">
        <v>0</v>
      </c>
      <c r="H42" s="167">
        <f>F42+G42</f>
        <v>120000</v>
      </c>
    </row>
    <row r="43" spans="1:8" ht="15.75" thickBot="1" x14ac:dyDescent="0.3">
      <c r="A43" s="856" t="s">
        <v>357</v>
      </c>
      <c r="B43" s="857"/>
      <c r="C43" s="857"/>
      <c r="D43" s="857"/>
      <c r="E43" s="858"/>
      <c r="F43" s="368">
        <f>F42</f>
        <v>120000</v>
      </c>
      <c r="G43" s="368">
        <f t="shared" ref="G43:H43" si="9">G42</f>
        <v>0</v>
      </c>
      <c r="H43" s="368">
        <f t="shared" si="9"/>
        <v>120000</v>
      </c>
    </row>
    <row r="44" spans="1:8" s="365" customFormat="1" ht="15.75" thickBot="1" x14ac:dyDescent="0.3">
      <c r="A44" s="868" t="s">
        <v>358</v>
      </c>
      <c r="B44" s="869"/>
      <c r="C44" s="869"/>
      <c r="D44" s="869"/>
      <c r="E44" s="870"/>
      <c r="F44" s="370">
        <v>0</v>
      </c>
      <c r="G44" s="370">
        <f>[4]óvoda!G43+[4]bölcsőde!G38</f>
        <v>1263148</v>
      </c>
      <c r="H44" s="370">
        <f>G44</f>
        <v>1263148</v>
      </c>
    </row>
    <row r="45" spans="1:8" s="365" customFormat="1" ht="15.75" thickBot="1" x14ac:dyDescent="0.3">
      <c r="A45" s="868" t="s">
        <v>361</v>
      </c>
      <c r="B45" s="869"/>
      <c r="C45" s="869"/>
      <c r="D45" s="869"/>
      <c r="E45" s="870"/>
      <c r="F45" s="370">
        <f>[4]óvoda!F44+[4]bölcsőde!F39</f>
        <v>25000</v>
      </c>
      <c r="G45" s="370">
        <f>[4]óvoda!G44+[4]bölcsőde!G39</f>
        <v>0</v>
      </c>
      <c r="H45" s="370">
        <f>[4]óvoda!H44+[4]bölcsőde!H39</f>
        <v>25000</v>
      </c>
    </row>
    <row r="46" spans="1:8" ht="16.5" thickBot="1" x14ac:dyDescent="0.3">
      <c r="A46" s="856" t="s">
        <v>359</v>
      </c>
      <c r="B46" s="857"/>
      <c r="C46" s="857"/>
      <c r="D46" s="857"/>
      <c r="E46" s="858"/>
      <c r="F46" s="368">
        <f>F44+F45</f>
        <v>25000</v>
      </c>
      <c r="G46" s="368">
        <f>[4]óvoda!G45+[4]bölcsőde!G40</f>
        <v>1263148</v>
      </c>
      <c r="H46" s="371">
        <f>F46+G46</f>
        <v>1288148</v>
      </c>
    </row>
    <row r="47" spans="1:8" s="365" customFormat="1" ht="15.75" thickBot="1" x14ac:dyDescent="0.3">
      <c r="A47" s="856" t="s">
        <v>360</v>
      </c>
      <c r="B47" s="857"/>
      <c r="C47" s="857"/>
      <c r="D47" s="857"/>
      <c r="E47" s="858"/>
      <c r="F47" s="368">
        <f>[4]bölcsőde!F41+[4]óvoda!F46</f>
        <v>5488000</v>
      </c>
      <c r="G47" s="368">
        <f>[4]bölcsőde!G41+[4]óvoda!G46</f>
        <v>1263148</v>
      </c>
      <c r="H47" s="368">
        <f>[4]bölcsőde!H41+[4]óvoda!H46</f>
        <v>6751148</v>
      </c>
    </row>
    <row r="48" spans="1:8" s="365" customFormat="1" ht="16.5" thickBot="1" x14ac:dyDescent="0.3">
      <c r="A48" s="892" t="s">
        <v>712</v>
      </c>
      <c r="B48" s="893"/>
      <c r="C48" s="893"/>
      <c r="D48" s="893"/>
      <c r="E48" s="894"/>
      <c r="F48" s="368"/>
      <c r="G48" s="368"/>
      <c r="H48" s="368"/>
    </row>
    <row r="49" spans="1:8" ht="15.75" thickBot="1" x14ac:dyDescent="0.3">
      <c r="A49" s="865" t="s">
        <v>167</v>
      </c>
      <c r="B49" s="866"/>
      <c r="C49" s="866"/>
      <c r="D49" s="866"/>
      <c r="E49" s="867"/>
      <c r="F49" s="167">
        <v>50000</v>
      </c>
      <c r="G49" s="167">
        <f t="shared" ref="G49:G52" si="10">F49*27%</f>
        <v>13500</v>
      </c>
      <c r="H49" s="167">
        <f>F49+G49</f>
        <v>63500</v>
      </c>
    </row>
    <row r="50" spans="1:8" ht="15.75" thickBot="1" x14ac:dyDescent="0.3">
      <c r="A50" s="865" t="s">
        <v>168</v>
      </c>
      <c r="B50" s="866"/>
      <c r="C50" s="866"/>
      <c r="D50" s="866"/>
      <c r="E50" s="867"/>
      <c r="F50" s="167">
        <v>20000</v>
      </c>
      <c r="G50" s="167">
        <f t="shared" si="10"/>
        <v>5400</v>
      </c>
      <c r="H50" s="167">
        <f t="shared" ref="H50:H68" si="11">F50+G50</f>
        <v>25400</v>
      </c>
    </row>
    <row r="51" spans="1:8" s="365" customFormat="1" ht="15.75" thickBot="1" x14ac:dyDescent="0.3">
      <c r="A51" s="865" t="s">
        <v>158</v>
      </c>
      <c r="B51" s="866"/>
      <c r="C51" s="866"/>
      <c r="D51" s="866"/>
      <c r="E51" s="867"/>
      <c r="F51" s="167">
        <v>12000</v>
      </c>
      <c r="G51" s="167">
        <f t="shared" si="10"/>
        <v>3240</v>
      </c>
      <c r="H51" s="167">
        <f t="shared" si="11"/>
        <v>15240</v>
      </c>
    </row>
    <row r="52" spans="1:8" s="365" customFormat="1" ht="15.75" thickBot="1" x14ac:dyDescent="0.3">
      <c r="A52" s="865" t="s">
        <v>169</v>
      </c>
      <c r="B52" s="866"/>
      <c r="C52" s="866"/>
      <c r="D52" s="866"/>
      <c r="E52" s="867"/>
      <c r="F52" s="167">
        <v>50000</v>
      </c>
      <c r="G52" s="167">
        <f t="shared" si="10"/>
        <v>13500</v>
      </c>
      <c r="H52" s="167">
        <f t="shared" si="11"/>
        <v>63500</v>
      </c>
    </row>
    <row r="53" spans="1:8" s="365" customFormat="1" ht="16.5" thickBot="1" x14ac:dyDescent="0.3">
      <c r="A53" s="892" t="s">
        <v>713</v>
      </c>
      <c r="B53" s="893"/>
      <c r="C53" s="893"/>
      <c r="D53" s="893"/>
      <c r="E53" s="894"/>
      <c r="F53" s="371">
        <f>F49+F50+F51+F52</f>
        <v>132000</v>
      </c>
      <c r="G53" s="371">
        <f t="shared" ref="G53:H53" si="12">G49+G50+G51+G52</f>
        <v>35640</v>
      </c>
      <c r="H53" s="371">
        <f t="shared" si="12"/>
        <v>167640</v>
      </c>
    </row>
    <row r="54" spans="1:8" s="365" customFormat="1" ht="16.5" thickBot="1" x14ac:dyDescent="0.3">
      <c r="A54" s="892" t="s">
        <v>714</v>
      </c>
      <c r="B54" s="893"/>
      <c r="C54" s="893"/>
      <c r="D54" s="893"/>
      <c r="E54" s="894"/>
      <c r="F54" s="371"/>
      <c r="G54" s="371"/>
      <c r="H54" s="371"/>
    </row>
    <row r="55" spans="1:8" s="365" customFormat="1" ht="15.75" thickBot="1" x14ac:dyDescent="0.3">
      <c r="A55" s="865" t="s">
        <v>157</v>
      </c>
      <c r="B55" s="866"/>
      <c r="C55" s="866"/>
      <c r="D55" s="866"/>
      <c r="E55" s="867"/>
      <c r="F55" s="167">
        <v>50000</v>
      </c>
      <c r="G55" s="167">
        <f>F55*5%</f>
        <v>2500</v>
      </c>
      <c r="H55" s="167">
        <f>F55+G55</f>
        <v>52500</v>
      </c>
    </row>
    <row r="56" spans="1:8" s="365" customFormat="1" ht="15.75" thickBot="1" x14ac:dyDescent="0.3">
      <c r="A56" s="865" t="s">
        <v>715</v>
      </c>
      <c r="B56" s="866"/>
      <c r="C56" s="866"/>
      <c r="D56" s="866"/>
      <c r="E56" s="867"/>
      <c r="F56" s="167">
        <v>80000</v>
      </c>
      <c r="G56" s="167">
        <f t="shared" ref="G56:G65" si="13">F56*27%</f>
        <v>21600</v>
      </c>
      <c r="H56" s="167">
        <f t="shared" ref="H56:H65" si="14">F56+G56</f>
        <v>101600</v>
      </c>
    </row>
    <row r="57" spans="1:8" s="365" customFormat="1" ht="15.75" thickBot="1" x14ac:dyDescent="0.3">
      <c r="A57" s="865" t="s">
        <v>158</v>
      </c>
      <c r="B57" s="866"/>
      <c r="C57" s="866"/>
      <c r="D57" s="866"/>
      <c r="E57" s="867"/>
      <c r="F57" s="167">
        <v>20000</v>
      </c>
      <c r="G57" s="167">
        <f t="shared" si="13"/>
        <v>5400</v>
      </c>
      <c r="H57" s="167">
        <f t="shared" si="14"/>
        <v>25400</v>
      </c>
    </row>
    <row r="58" spans="1:8" s="365" customFormat="1" ht="15.75" thickBot="1" x14ac:dyDescent="0.3">
      <c r="A58" s="865" t="s">
        <v>159</v>
      </c>
      <c r="B58" s="866"/>
      <c r="C58" s="866"/>
      <c r="D58" s="866"/>
      <c r="E58" s="867"/>
      <c r="F58" s="167">
        <v>15000</v>
      </c>
      <c r="G58" s="167">
        <f t="shared" si="13"/>
        <v>4050.0000000000005</v>
      </c>
      <c r="H58" s="167">
        <f t="shared" si="14"/>
        <v>19050</v>
      </c>
    </row>
    <row r="59" spans="1:8" s="365" customFormat="1" ht="15.75" thickBot="1" x14ac:dyDescent="0.3">
      <c r="A59" s="865" t="s">
        <v>160</v>
      </c>
      <c r="B59" s="866"/>
      <c r="C59" s="866"/>
      <c r="D59" s="866"/>
      <c r="E59" s="867"/>
      <c r="F59" s="167">
        <v>40000</v>
      </c>
      <c r="G59" s="167">
        <f t="shared" si="13"/>
        <v>10800</v>
      </c>
      <c r="H59" s="167">
        <f t="shared" si="14"/>
        <v>50800</v>
      </c>
    </row>
    <row r="60" spans="1:8" s="365" customFormat="1" ht="15.75" thickBot="1" x14ac:dyDescent="0.3">
      <c r="A60" s="865" t="s">
        <v>716</v>
      </c>
      <c r="B60" s="866"/>
      <c r="C60" s="866"/>
      <c r="D60" s="866"/>
      <c r="E60" s="867"/>
      <c r="F60" s="167">
        <v>100000</v>
      </c>
      <c r="G60" s="167">
        <f>F60*27%</f>
        <v>27000</v>
      </c>
      <c r="H60" s="167">
        <f t="shared" si="14"/>
        <v>127000</v>
      </c>
    </row>
    <row r="61" spans="1:8" s="365" customFormat="1" ht="15.75" thickBot="1" x14ac:dyDescent="0.3">
      <c r="A61" s="865" t="s">
        <v>161</v>
      </c>
      <c r="B61" s="866"/>
      <c r="C61" s="866"/>
      <c r="D61" s="866"/>
      <c r="E61" s="867"/>
      <c r="F61" s="167">
        <v>25000</v>
      </c>
      <c r="G61" s="167">
        <f t="shared" si="13"/>
        <v>6750</v>
      </c>
      <c r="H61" s="167">
        <f t="shared" si="14"/>
        <v>31750</v>
      </c>
    </row>
    <row r="62" spans="1:8" s="365" customFormat="1" ht="15.75" thickBot="1" x14ac:dyDescent="0.3">
      <c r="A62" s="865" t="s">
        <v>162</v>
      </c>
      <c r="B62" s="866"/>
      <c r="C62" s="866"/>
      <c r="D62" s="866"/>
      <c r="E62" s="867"/>
      <c r="F62" s="167">
        <v>30000</v>
      </c>
      <c r="G62" s="167">
        <f>F62*27%</f>
        <v>8100.0000000000009</v>
      </c>
      <c r="H62" s="167">
        <f t="shared" si="14"/>
        <v>38100</v>
      </c>
    </row>
    <row r="63" spans="1:8" s="365" customFormat="1" ht="15.75" thickBot="1" x14ac:dyDescent="0.3">
      <c r="A63" s="865" t="s">
        <v>163</v>
      </c>
      <c r="B63" s="866"/>
      <c r="C63" s="866"/>
      <c r="D63" s="866"/>
      <c r="E63" s="867"/>
      <c r="F63" s="167">
        <v>90000</v>
      </c>
      <c r="G63" s="167">
        <f t="shared" si="13"/>
        <v>24300</v>
      </c>
      <c r="H63" s="167">
        <f t="shared" si="14"/>
        <v>114300</v>
      </c>
    </row>
    <row r="64" spans="1:8" s="365" customFormat="1" ht="15.75" thickBot="1" x14ac:dyDescent="0.3">
      <c r="A64" s="865" t="s">
        <v>164</v>
      </c>
      <c r="B64" s="866"/>
      <c r="C64" s="866"/>
      <c r="D64" s="866"/>
      <c r="E64" s="867"/>
      <c r="F64" s="167">
        <v>140000</v>
      </c>
      <c r="G64" s="167">
        <f>F64*27%</f>
        <v>37800</v>
      </c>
      <c r="H64" s="167">
        <f t="shared" si="14"/>
        <v>177800</v>
      </c>
    </row>
    <row r="65" spans="1:8" s="365" customFormat="1" ht="15.75" thickBot="1" x14ac:dyDescent="0.3">
      <c r="A65" s="865" t="s">
        <v>717</v>
      </c>
      <c r="B65" s="866"/>
      <c r="C65" s="866"/>
      <c r="D65" s="866"/>
      <c r="E65" s="867"/>
      <c r="F65" s="167">
        <v>120000</v>
      </c>
      <c r="G65" s="167">
        <f t="shared" si="13"/>
        <v>32400.000000000004</v>
      </c>
      <c r="H65" s="167">
        <f t="shared" si="14"/>
        <v>152400</v>
      </c>
    </row>
    <row r="66" spans="1:8" s="365" customFormat="1" ht="16.5" thickBot="1" x14ac:dyDescent="0.3">
      <c r="A66" s="892" t="s">
        <v>718</v>
      </c>
      <c r="B66" s="893"/>
      <c r="C66" s="893"/>
      <c r="D66" s="893"/>
      <c r="E66" s="894"/>
      <c r="F66" s="371">
        <f>F55+F56+F57+F58+F59+F60+F61+F62+F63+F64+F65</f>
        <v>710000</v>
      </c>
      <c r="G66" s="371">
        <f t="shared" ref="G66:H66" si="15">G55+G56+G57+G58+G59+G60+G61+G62+G63+G64+G65</f>
        <v>180700</v>
      </c>
      <c r="H66" s="371">
        <f t="shared" si="15"/>
        <v>890700</v>
      </c>
    </row>
    <row r="67" spans="1:8" s="369" customFormat="1" ht="15.75" thickBot="1" x14ac:dyDescent="0.3">
      <c r="A67" s="856" t="s">
        <v>720</v>
      </c>
      <c r="B67" s="857"/>
      <c r="C67" s="857"/>
      <c r="D67" s="857"/>
      <c r="E67" s="858"/>
      <c r="F67" s="368">
        <f>F66+F53</f>
        <v>842000</v>
      </c>
      <c r="G67" s="368">
        <f t="shared" ref="G67:H67" si="16">G66+G53</f>
        <v>216340</v>
      </c>
      <c r="H67" s="368">
        <f t="shared" si="16"/>
        <v>1058340</v>
      </c>
    </row>
    <row r="68" spans="1:8" s="369" customFormat="1" ht="15.75" thickBot="1" x14ac:dyDescent="0.3">
      <c r="A68" s="856" t="s">
        <v>363</v>
      </c>
      <c r="B68" s="857"/>
      <c r="C68" s="857"/>
      <c r="D68" s="857"/>
      <c r="E68" s="858"/>
      <c r="F68" s="368"/>
      <c r="G68" s="368">
        <f>G67</f>
        <v>216340</v>
      </c>
      <c r="H68" s="368">
        <f t="shared" si="11"/>
        <v>216340</v>
      </c>
    </row>
    <row r="69" spans="1:8" s="369" customFormat="1" ht="19.5" thickBot="1" x14ac:dyDescent="0.35">
      <c r="A69" s="895" t="s">
        <v>364</v>
      </c>
      <c r="B69" s="896"/>
      <c r="C69" s="896"/>
      <c r="D69" s="896"/>
      <c r="E69" s="897"/>
      <c r="F69" s="373">
        <f>[4]bölcsőde!F48+[4]óvoda!F60</f>
        <v>38709049</v>
      </c>
      <c r="G69" s="373">
        <f>[4]bölcsőde!G48+[4]óvoda!G60</f>
        <v>1479488</v>
      </c>
      <c r="H69" s="373">
        <f>[4]bölcsőde!H48+[4]óvoda!H60</f>
        <v>40188537</v>
      </c>
    </row>
    <row r="70" spans="1:8" s="369" customFormat="1" x14ac:dyDescent="0.25">
      <c r="A70"/>
      <c r="B70"/>
      <c r="C70"/>
      <c r="D70"/>
      <c r="E70"/>
      <c r="F70" s="364"/>
      <c r="G70" s="364"/>
      <c r="H70"/>
    </row>
    <row r="71" spans="1:8" s="369" customFormat="1" x14ac:dyDescent="0.25">
      <c r="A71"/>
      <c r="B71"/>
      <c r="C71"/>
      <c r="D71"/>
      <c r="E71"/>
      <c r="F71" s="364"/>
      <c r="G71" s="364"/>
      <c r="H71"/>
    </row>
  </sheetData>
  <mergeCells count="67">
    <mergeCell ref="A69:E69"/>
    <mergeCell ref="A64:E64"/>
    <mergeCell ref="A65:E65"/>
    <mergeCell ref="A66:E66"/>
    <mergeCell ref="A67:E67"/>
    <mergeCell ref="A68:E68"/>
    <mergeCell ref="A63:E63"/>
    <mergeCell ref="A57:E57"/>
    <mergeCell ref="A58:E58"/>
    <mergeCell ref="A59:E59"/>
    <mergeCell ref="A60:E60"/>
    <mergeCell ref="A61:E61"/>
    <mergeCell ref="A62:E62"/>
    <mergeCell ref="A56:E56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44:E44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32:E32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C2:H2"/>
    <mergeCell ref="A4:E4"/>
    <mergeCell ref="A5:E5"/>
    <mergeCell ref="A6:E6"/>
    <mergeCell ref="A7:E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1"/>
  <sheetViews>
    <sheetView workbookViewId="0">
      <selection activeCell="H3" sqref="H3"/>
    </sheetView>
  </sheetViews>
  <sheetFormatPr defaultRowHeight="15" x14ac:dyDescent="0.25"/>
  <cols>
    <col min="5" max="5" width="18.28515625" customWidth="1"/>
    <col min="6" max="6" width="14.42578125" style="364" customWidth="1"/>
    <col min="7" max="7" width="12.28515625" style="364" customWidth="1"/>
    <col min="8" max="8" width="15.85546875" bestFit="1" customWidth="1"/>
    <col min="259" max="259" width="16.5703125" customWidth="1"/>
    <col min="260" max="260" width="14.42578125" customWidth="1"/>
    <col min="261" max="261" width="10.42578125" bestFit="1" customWidth="1"/>
    <col min="262" max="262" width="15.85546875" bestFit="1" customWidth="1"/>
    <col min="263" max="263" width="14" bestFit="1" customWidth="1"/>
    <col min="515" max="515" width="16.5703125" customWidth="1"/>
    <col min="516" max="516" width="14.42578125" customWidth="1"/>
    <col min="517" max="517" width="10.42578125" bestFit="1" customWidth="1"/>
    <col min="518" max="518" width="15.85546875" bestFit="1" customWidth="1"/>
    <col min="519" max="519" width="14" bestFit="1" customWidth="1"/>
    <col min="771" max="771" width="16.5703125" customWidth="1"/>
    <col min="772" max="772" width="14.42578125" customWidth="1"/>
    <col min="773" max="773" width="10.42578125" bestFit="1" customWidth="1"/>
    <col min="774" max="774" width="15.85546875" bestFit="1" customWidth="1"/>
    <col min="775" max="775" width="14" bestFit="1" customWidth="1"/>
    <col min="1027" max="1027" width="16.5703125" customWidth="1"/>
    <col min="1028" max="1028" width="14.42578125" customWidth="1"/>
    <col min="1029" max="1029" width="10.42578125" bestFit="1" customWidth="1"/>
    <col min="1030" max="1030" width="15.85546875" bestFit="1" customWidth="1"/>
    <col min="1031" max="1031" width="14" bestFit="1" customWidth="1"/>
    <col min="1283" max="1283" width="16.5703125" customWidth="1"/>
    <col min="1284" max="1284" width="14.42578125" customWidth="1"/>
    <col min="1285" max="1285" width="10.42578125" bestFit="1" customWidth="1"/>
    <col min="1286" max="1286" width="15.85546875" bestFit="1" customWidth="1"/>
    <col min="1287" max="1287" width="14" bestFit="1" customWidth="1"/>
    <col min="1539" max="1539" width="16.5703125" customWidth="1"/>
    <col min="1540" max="1540" width="14.42578125" customWidth="1"/>
    <col min="1541" max="1541" width="10.42578125" bestFit="1" customWidth="1"/>
    <col min="1542" max="1542" width="15.85546875" bestFit="1" customWidth="1"/>
    <col min="1543" max="1543" width="14" bestFit="1" customWidth="1"/>
    <col min="1795" max="1795" width="16.5703125" customWidth="1"/>
    <col min="1796" max="1796" width="14.42578125" customWidth="1"/>
    <col min="1797" max="1797" width="10.42578125" bestFit="1" customWidth="1"/>
    <col min="1798" max="1798" width="15.85546875" bestFit="1" customWidth="1"/>
    <col min="1799" max="1799" width="14" bestFit="1" customWidth="1"/>
    <col min="2051" max="2051" width="16.5703125" customWidth="1"/>
    <col min="2052" max="2052" width="14.42578125" customWidth="1"/>
    <col min="2053" max="2053" width="10.42578125" bestFit="1" customWidth="1"/>
    <col min="2054" max="2054" width="15.85546875" bestFit="1" customWidth="1"/>
    <col min="2055" max="2055" width="14" bestFit="1" customWidth="1"/>
    <col min="2307" max="2307" width="16.5703125" customWidth="1"/>
    <col min="2308" max="2308" width="14.42578125" customWidth="1"/>
    <col min="2309" max="2309" width="10.42578125" bestFit="1" customWidth="1"/>
    <col min="2310" max="2310" width="15.85546875" bestFit="1" customWidth="1"/>
    <col min="2311" max="2311" width="14" bestFit="1" customWidth="1"/>
    <col min="2563" max="2563" width="16.5703125" customWidth="1"/>
    <col min="2564" max="2564" width="14.42578125" customWidth="1"/>
    <col min="2565" max="2565" width="10.42578125" bestFit="1" customWidth="1"/>
    <col min="2566" max="2566" width="15.85546875" bestFit="1" customWidth="1"/>
    <col min="2567" max="2567" width="14" bestFit="1" customWidth="1"/>
    <col min="2819" max="2819" width="16.5703125" customWidth="1"/>
    <col min="2820" max="2820" width="14.42578125" customWidth="1"/>
    <col min="2821" max="2821" width="10.42578125" bestFit="1" customWidth="1"/>
    <col min="2822" max="2822" width="15.85546875" bestFit="1" customWidth="1"/>
    <col min="2823" max="2823" width="14" bestFit="1" customWidth="1"/>
    <col min="3075" max="3075" width="16.5703125" customWidth="1"/>
    <col min="3076" max="3076" width="14.42578125" customWidth="1"/>
    <col min="3077" max="3077" width="10.42578125" bestFit="1" customWidth="1"/>
    <col min="3078" max="3078" width="15.85546875" bestFit="1" customWidth="1"/>
    <col min="3079" max="3079" width="14" bestFit="1" customWidth="1"/>
    <col min="3331" max="3331" width="16.5703125" customWidth="1"/>
    <col min="3332" max="3332" width="14.42578125" customWidth="1"/>
    <col min="3333" max="3333" width="10.42578125" bestFit="1" customWidth="1"/>
    <col min="3334" max="3334" width="15.85546875" bestFit="1" customWidth="1"/>
    <col min="3335" max="3335" width="14" bestFit="1" customWidth="1"/>
    <col min="3587" max="3587" width="16.5703125" customWidth="1"/>
    <col min="3588" max="3588" width="14.42578125" customWidth="1"/>
    <col min="3589" max="3589" width="10.42578125" bestFit="1" customWidth="1"/>
    <col min="3590" max="3590" width="15.85546875" bestFit="1" customWidth="1"/>
    <col min="3591" max="3591" width="14" bestFit="1" customWidth="1"/>
    <col min="3843" max="3843" width="16.5703125" customWidth="1"/>
    <col min="3844" max="3844" width="14.42578125" customWidth="1"/>
    <col min="3845" max="3845" width="10.42578125" bestFit="1" customWidth="1"/>
    <col min="3846" max="3846" width="15.85546875" bestFit="1" customWidth="1"/>
    <col min="3847" max="3847" width="14" bestFit="1" customWidth="1"/>
    <col min="4099" max="4099" width="16.5703125" customWidth="1"/>
    <col min="4100" max="4100" width="14.42578125" customWidth="1"/>
    <col min="4101" max="4101" width="10.42578125" bestFit="1" customWidth="1"/>
    <col min="4102" max="4102" width="15.85546875" bestFit="1" customWidth="1"/>
    <col min="4103" max="4103" width="14" bestFit="1" customWidth="1"/>
    <col min="4355" max="4355" width="16.5703125" customWidth="1"/>
    <col min="4356" max="4356" width="14.42578125" customWidth="1"/>
    <col min="4357" max="4357" width="10.42578125" bestFit="1" customWidth="1"/>
    <col min="4358" max="4358" width="15.85546875" bestFit="1" customWidth="1"/>
    <col min="4359" max="4359" width="14" bestFit="1" customWidth="1"/>
    <col min="4611" max="4611" width="16.5703125" customWidth="1"/>
    <col min="4612" max="4612" width="14.42578125" customWidth="1"/>
    <col min="4613" max="4613" width="10.42578125" bestFit="1" customWidth="1"/>
    <col min="4614" max="4614" width="15.85546875" bestFit="1" customWidth="1"/>
    <col min="4615" max="4615" width="14" bestFit="1" customWidth="1"/>
    <col min="4867" max="4867" width="16.5703125" customWidth="1"/>
    <col min="4868" max="4868" width="14.42578125" customWidth="1"/>
    <col min="4869" max="4869" width="10.42578125" bestFit="1" customWidth="1"/>
    <col min="4870" max="4870" width="15.85546875" bestFit="1" customWidth="1"/>
    <col min="4871" max="4871" width="14" bestFit="1" customWidth="1"/>
    <col min="5123" max="5123" width="16.5703125" customWidth="1"/>
    <col min="5124" max="5124" width="14.42578125" customWidth="1"/>
    <col min="5125" max="5125" width="10.42578125" bestFit="1" customWidth="1"/>
    <col min="5126" max="5126" width="15.85546875" bestFit="1" customWidth="1"/>
    <col min="5127" max="5127" width="14" bestFit="1" customWidth="1"/>
    <col min="5379" max="5379" width="16.5703125" customWidth="1"/>
    <col min="5380" max="5380" width="14.42578125" customWidth="1"/>
    <col min="5381" max="5381" width="10.42578125" bestFit="1" customWidth="1"/>
    <col min="5382" max="5382" width="15.85546875" bestFit="1" customWidth="1"/>
    <col min="5383" max="5383" width="14" bestFit="1" customWidth="1"/>
    <col min="5635" max="5635" width="16.5703125" customWidth="1"/>
    <col min="5636" max="5636" width="14.42578125" customWidth="1"/>
    <col min="5637" max="5637" width="10.42578125" bestFit="1" customWidth="1"/>
    <col min="5638" max="5638" width="15.85546875" bestFit="1" customWidth="1"/>
    <col min="5639" max="5639" width="14" bestFit="1" customWidth="1"/>
    <col min="5891" max="5891" width="16.5703125" customWidth="1"/>
    <col min="5892" max="5892" width="14.42578125" customWidth="1"/>
    <col min="5893" max="5893" width="10.42578125" bestFit="1" customWidth="1"/>
    <col min="5894" max="5894" width="15.85546875" bestFit="1" customWidth="1"/>
    <col min="5895" max="5895" width="14" bestFit="1" customWidth="1"/>
    <col min="6147" max="6147" width="16.5703125" customWidth="1"/>
    <col min="6148" max="6148" width="14.42578125" customWidth="1"/>
    <col min="6149" max="6149" width="10.42578125" bestFit="1" customWidth="1"/>
    <col min="6150" max="6150" width="15.85546875" bestFit="1" customWidth="1"/>
    <col min="6151" max="6151" width="14" bestFit="1" customWidth="1"/>
    <col min="6403" max="6403" width="16.5703125" customWidth="1"/>
    <col min="6404" max="6404" width="14.42578125" customWidth="1"/>
    <col min="6405" max="6405" width="10.42578125" bestFit="1" customWidth="1"/>
    <col min="6406" max="6406" width="15.85546875" bestFit="1" customWidth="1"/>
    <col min="6407" max="6407" width="14" bestFit="1" customWidth="1"/>
    <col min="6659" max="6659" width="16.5703125" customWidth="1"/>
    <col min="6660" max="6660" width="14.42578125" customWidth="1"/>
    <col min="6661" max="6661" width="10.42578125" bestFit="1" customWidth="1"/>
    <col min="6662" max="6662" width="15.85546875" bestFit="1" customWidth="1"/>
    <col min="6663" max="6663" width="14" bestFit="1" customWidth="1"/>
    <col min="6915" max="6915" width="16.5703125" customWidth="1"/>
    <col min="6916" max="6916" width="14.42578125" customWidth="1"/>
    <col min="6917" max="6917" width="10.42578125" bestFit="1" customWidth="1"/>
    <col min="6918" max="6918" width="15.85546875" bestFit="1" customWidth="1"/>
    <col min="6919" max="6919" width="14" bestFit="1" customWidth="1"/>
    <col min="7171" max="7171" width="16.5703125" customWidth="1"/>
    <col min="7172" max="7172" width="14.42578125" customWidth="1"/>
    <col min="7173" max="7173" width="10.42578125" bestFit="1" customWidth="1"/>
    <col min="7174" max="7174" width="15.85546875" bestFit="1" customWidth="1"/>
    <col min="7175" max="7175" width="14" bestFit="1" customWidth="1"/>
    <col min="7427" max="7427" width="16.5703125" customWidth="1"/>
    <col min="7428" max="7428" width="14.42578125" customWidth="1"/>
    <col min="7429" max="7429" width="10.42578125" bestFit="1" customWidth="1"/>
    <col min="7430" max="7430" width="15.85546875" bestFit="1" customWidth="1"/>
    <col min="7431" max="7431" width="14" bestFit="1" customWidth="1"/>
    <col min="7683" max="7683" width="16.5703125" customWidth="1"/>
    <col min="7684" max="7684" width="14.42578125" customWidth="1"/>
    <col min="7685" max="7685" width="10.42578125" bestFit="1" customWidth="1"/>
    <col min="7686" max="7686" width="15.85546875" bestFit="1" customWidth="1"/>
    <col min="7687" max="7687" width="14" bestFit="1" customWidth="1"/>
    <col min="7939" max="7939" width="16.5703125" customWidth="1"/>
    <col min="7940" max="7940" width="14.42578125" customWidth="1"/>
    <col min="7941" max="7941" width="10.42578125" bestFit="1" customWidth="1"/>
    <col min="7942" max="7942" width="15.85546875" bestFit="1" customWidth="1"/>
    <col min="7943" max="7943" width="14" bestFit="1" customWidth="1"/>
    <col min="8195" max="8195" width="16.5703125" customWidth="1"/>
    <col min="8196" max="8196" width="14.42578125" customWidth="1"/>
    <col min="8197" max="8197" width="10.42578125" bestFit="1" customWidth="1"/>
    <col min="8198" max="8198" width="15.85546875" bestFit="1" customWidth="1"/>
    <col min="8199" max="8199" width="14" bestFit="1" customWidth="1"/>
    <col min="8451" max="8451" width="16.5703125" customWidth="1"/>
    <col min="8452" max="8452" width="14.42578125" customWidth="1"/>
    <col min="8453" max="8453" width="10.42578125" bestFit="1" customWidth="1"/>
    <col min="8454" max="8454" width="15.85546875" bestFit="1" customWidth="1"/>
    <col min="8455" max="8455" width="14" bestFit="1" customWidth="1"/>
    <col min="8707" max="8707" width="16.5703125" customWidth="1"/>
    <col min="8708" max="8708" width="14.42578125" customWidth="1"/>
    <col min="8709" max="8709" width="10.42578125" bestFit="1" customWidth="1"/>
    <col min="8710" max="8710" width="15.85546875" bestFit="1" customWidth="1"/>
    <col min="8711" max="8711" width="14" bestFit="1" customWidth="1"/>
    <col min="8963" max="8963" width="16.5703125" customWidth="1"/>
    <col min="8964" max="8964" width="14.42578125" customWidth="1"/>
    <col min="8965" max="8965" width="10.42578125" bestFit="1" customWidth="1"/>
    <col min="8966" max="8966" width="15.85546875" bestFit="1" customWidth="1"/>
    <col min="8967" max="8967" width="14" bestFit="1" customWidth="1"/>
    <col min="9219" max="9219" width="16.5703125" customWidth="1"/>
    <col min="9220" max="9220" width="14.42578125" customWidth="1"/>
    <col min="9221" max="9221" width="10.42578125" bestFit="1" customWidth="1"/>
    <col min="9222" max="9222" width="15.85546875" bestFit="1" customWidth="1"/>
    <col min="9223" max="9223" width="14" bestFit="1" customWidth="1"/>
    <col min="9475" max="9475" width="16.5703125" customWidth="1"/>
    <col min="9476" max="9476" width="14.42578125" customWidth="1"/>
    <col min="9477" max="9477" width="10.42578125" bestFit="1" customWidth="1"/>
    <col min="9478" max="9478" width="15.85546875" bestFit="1" customWidth="1"/>
    <col min="9479" max="9479" width="14" bestFit="1" customWidth="1"/>
    <col min="9731" max="9731" width="16.5703125" customWidth="1"/>
    <col min="9732" max="9732" width="14.42578125" customWidth="1"/>
    <col min="9733" max="9733" width="10.42578125" bestFit="1" customWidth="1"/>
    <col min="9734" max="9734" width="15.85546875" bestFit="1" customWidth="1"/>
    <col min="9735" max="9735" width="14" bestFit="1" customWidth="1"/>
    <col min="9987" max="9987" width="16.5703125" customWidth="1"/>
    <col min="9988" max="9988" width="14.42578125" customWidth="1"/>
    <col min="9989" max="9989" width="10.42578125" bestFit="1" customWidth="1"/>
    <col min="9990" max="9990" width="15.85546875" bestFit="1" customWidth="1"/>
    <col min="9991" max="9991" width="14" bestFit="1" customWidth="1"/>
    <col min="10243" max="10243" width="16.5703125" customWidth="1"/>
    <col min="10244" max="10244" width="14.42578125" customWidth="1"/>
    <col min="10245" max="10245" width="10.42578125" bestFit="1" customWidth="1"/>
    <col min="10246" max="10246" width="15.85546875" bestFit="1" customWidth="1"/>
    <col min="10247" max="10247" width="14" bestFit="1" customWidth="1"/>
    <col min="10499" max="10499" width="16.5703125" customWidth="1"/>
    <col min="10500" max="10500" width="14.42578125" customWidth="1"/>
    <col min="10501" max="10501" width="10.42578125" bestFit="1" customWidth="1"/>
    <col min="10502" max="10502" width="15.85546875" bestFit="1" customWidth="1"/>
    <col min="10503" max="10503" width="14" bestFit="1" customWidth="1"/>
    <col min="10755" max="10755" width="16.5703125" customWidth="1"/>
    <col min="10756" max="10756" width="14.42578125" customWidth="1"/>
    <col min="10757" max="10757" width="10.42578125" bestFit="1" customWidth="1"/>
    <col min="10758" max="10758" width="15.85546875" bestFit="1" customWidth="1"/>
    <col min="10759" max="10759" width="14" bestFit="1" customWidth="1"/>
    <col min="11011" max="11011" width="16.5703125" customWidth="1"/>
    <col min="11012" max="11012" width="14.42578125" customWidth="1"/>
    <col min="11013" max="11013" width="10.42578125" bestFit="1" customWidth="1"/>
    <col min="11014" max="11014" width="15.85546875" bestFit="1" customWidth="1"/>
    <col min="11015" max="11015" width="14" bestFit="1" customWidth="1"/>
    <col min="11267" max="11267" width="16.5703125" customWidth="1"/>
    <col min="11268" max="11268" width="14.42578125" customWidth="1"/>
    <col min="11269" max="11269" width="10.42578125" bestFit="1" customWidth="1"/>
    <col min="11270" max="11270" width="15.85546875" bestFit="1" customWidth="1"/>
    <col min="11271" max="11271" width="14" bestFit="1" customWidth="1"/>
    <col min="11523" max="11523" width="16.5703125" customWidth="1"/>
    <col min="11524" max="11524" width="14.42578125" customWidth="1"/>
    <col min="11525" max="11525" width="10.42578125" bestFit="1" customWidth="1"/>
    <col min="11526" max="11526" width="15.85546875" bestFit="1" customWidth="1"/>
    <col min="11527" max="11527" width="14" bestFit="1" customWidth="1"/>
    <col min="11779" max="11779" width="16.5703125" customWidth="1"/>
    <col min="11780" max="11780" width="14.42578125" customWidth="1"/>
    <col min="11781" max="11781" width="10.42578125" bestFit="1" customWidth="1"/>
    <col min="11782" max="11782" width="15.85546875" bestFit="1" customWidth="1"/>
    <col min="11783" max="11783" width="14" bestFit="1" customWidth="1"/>
    <col min="12035" max="12035" width="16.5703125" customWidth="1"/>
    <col min="12036" max="12036" width="14.42578125" customWidth="1"/>
    <col min="12037" max="12037" width="10.42578125" bestFit="1" customWidth="1"/>
    <col min="12038" max="12038" width="15.85546875" bestFit="1" customWidth="1"/>
    <col min="12039" max="12039" width="14" bestFit="1" customWidth="1"/>
    <col min="12291" max="12291" width="16.5703125" customWidth="1"/>
    <col min="12292" max="12292" width="14.42578125" customWidth="1"/>
    <col min="12293" max="12293" width="10.42578125" bestFit="1" customWidth="1"/>
    <col min="12294" max="12294" width="15.85546875" bestFit="1" customWidth="1"/>
    <col min="12295" max="12295" width="14" bestFit="1" customWidth="1"/>
    <col min="12547" max="12547" width="16.5703125" customWidth="1"/>
    <col min="12548" max="12548" width="14.42578125" customWidth="1"/>
    <col min="12549" max="12549" width="10.42578125" bestFit="1" customWidth="1"/>
    <col min="12550" max="12550" width="15.85546875" bestFit="1" customWidth="1"/>
    <col min="12551" max="12551" width="14" bestFit="1" customWidth="1"/>
    <col min="12803" max="12803" width="16.5703125" customWidth="1"/>
    <col min="12804" max="12804" width="14.42578125" customWidth="1"/>
    <col min="12805" max="12805" width="10.42578125" bestFit="1" customWidth="1"/>
    <col min="12806" max="12806" width="15.85546875" bestFit="1" customWidth="1"/>
    <col min="12807" max="12807" width="14" bestFit="1" customWidth="1"/>
    <col min="13059" max="13059" width="16.5703125" customWidth="1"/>
    <col min="13060" max="13060" width="14.42578125" customWidth="1"/>
    <col min="13061" max="13061" width="10.42578125" bestFit="1" customWidth="1"/>
    <col min="13062" max="13062" width="15.85546875" bestFit="1" customWidth="1"/>
    <col min="13063" max="13063" width="14" bestFit="1" customWidth="1"/>
    <col min="13315" max="13315" width="16.5703125" customWidth="1"/>
    <col min="13316" max="13316" width="14.42578125" customWidth="1"/>
    <col min="13317" max="13317" width="10.42578125" bestFit="1" customWidth="1"/>
    <col min="13318" max="13318" width="15.85546875" bestFit="1" customWidth="1"/>
    <col min="13319" max="13319" width="14" bestFit="1" customWidth="1"/>
    <col min="13571" max="13571" width="16.5703125" customWidth="1"/>
    <col min="13572" max="13572" width="14.42578125" customWidth="1"/>
    <col min="13573" max="13573" width="10.42578125" bestFit="1" customWidth="1"/>
    <col min="13574" max="13574" width="15.85546875" bestFit="1" customWidth="1"/>
    <col min="13575" max="13575" width="14" bestFit="1" customWidth="1"/>
    <col min="13827" max="13827" width="16.5703125" customWidth="1"/>
    <col min="13828" max="13828" width="14.42578125" customWidth="1"/>
    <col min="13829" max="13829" width="10.42578125" bestFit="1" customWidth="1"/>
    <col min="13830" max="13830" width="15.85546875" bestFit="1" customWidth="1"/>
    <col min="13831" max="13831" width="14" bestFit="1" customWidth="1"/>
    <col min="14083" max="14083" width="16.5703125" customWidth="1"/>
    <col min="14084" max="14084" width="14.42578125" customWidth="1"/>
    <col min="14085" max="14085" width="10.42578125" bestFit="1" customWidth="1"/>
    <col min="14086" max="14086" width="15.85546875" bestFit="1" customWidth="1"/>
    <col min="14087" max="14087" width="14" bestFit="1" customWidth="1"/>
    <col min="14339" max="14339" width="16.5703125" customWidth="1"/>
    <col min="14340" max="14340" width="14.42578125" customWidth="1"/>
    <col min="14341" max="14341" width="10.42578125" bestFit="1" customWidth="1"/>
    <col min="14342" max="14342" width="15.85546875" bestFit="1" customWidth="1"/>
    <col min="14343" max="14343" width="14" bestFit="1" customWidth="1"/>
    <col min="14595" max="14595" width="16.5703125" customWidth="1"/>
    <col min="14596" max="14596" width="14.42578125" customWidth="1"/>
    <col min="14597" max="14597" width="10.42578125" bestFit="1" customWidth="1"/>
    <col min="14598" max="14598" width="15.85546875" bestFit="1" customWidth="1"/>
    <col min="14599" max="14599" width="14" bestFit="1" customWidth="1"/>
    <col min="14851" max="14851" width="16.5703125" customWidth="1"/>
    <col min="14852" max="14852" width="14.42578125" customWidth="1"/>
    <col min="14853" max="14853" width="10.42578125" bestFit="1" customWidth="1"/>
    <col min="14854" max="14854" width="15.85546875" bestFit="1" customWidth="1"/>
    <col min="14855" max="14855" width="14" bestFit="1" customWidth="1"/>
    <col min="15107" max="15107" width="16.5703125" customWidth="1"/>
    <col min="15108" max="15108" width="14.42578125" customWidth="1"/>
    <col min="15109" max="15109" width="10.42578125" bestFit="1" customWidth="1"/>
    <col min="15110" max="15110" width="15.85546875" bestFit="1" customWidth="1"/>
    <col min="15111" max="15111" width="14" bestFit="1" customWidth="1"/>
    <col min="15363" max="15363" width="16.5703125" customWidth="1"/>
    <col min="15364" max="15364" width="14.42578125" customWidth="1"/>
    <col min="15365" max="15365" width="10.42578125" bestFit="1" customWidth="1"/>
    <col min="15366" max="15366" width="15.85546875" bestFit="1" customWidth="1"/>
    <col min="15367" max="15367" width="14" bestFit="1" customWidth="1"/>
    <col min="15619" max="15619" width="16.5703125" customWidth="1"/>
    <col min="15620" max="15620" width="14.42578125" customWidth="1"/>
    <col min="15621" max="15621" width="10.42578125" bestFit="1" customWidth="1"/>
    <col min="15622" max="15622" width="15.85546875" bestFit="1" customWidth="1"/>
    <col min="15623" max="15623" width="14" bestFit="1" customWidth="1"/>
    <col min="15875" max="15875" width="16.5703125" customWidth="1"/>
    <col min="15876" max="15876" width="14.42578125" customWidth="1"/>
    <col min="15877" max="15877" width="10.42578125" bestFit="1" customWidth="1"/>
    <col min="15878" max="15878" width="15.85546875" bestFit="1" customWidth="1"/>
    <col min="15879" max="15879" width="14" bestFit="1" customWidth="1"/>
    <col min="16131" max="16131" width="16.5703125" customWidth="1"/>
    <col min="16132" max="16132" width="14.42578125" customWidth="1"/>
    <col min="16133" max="16133" width="10.42578125" bestFit="1" customWidth="1"/>
    <col min="16134" max="16134" width="15.85546875" bestFit="1" customWidth="1"/>
    <col min="16135" max="16135" width="14" bestFit="1" customWidth="1"/>
  </cols>
  <sheetData>
    <row r="2" spans="1:8" ht="18.75" x14ac:dyDescent="0.3">
      <c r="D2" s="898" t="s">
        <v>735</v>
      </c>
      <c r="E2" s="898"/>
      <c r="F2" s="898"/>
      <c r="G2" s="898"/>
      <c r="H2" s="898"/>
    </row>
    <row r="3" spans="1:8" ht="15.75" thickBot="1" x14ac:dyDescent="0.3">
      <c r="H3" t="s">
        <v>828</v>
      </c>
    </row>
    <row r="4" spans="1:8" ht="15.75" thickBot="1" x14ac:dyDescent="0.3">
      <c r="A4" s="856" t="s">
        <v>7</v>
      </c>
      <c r="B4" s="857"/>
      <c r="C4" s="857"/>
      <c r="D4" s="857"/>
      <c r="E4" s="858"/>
      <c r="F4" s="366" t="s">
        <v>316</v>
      </c>
      <c r="G4" s="366" t="s">
        <v>317</v>
      </c>
      <c r="H4" s="367" t="s">
        <v>189</v>
      </c>
    </row>
    <row r="5" spans="1:8" ht="15.75" thickBot="1" x14ac:dyDescent="0.3">
      <c r="A5" s="859" t="s">
        <v>318</v>
      </c>
      <c r="B5" s="860"/>
      <c r="C5" s="860"/>
      <c r="D5" s="860"/>
      <c r="E5" s="861"/>
      <c r="F5" s="167">
        <f>2145000+136400</f>
        <v>2281400</v>
      </c>
      <c r="G5" s="167">
        <v>0</v>
      </c>
      <c r="H5" s="167">
        <f>G5+F5</f>
        <v>2281400</v>
      </c>
    </row>
    <row r="6" spans="1:8" ht="15.75" thickBot="1" x14ac:dyDescent="0.3">
      <c r="A6" s="859" t="s">
        <v>319</v>
      </c>
      <c r="B6" s="860"/>
      <c r="C6" s="860"/>
      <c r="D6" s="860"/>
      <c r="E6" s="861"/>
      <c r="F6" s="167">
        <v>100000</v>
      </c>
      <c r="G6" s="167">
        <v>0</v>
      </c>
      <c r="H6" s="167">
        <f>G6+F6</f>
        <v>100000</v>
      </c>
    </row>
    <row r="7" spans="1:8" ht="15.75" thickBot="1" x14ac:dyDescent="0.3">
      <c r="A7" s="859" t="s">
        <v>320</v>
      </c>
      <c r="B7" s="860"/>
      <c r="C7" s="860"/>
      <c r="D7" s="860"/>
      <c r="E7" s="861"/>
      <c r="F7" s="167">
        <v>96000</v>
      </c>
      <c r="G7" s="167">
        <v>0</v>
      </c>
      <c r="H7" s="167">
        <f>G7+F7</f>
        <v>96000</v>
      </c>
    </row>
    <row r="8" spans="1:8" s="577" customFormat="1" ht="15.75" thickBot="1" x14ac:dyDescent="0.3">
      <c r="A8" s="862" t="s">
        <v>678</v>
      </c>
      <c r="B8" s="863"/>
      <c r="C8" s="863"/>
      <c r="D8" s="863"/>
      <c r="E8" s="864"/>
      <c r="F8" s="576">
        <v>50000</v>
      </c>
      <c r="G8" s="576">
        <v>0</v>
      </c>
      <c r="H8" s="576">
        <f t="shared" ref="H8:H13" si="0">F8+G8</f>
        <v>50000</v>
      </c>
    </row>
    <row r="9" spans="1:8" s="577" customFormat="1" ht="15.75" thickBot="1" x14ac:dyDescent="0.3">
      <c r="A9" s="865" t="s">
        <v>679</v>
      </c>
      <c r="B9" s="866"/>
      <c r="C9" s="866"/>
      <c r="D9" s="866"/>
      <c r="E9" s="867"/>
      <c r="F9" s="576">
        <v>180500</v>
      </c>
      <c r="G9" s="576"/>
      <c r="H9" s="576">
        <f t="shared" si="0"/>
        <v>180500</v>
      </c>
    </row>
    <row r="10" spans="1:8" s="369" customFormat="1" ht="15.75" thickBot="1" x14ac:dyDescent="0.3">
      <c r="A10" s="865" t="s">
        <v>323</v>
      </c>
      <c r="B10" s="866"/>
      <c r="C10" s="866"/>
      <c r="D10" s="866"/>
      <c r="E10" s="867"/>
      <c r="F10" s="167">
        <v>80000</v>
      </c>
      <c r="G10" s="167">
        <v>0</v>
      </c>
      <c r="H10" s="167">
        <f t="shared" si="0"/>
        <v>80000</v>
      </c>
    </row>
    <row r="11" spans="1:8" ht="15.75" thickBot="1" x14ac:dyDescent="0.3">
      <c r="A11" s="865" t="s">
        <v>324</v>
      </c>
      <c r="B11" s="866"/>
      <c r="C11" s="866"/>
      <c r="D11" s="866"/>
      <c r="E11" s="867"/>
      <c r="F11" s="370">
        <v>60000</v>
      </c>
      <c r="G11" s="370">
        <v>0</v>
      </c>
      <c r="H11" s="167">
        <f t="shared" si="0"/>
        <v>60000</v>
      </c>
    </row>
    <row r="12" spans="1:8" s="369" customFormat="1" ht="15.75" thickBot="1" x14ac:dyDescent="0.3">
      <c r="A12" s="865" t="s">
        <v>325</v>
      </c>
      <c r="B12" s="866"/>
      <c r="C12" s="866"/>
      <c r="D12" s="866"/>
      <c r="E12" s="867"/>
      <c r="F12" s="167">
        <v>60000</v>
      </c>
      <c r="G12" s="167">
        <v>0</v>
      </c>
      <c r="H12" s="167">
        <f t="shared" si="0"/>
        <v>60000</v>
      </c>
    </row>
    <row r="13" spans="1:8" s="369" customFormat="1" ht="15.75" thickBot="1" x14ac:dyDescent="0.3">
      <c r="A13" s="865" t="s">
        <v>508</v>
      </c>
      <c r="B13" s="866"/>
      <c r="C13" s="866"/>
      <c r="D13" s="866"/>
      <c r="E13" s="867"/>
      <c r="F13" s="167">
        <v>1255000</v>
      </c>
      <c r="G13" s="167">
        <v>0</v>
      </c>
      <c r="H13" s="167">
        <f t="shared" si="0"/>
        <v>1255000</v>
      </c>
    </row>
    <row r="14" spans="1:8" s="365" customFormat="1" ht="15.75" thickBot="1" x14ac:dyDescent="0.3">
      <c r="A14" s="856" t="s">
        <v>326</v>
      </c>
      <c r="B14" s="857"/>
      <c r="C14" s="857"/>
      <c r="D14" s="857"/>
      <c r="E14" s="858"/>
      <c r="F14" s="368">
        <f>F9+F10+F11+F12+F13</f>
        <v>1635500</v>
      </c>
      <c r="G14" s="368">
        <f t="shared" ref="G14:H14" si="1">G9+G10+G11+G12+G13</f>
        <v>0</v>
      </c>
      <c r="H14" s="368">
        <f t="shared" si="1"/>
        <v>1635500</v>
      </c>
    </row>
    <row r="15" spans="1:8" s="372" customFormat="1" ht="16.5" thickBot="1" x14ac:dyDescent="0.3">
      <c r="A15" s="871" t="s">
        <v>327</v>
      </c>
      <c r="B15" s="872"/>
      <c r="C15" s="872"/>
      <c r="D15" s="872"/>
      <c r="E15" s="873"/>
      <c r="F15" s="371">
        <f>F14+F5+F6+F7+F8</f>
        <v>4162900</v>
      </c>
      <c r="G15" s="371">
        <f t="shared" ref="G15:H15" si="2">G14+G5+G6+G7+G8</f>
        <v>0</v>
      </c>
      <c r="H15" s="371">
        <f t="shared" si="2"/>
        <v>4162900</v>
      </c>
    </row>
    <row r="16" spans="1:8" s="372" customFormat="1" ht="30" customHeight="1" thickBot="1" x14ac:dyDescent="0.3">
      <c r="A16" s="874" t="s">
        <v>328</v>
      </c>
      <c r="B16" s="875"/>
      <c r="C16" s="875"/>
      <c r="D16" s="875"/>
      <c r="E16" s="876"/>
      <c r="F16" s="371">
        <f>811766+202650</f>
        <v>1014416</v>
      </c>
      <c r="G16" s="371">
        <v>0</v>
      </c>
      <c r="H16" s="371">
        <f t="shared" ref="H16" si="3">811766+202650</f>
        <v>1014416</v>
      </c>
    </row>
    <row r="17" spans="1:8" s="372" customFormat="1" ht="35.25" customHeight="1" thickBot="1" x14ac:dyDescent="0.3">
      <c r="A17" s="874" t="s">
        <v>680</v>
      </c>
      <c r="B17" s="875"/>
      <c r="C17" s="875"/>
      <c r="D17" s="875"/>
      <c r="E17" s="876"/>
      <c r="F17" s="371">
        <f>F15+F16</f>
        <v>5177316</v>
      </c>
      <c r="G17" s="371">
        <f t="shared" ref="G17:H17" si="4">G15+G16</f>
        <v>0</v>
      </c>
      <c r="H17" s="371">
        <f t="shared" si="4"/>
        <v>5177316</v>
      </c>
    </row>
    <row r="18" spans="1:8" ht="15.75" thickBot="1" x14ac:dyDescent="0.3">
      <c r="A18" s="859" t="s">
        <v>367</v>
      </c>
      <c r="B18" s="860"/>
      <c r="C18" s="860"/>
      <c r="D18" s="860"/>
      <c r="E18" s="861"/>
      <c r="F18" s="167">
        <v>170000</v>
      </c>
      <c r="G18" s="167">
        <f>F18*5%</f>
        <v>8500</v>
      </c>
      <c r="H18" s="167">
        <f>F18+G18</f>
        <v>178500</v>
      </c>
    </row>
    <row r="19" spans="1:8" ht="15.75" thickBot="1" x14ac:dyDescent="0.3">
      <c r="A19" s="859" t="s">
        <v>682</v>
      </c>
      <c r="B19" s="860"/>
      <c r="C19" s="860"/>
      <c r="D19" s="860"/>
      <c r="E19" s="861"/>
      <c r="F19" s="167">
        <v>190000</v>
      </c>
      <c r="G19" s="167">
        <f>F19*27%</f>
        <v>51300</v>
      </c>
      <c r="H19" s="167">
        <f>F19+G19</f>
        <v>241300</v>
      </c>
    </row>
    <row r="20" spans="1:8" ht="15.75" thickBot="1" x14ac:dyDescent="0.3">
      <c r="A20" s="880" t="s">
        <v>331</v>
      </c>
      <c r="B20" s="881"/>
      <c r="C20" s="881"/>
      <c r="D20" s="881"/>
      <c r="E20" s="882"/>
      <c r="F20" s="368">
        <f>F18+F19</f>
        <v>360000</v>
      </c>
      <c r="G20" s="368">
        <f t="shared" ref="G20:H20" si="5">G18+G19</f>
        <v>59800</v>
      </c>
      <c r="H20" s="368">
        <f t="shared" si="5"/>
        <v>419800</v>
      </c>
    </row>
    <row r="21" spans="1:8" ht="15.75" thickBot="1" x14ac:dyDescent="0.3">
      <c r="A21" s="883" t="s">
        <v>683</v>
      </c>
      <c r="B21" s="884"/>
      <c r="C21" s="884"/>
      <c r="D21" s="884"/>
      <c r="E21" s="885"/>
      <c r="F21" s="370">
        <v>150000</v>
      </c>
      <c r="G21" s="370">
        <f t="shared" ref="G21:G29" si="6">F21*27%</f>
        <v>40500</v>
      </c>
      <c r="H21" s="370">
        <f t="shared" ref="H21:H28" si="7">F21+G21</f>
        <v>190500</v>
      </c>
    </row>
    <row r="22" spans="1:8" ht="15.75" thickBot="1" x14ac:dyDescent="0.3">
      <c r="A22" s="886" t="s">
        <v>684</v>
      </c>
      <c r="B22" s="887"/>
      <c r="C22" s="887"/>
      <c r="D22" s="887"/>
      <c r="E22" s="888"/>
      <c r="F22" s="370">
        <v>80000</v>
      </c>
      <c r="G22" s="370">
        <f t="shared" si="6"/>
        <v>21600</v>
      </c>
      <c r="H22" s="370">
        <f t="shared" si="7"/>
        <v>101600</v>
      </c>
    </row>
    <row r="23" spans="1:8" ht="15.75" thickBot="1" x14ac:dyDescent="0.3">
      <c r="A23" s="868" t="s">
        <v>685</v>
      </c>
      <c r="B23" s="869"/>
      <c r="C23" s="869"/>
      <c r="D23" s="869"/>
      <c r="E23" s="870"/>
      <c r="F23" s="370">
        <v>300000</v>
      </c>
      <c r="G23" s="370">
        <f t="shared" si="6"/>
        <v>81000</v>
      </c>
      <c r="H23" s="370">
        <f t="shared" si="7"/>
        <v>381000</v>
      </c>
    </row>
    <row r="24" spans="1:8" ht="15.75" thickBot="1" x14ac:dyDescent="0.3">
      <c r="A24" s="868" t="s">
        <v>336</v>
      </c>
      <c r="B24" s="869"/>
      <c r="C24" s="869"/>
      <c r="D24" s="869"/>
      <c r="E24" s="870"/>
      <c r="F24" s="370">
        <v>70000</v>
      </c>
      <c r="G24" s="370">
        <f t="shared" si="6"/>
        <v>18900</v>
      </c>
      <c r="H24" s="370">
        <f t="shared" si="7"/>
        <v>88900</v>
      </c>
    </row>
    <row r="25" spans="1:8" ht="15.75" thickBot="1" x14ac:dyDescent="0.3">
      <c r="A25" s="868" t="s">
        <v>736</v>
      </c>
      <c r="B25" s="869"/>
      <c r="C25" s="869"/>
      <c r="D25" s="869"/>
      <c r="E25" s="870"/>
      <c r="F25" s="370">
        <v>40000</v>
      </c>
      <c r="G25" s="370">
        <f t="shared" si="6"/>
        <v>10800</v>
      </c>
      <c r="H25" s="370">
        <f t="shared" si="7"/>
        <v>50800</v>
      </c>
    </row>
    <row r="26" spans="1:8" ht="15.75" thickBot="1" x14ac:dyDescent="0.3">
      <c r="A26" s="868" t="s">
        <v>688</v>
      </c>
      <c r="B26" s="869"/>
      <c r="C26" s="869"/>
      <c r="D26" s="869"/>
      <c r="E26" s="870"/>
      <c r="F26" s="370">
        <v>25000</v>
      </c>
      <c r="G26" s="370">
        <f t="shared" si="6"/>
        <v>6750</v>
      </c>
      <c r="H26" s="370">
        <f t="shared" si="7"/>
        <v>31750</v>
      </c>
    </row>
    <row r="27" spans="1:8" ht="15.75" thickBot="1" x14ac:dyDescent="0.3">
      <c r="A27" s="865" t="s">
        <v>689</v>
      </c>
      <c r="B27" s="866"/>
      <c r="C27" s="866"/>
      <c r="D27" s="866"/>
      <c r="E27" s="867"/>
      <c r="F27" s="167">
        <v>20000</v>
      </c>
      <c r="G27" s="167">
        <f t="shared" si="6"/>
        <v>5400</v>
      </c>
      <c r="H27" s="167">
        <f t="shared" si="7"/>
        <v>25400</v>
      </c>
    </row>
    <row r="28" spans="1:8" ht="15.75" thickBot="1" x14ac:dyDescent="0.3">
      <c r="A28" s="865" t="s">
        <v>690</v>
      </c>
      <c r="B28" s="866"/>
      <c r="C28" s="866"/>
      <c r="D28" s="866"/>
      <c r="E28" s="867"/>
      <c r="F28" s="167">
        <v>30000</v>
      </c>
      <c r="G28" s="167">
        <f t="shared" si="6"/>
        <v>8100.0000000000009</v>
      </c>
      <c r="H28" s="167">
        <f t="shared" si="7"/>
        <v>38100</v>
      </c>
    </row>
    <row r="29" spans="1:8" ht="62.25" customHeight="1" thickBot="1" x14ac:dyDescent="0.3">
      <c r="A29" s="889" t="s">
        <v>691</v>
      </c>
      <c r="B29" s="890"/>
      <c r="C29" s="890"/>
      <c r="D29" s="890"/>
      <c r="E29" s="891"/>
      <c r="F29" s="370">
        <f>15000+10000+20000+40000+50000+15000+15000+15000+10000+15000+20000+20000+15000+30000</f>
        <v>290000</v>
      </c>
      <c r="G29" s="370">
        <f t="shared" si="6"/>
        <v>78300</v>
      </c>
      <c r="H29" s="370">
        <f>F29+G29</f>
        <v>368300</v>
      </c>
    </row>
    <row r="30" spans="1:8" ht="16.5" thickBot="1" x14ac:dyDescent="0.3">
      <c r="A30" s="871" t="s">
        <v>337</v>
      </c>
      <c r="B30" s="872"/>
      <c r="C30" s="872"/>
      <c r="D30" s="872"/>
      <c r="E30" s="873"/>
      <c r="F30" s="368">
        <f>F21+F22+F23+F24+F25+F26+F29+F27+F28</f>
        <v>1005000</v>
      </c>
      <c r="G30" s="368">
        <f>G21+G22+G23+G24+G25+G26+G29+G27+G28</f>
        <v>271350</v>
      </c>
      <c r="H30" s="368">
        <f>H21+H22+H23+H24+H25+H26+H29+H27+H28</f>
        <v>1276350</v>
      </c>
    </row>
    <row r="31" spans="1:8" ht="15.75" thickBot="1" x14ac:dyDescent="0.3">
      <c r="A31" s="880" t="s">
        <v>338</v>
      </c>
      <c r="B31" s="881"/>
      <c r="C31" s="881"/>
      <c r="D31" s="881"/>
      <c r="E31" s="882"/>
      <c r="F31" s="368">
        <f>F20+F30</f>
        <v>1365000</v>
      </c>
      <c r="G31" s="368">
        <f>G20+G30</f>
        <v>331150</v>
      </c>
      <c r="H31" s="368">
        <f>H20+H30</f>
        <v>1696150</v>
      </c>
    </row>
    <row r="32" spans="1:8" ht="15.75" thickBot="1" x14ac:dyDescent="0.3">
      <c r="A32" s="886" t="s">
        <v>339</v>
      </c>
      <c r="B32" s="887"/>
      <c r="C32" s="887"/>
      <c r="D32" s="887"/>
      <c r="E32" s="888"/>
      <c r="F32" s="370">
        <v>70000</v>
      </c>
      <c r="G32" s="370">
        <f>F32*5%</f>
        <v>3500</v>
      </c>
      <c r="H32" s="370">
        <f>F32+G32</f>
        <v>73500</v>
      </c>
    </row>
    <row r="33" spans="1:8" s="365" customFormat="1" ht="15.75" thickBot="1" x14ac:dyDescent="0.3">
      <c r="A33" s="880" t="s">
        <v>340</v>
      </c>
      <c r="B33" s="881"/>
      <c r="C33" s="881"/>
      <c r="D33" s="881"/>
      <c r="E33" s="882"/>
      <c r="F33" s="368">
        <f>F32</f>
        <v>70000</v>
      </c>
      <c r="G33" s="368">
        <f>G32</f>
        <v>3500</v>
      </c>
      <c r="H33" s="368">
        <f>H32</f>
        <v>73500</v>
      </c>
    </row>
    <row r="34" spans="1:8" ht="15.75" thickBot="1" x14ac:dyDescent="0.3">
      <c r="A34" s="886" t="s">
        <v>341</v>
      </c>
      <c r="B34" s="887"/>
      <c r="C34" s="887"/>
      <c r="D34" s="887"/>
      <c r="E34" s="888"/>
      <c r="F34" s="370">
        <v>280000</v>
      </c>
      <c r="G34" s="370">
        <f>F34*27%</f>
        <v>75600</v>
      </c>
      <c r="H34" s="370">
        <f>F34+G34</f>
        <v>355600</v>
      </c>
    </row>
    <row r="35" spans="1:8" s="365" customFormat="1" ht="15.75" thickBot="1" x14ac:dyDescent="0.3">
      <c r="A35" s="880" t="s">
        <v>342</v>
      </c>
      <c r="B35" s="881"/>
      <c r="C35" s="881"/>
      <c r="D35" s="881"/>
      <c r="E35" s="882"/>
      <c r="F35" s="368">
        <f>F34</f>
        <v>280000</v>
      </c>
      <c r="G35" s="368">
        <f>G34</f>
        <v>75600</v>
      </c>
      <c r="H35" s="368">
        <f>H34</f>
        <v>355600</v>
      </c>
    </row>
    <row r="36" spans="1:8" s="365" customFormat="1" ht="15.75" thickBot="1" x14ac:dyDescent="0.3">
      <c r="A36" s="880" t="s">
        <v>343</v>
      </c>
      <c r="B36" s="881"/>
      <c r="C36" s="881"/>
      <c r="D36" s="881"/>
      <c r="E36" s="882"/>
      <c r="F36" s="368">
        <f>F33+F34</f>
        <v>350000</v>
      </c>
      <c r="G36" s="368">
        <f>G33+G34</f>
        <v>79100</v>
      </c>
      <c r="H36" s="368">
        <f>H33+H34</f>
        <v>429100</v>
      </c>
    </row>
    <row r="37" spans="1:8" s="369" customFormat="1" ht="15.75" thickBot="1" x14ac:dyDescent="0.3">
      <c r="A37" s="865" t="s">
        <v>693</v>
      </c>
      <c r="B37" s="866"/>
      <c r="C37" s="866"/>
      <c r="D37" s="866"/>
      <c r="E37" s="867"/>
      <c r="F37" s="167">
        <v>580000</v>
      </c>
      <c r="G37" s="167">
        <f>F37*27%</f>
        <v>156600</v>
      </c>
      <c r="H37" s="167">
        <f>F37+G37</f>
        <v>736600</v>
      </c>
    </row>
    <row r="38" spans="1:8" s="365" customFormat="1" ht="15.75" thickBot="1" x14ac:dyDescent="0.3">
      <c r="A38" s="856" t="s">
        <v>344</v>
      </c>
      <c r="B38" s="857"/>
      <c r="C38" s="857"/>
      <c r="D38" s="857"/>
      <c r="E38" s="858"/>
      <c r="F38" s="368">
        <f>F37</f>
        <v>580000</v>
      </c>
      <c r="G38" s="368">
        <f t="shared" ref="G38:H38" si="8">G37</f>
        <v>156600</v>
      </c>
      <c r="H38" s="368">
        <f t="shared" si="8"/>
        <v>736600</v>
      </c>
    </row>
    <row r="39" spans="1:8" s="365" customFormat="1" ht="15.75" thickBot="1" x14ac:dyDescent="0.3">
      <c r="A39" s="868" t="s">
        <v>694</v>
      </c>
      <c r="B39" s="869"/>
      <c r="C39" s="869"/>
      <c r="D39" s="869"/>
      <c r="E39" s="870"/>
      <c r="F39" s="368">
        <v>200000</v>
      </c>
      <c r="G39" s="368">
        <f>F39*27%</f>
        <v>54000</v>
      </c>
      <c r="H39" s="368">
        <f>F39+G39</f>
        <v>254000</v>
      </c>
    </row>
    <row r="40" spans="1:8" ht="15.75" thickBot="1" x14ac:dyDescent="0.3">
      <c r="A40" s="868" t="s">
        <v>345</v>
      </c>
      <c r="B40" s="869"/>
      <c r="C40" s="869"/>
      <c r="D40" s="869"/>
      <c r="E40" s="870"/>
      <c r="F40" s="370">
        <v>50000</v>
      </c>
      <c r="G40" s="370">
        <f>F40*27%</f>
        <v>13500</v>
      </c>
      <c r="H40" s="370">
        <f>F40+G40</f>
        <v>63500</v>
      </c>
    </row>
    <row r="41" spans="1:8" ht="15.75" thickBot="1" x14ac:dyDescent="0.3">
      <c r="A41" s="868" t="s">
        <v>695</v>
      </c>
      <c r="B41" s="869"/>
      <c r="C41" s="869"/>
      <c r="D41" s="869"/>
      <c r="E41" s="870"/>
      <c r="F41" s="370">
        <v>19200</v>
      </c>
      <c r="G41" s="370">
        <v>0</v>
      </c>
      <c r="H41" s="370">
        <f>F41+G41</f>
        <v>19200</v>
      </c>
    </row>
    <row r="42" spans="1:8" s="365" customFormat="1" ht="15.75" thickBot="1" x14ac:dyDescent="0.3">
      <c r="A42" s="856" t="s">
        <v>347</v>
      </c>
      <c r="B42" s="857"/>
      <c r="C42" s="857"/>
      <c r="D42" s="857"/>
      <c r="E42" s="858"/>
      <c r="F42" s="368">
        <f>F41</f>
        <v>19200</v>
      </c>
      <c r="G42" s="368">
        <f t="shared" ref="G42:H42" si="9">G41</f>
        <v>0</v>
      </c>
      <c r="H42" s="368">
        <f t="shared" si="9"/>
        <v>19200</v>
      </c>
    </row>
    <row r="43" spans="1:8" ht="15.75" thickBot="1" x14ac:dyDescent="0.3">
      <c r="A43" s="868" t="s">
        <v>349</v>
      </c>
      <c r="B43" s="869"/>
      <c r="C43" s="869"/>
      <c r="D43" s="869"/>
      <c r="E43" s="870"/>
      <c r="F43" s="370">
        <v>100000</v>
      </c>
      <c r="G43" s="370">
        <f>F43*27%</f>
        <v>27000</v>
      </c>
      <c r="H43" s="370">
        <f t="shared" ref="H43:H49" si="10">F43+G43</f>
        <v>127000</v>
      </c>
    </row>
    <row r="44" spans="1:8" ht="15.75" thickBot="1" x14ac:dyDescent="0.3">
      <c r="A44" s="868" t="s">
        <v>350</v>
      </c>
      <c r="B44" s="869"/>
      <c r="C44" s="869"/>
      <c r="D44" s="869"/>
      <c r="E44" s="870"/>
      <c r="F44" s="370">
        <v>100000</v>
      </c>
      <c r="G44" s="370">
        <f>F44*27%</f>
        <v>27000</v>
      </c>
      <c r="H44" s="370">
        <f t="shared" si="10"/>
        <v>127000</v>
      </c>
    </row>
    <row r="45" spans="1:8" ht="15.75" thickBot="1" x14ac:dyDescent="0.3">
      <c r="A45" s="868" t="s">
        <v>351</v>
      </c>
      <c r="B45" s="869"/>
      <c r="C45" s="869"/>
      <c r="D45" s="869"/>
      <c r="E45" s="870"/>
      <c r="F45" s="370">
        <v>100000</v>
      </c>
      <c r="G45" s="370">
        <f>F45*27%</f>
        <v>27000</v>
      </c>
      <c r="H45" s="370">
        <f t="shared" si="10"/>
        <v>127000</v>
      </c>
    </row>
    <row r="46" spans="1:8" ht="15.75" thickBot="1" x14ac:dyDescent="0.3">
      <c r="A46" s="868" t="s">
        <v>352</v>
      </c>
      <c r="B46" s="869"/>
      <c r="C46" s="869"/>
      <c r="D46" s="869"/>
      <c r="E46" s="870"/>
      <c r="F46" s="370">
        <f>37*1500</f>
        <v>55500</v>
      </c>
      <c r="G46" s="370">
        <v>0</v>
      </c>
      <c r="H46" s="370">
        <f t="shared" si="10"/>
        <v>55500</v>
      </c>
    </row>
    <row r="47" spans="1:8" ht="15.75" thickBot="1" x14ac:dyDescent="0.3">
      <c r="A47" s="868" t="s">
        <v>696</v>
      </c>
      <c r="B47" s="869"/>
      <c r="C47" s="869"/>
      <c r="D47" s="869"/>
      <c r="E47" s="870"/>
      <c r="F47" s="370">
        <f>4500*37*6</f>
        <v>999000</v>
      </c>
      <c r="G47" s="370">
        <v>0</v>
      </c>
      <c r="H47" s="370">
        <f t="shared" si="10"/>
        <v>999000</v>
      </c>
    </row>
    <row r="48" spans="1:8" ht="15.75" thickBot="1" x14ac:dyDescent="0.3">
      <c r="A48" s="868" t="s">
        <v>697</v>
      </c>
      <c r="B48" s="869"/>
      <c r="C48" s="869"/>
      <c r="D48" s="869"/>
      <c r="E48" s="870"/>
      <c r="F48" s="370">
        <v>300000</v>
      </c>
      <c r="G48" s="370">
        <v>0</v>
      </c>
      <c r="H48" s="370">
        <f t="shared" si="10"/>
        <v>300000</v>
      </c>
    </row>
    <row r="49" spans="1:8" ht="15.75" thickBot="1" x14ac:dyDescent="0.3">
      <c r="A49" s="868" t="s">
        <v>698</v>
      </c>
      <c r="B49" s="869"/>
      <c r="C49" s="869"/>
      <c r="D49" s="869"/>
      <c r="E49" s="870"/>
      <c r="F49" s="370">
        <v>50000</v>
      </c>
      <c r="G49" s="370">
        <v>0</v>
      </c>
      <c r="H49" s="370">
        <f t="shared" si="10"/>
        <v>50000</v>
      </c>
    </row>
    <row r="50" spans="1:8" ht="15.75" thickBot="1" x14ac:dyDescent="0.3">
      <c r="A50" s="865" t="s">
        <v>699</v>
      </c>
      <c r="B50" s="866"/>
      <c r="C50" s="866"/>
      <c r="D50" s="866"/>
      <c r="E50" s="867"/>
      <c r="F50" s="370">
        <f>60000*12</f>
        <v>720000</v>
      </c>
      <c r="G50" s="370">
        <v>0</v>
      </c>
      <c r="H50" s="370">
        <f t="shared" ref="H50" si="11">60000*12</f>
        <v>720000</v>
      </c>
    </row>
    <row r="51" spans="1:8" ht="45.75" customHeight="1" thickBot="1" x14ac:dyDescent="0.3">
      <c r="A51" s="889" t="s">
        <v>700</v>
      </c>
      <c r="B51" s="890"/>
      <c r="C51" s="890"/>
      <c r="D51" s="890"/>
      <c r="E51" s="891"/>
      <c r="F51" s="370">
        <f>92000+100000+130000+50000+700000+50000+50000+100000+100000+200000+200000+130000</f>
        <v>1902000</v>
      </c>
      <c r="G51" s="370">
        <v>270000</v>
      </c>
      <c r="H51" s="370">
        <f>F51+G51</f>
        <v>2172000</v>
      </c>
    </row>
    <row r="52" spans="1:8" s="365" customFormat="1" ht="15.75" thickBot="1" x14ac:dyDescent="0.3">
      <c r="A52" s="856" t="s">
        <v>353</v>
      </c>
      <c r="B52" s="857"/>
      <c r="C52" s="857"/>
      <c r="D52" s="857"/>
      <c r="E52" s="858"/>
      <c r="F52" s="368">
        <f>F43+F44+F45+F46+F47+F48+F50+F51+F49</f>
        <v>4326500</v>
      </c>
      <c r="G52" s="368">
        <f t="shared" ref="G52:H52" si="12">G43+G44+G45+G46+G47+G48+G50+G51+G49</f>
        <v>351000</v>
      </c>
      <c r="H52" s="368">
        <f t="shared" si="12"/>
        <v>4677500</v>
      </c>
    </row>
    <row r="53" spans="1:8" s="365" customFormat="1" ht="15.75" thickBot="1" x14ac:dyDescent="0.3">
      <c r="A53" s="856" t="s">
        <v>354</v>
      </c>
      <c r="B53" s="857"/>
      <c r="C53" s="857"/>
      <c r="D53" s="857"/>
      <c r="E53" s="858"/>
      <c r="F53" s="368">
        <f>F52+F42+F38+F40+F39</f>
        <v>5175700</v>
      </c>
      <c r="G53" s="368">
        <f>G38+G39+G40+G42+G52</f>
        <v>575100</v>
      </c>
      <c r="H53" s="368">
        <f t="shared" ref="H53" si="13">H52+H42+H38+H40+H39</f>
        <v>5750800</v>
      </c>
    </row>
    <row r="54" spans="1:8" ht="15.75" thickBot="1" x14ac:dyDescent="0.3">
      <c r="A54" s="868" t="s">
        <v>355</v>
      </c>
      <c r="B54" s="869"/>
      <c r="C54" s="869"/>
      <c r="D54" s="869"/>
      <c r="E54" s="870"/>
      <c r="F54" s="370">
        <v>70000</v>
      </c>
      <c r="G54" s="370">
        <v>0</v>
      </c>
      <c r="H54" s="167">
        <f>F54+G54</f>
        <v>70000</v>
      </c>
    </row>
    <row r="55" spans="1:8" ht="15.75" thickBot="1" x14ac:dyDescent="0.3">
      <c r="A55" s="868" t="s">
        <v>356</v>
      </c>
      <c r="B55" s="869"/>
      <c r="C55" s="869"/>
      <c r="D55" s="869"/>
      <c r="E55" s="870"/>
      <c r="F55" s="370">
        <v>250000</v>
      </c>
      <c r="G55" s="370">
        <v>0</v>
      </c>
      <c r="H55" s="167">
        <f>F55+G55</f>
        <v>250000</v>
      </c>
    </row>
    <row r="56" spans="1:8" s="365" customFormat="1" ht="15.75" thickBot="1" x14ac:dyDescent="0.3">
      <c r="A56" s="856" t="s">
        <v>357</v>
      </c>
      <c r="B56" s="857"/>
      <c r="C56" s="857"/>
      <c r="D56" s="857"/>
      <c r="E56" s="858"/>
      <c r="F56" s="368">
        <f>F54+F55</f>
        <v>320000</v>
      </c>
      <c r="G56" s="368">
        <f>G54+G55</f>
        <v>0</v>
      </c>
      <c r="H56" s="368">
        <f>H54+H55</f>
        <v>320000</v>
      </c>
    </row>
    <row r="57" spans="1:8" ht="15.75" thickBot="1" x14ac:dyDescent="0.3">
      <c r="A57" s="868" t="s">
        <v>358</v>
      </c>
      <c r="B57" s="869"/>
      <c r="C57" s="869"/>
      <c r="D57" s="869"/>
      <c r="E57" s="870"/>
      <c r="F57" s="370">
        <v>0</v>
      </c>
      <c r="G57" s="370">
        <f>G53+G36+G31</f>
        <v>985350</v>
      </c>
      <c r="H57" s="370">
        <f>G57</f>
        <v>985350</v>
      </c>
    </row>
    <row r="58" spans="1:8" ht="15.75" thickBot="1" x14ac:dyDescent="0.3">
      <c r="A58" s="868" t="s">
        <v>361</v>
      </c>
      <c r="B58" s="869"/>
      <c r="C58" s="869"/>
      <c r="D58" s="869"/>
      <c r="E58" s="870"/>
      <c r="F58" s="370">
        <v>30000</v>
      </c>
      <c r="G58" s="370">
        <v>0</v>
      </c>
      <c r="H58" s="370">
        <f>F58+G58</f>
        <v>30000</v>
      </c>
    </row>
    <row r="59" spans="1:8" s="365" customFormat="1" ht="15.75" thickBot="1" x14ac:dyDescent="0.3">
      <c r="A59" s="856" t="s">
        <v>359</v>
      </c>
      <c r="B59" s="857"/>
      <c r="C59" s="857"/>
      <c r="D59" s="857"/>
      <c r="E59" s="858"/>
      <c r="F59" s="368">
        <f>F57+F58</f>
        <v>30000</v>
      </c>
      <c r="G59" s="368">
        <f t="shared" ref="G59:H59" si="14">G57+G58</f>
        <v>985350</v>
      </c>
      <c r="H59" s="368">
        <f t="shared" si="14"/>
        <v>1015350</v>
      </c>
    </row>
    <row r="60" spans="1:8" s="365" customFormat="1" ht="15.75" thickBot="1" x14ac:dyDescent="0.3">
      <c r="A60" s="856" t="s">
        <v>360</v>
      </c>
      <c r="B60" s="857"/>
      <c r="C60" s="857"/>
      <c r="D60" s="857"/>
      <c r="E60" s="858"/>
      <c r="F60" s="368">
        <f>F59+F56+F53+F36+F31</f>
        <v>7240700</v>
      </c>
      <c r="G60" s="368">
        <f>G59</f>
        <v>985350</v>
      </c>
      <c r="H60" s="368">
        <f>F60+G60</f>
        <v>8226050</v>
      </c>
    </row>
    <row r="61" spans="1:8" s="365" customFormat="1" ht="15.75" thickBot="1" x14ac:dyDescent="0.3">
      <c r="A61" s="865" t="s">
        <v>171</v>
      </c>
      <c r="B61" s="866"/>
      <c r="C61" s="866"/>
      <c r="D61" s="866"/>
      <c r="E61" s="867"/>
      <c r="F61" s="167">
        <v>280000</v>
      </c>
      <c r="G61" s="167">
        <f t="shared" ref="G61:G68" si="15">F61*27%</f>
        <v>75600</v>
      </c>
      <c r="H61" s="167">
        <f>F61+G61</f>
        <v>355600</v>
      </c>
    </row>
    <row r="62" spans="1:8" s="365" customFormat="1" ht="15.75" thickBot="1" x14ac:dyDescent="0.3">
      <c r="A62" s="865" t="s">
        <v>705</v>
      </c>
      <c r="B62" s="866"/>
      <c r="C62" s="866"/>
      <c r="D62" s="866"/>
      <c r="E62" s="867"/>
      <c r="F62" s="576">
        <v>15000</v>
      </c>
      <c r="G62" s="576">
        <f t="shared" si="15"/>
        <v>4050.0000000000005</v>
      </c>
      <c r="H62" s="576">
        <f>F62+G62</f>
        <v>19050</v>
      </c>
    </row>
    <row r="63" spans="1:8" s="365" customFormat="1" ht="15.75" thickBot="1" x14ac:dyDescent="0.3">
      <c r="A63" s="865" t="s">
        <v>706</v>
      </c>
      <c r="B63" s="866"/>
      <c r="C63" s="866"/>
      <c r="D63" s="866"/>
      <c r="E63" s="867"/>
      <c r="F63" s="576">
        <v>30000</v>
      </c>
      <c r="G63" s="576">
        <f t="shared" si="15"/>
        <v>8100.0000000000009</v>
      </c>
      <c r="H63" s="576">
        <f>F63+G63</f>
        <v>38100</v>
      </c>
    </row>
    <row r="64" spans="1:8" s="369" customFormat="1" ht="15.75" thickBot="1" x14ac:dyDescent="0.3">
      <c r="A64" s="865" t="s">
        <v>707</v>
      </c>
      <c r="B64" s="866"/>
      <c r="C64" s="866"/>
      <c r="D64" s="866"/>
      <c r="E64" s="867"/>
      <c r="F64" s="167">
        <v>10000</v>
      </c>
      <c r="G64" s="167">
        <f t="shared" si="15"/>
        <v>2700</v>
      </c>
      <c r="H64" s="167">
        <f>F64+G64</f>
        <v>12700</v>
      </c>
    </row>
    <row r="65" spans="1:8" s="369" customFormat="1" ht="15.75" thickBot="1" x14ac:dyDescent="0.3">
      <c r="A65" s="865" t="s">
        <v>708</v>
      </c>
      <c r="B65" s="866"/>
      <c r="C65" s="866"/>
      <c r="D65" s="866"/>
      <c r="E65" s="867"/>
      <c r="F65" s="167">
        <v>30000</v>
      </c>
      <c r="G65" s="167">
        <f t="shared" si="15"/>
        <v>8100.0000000000009</v>
      </c>
      <c r="H65" s="167">
        <f t="shared" ref="H65:H70" si="16">F65+G65</f>
        <v>38100</v>
      </c>
    </row>
    <row r="66" spans="1:8" s="369" customFormat="1" ht="15.75" thickBot="1" x14ac:dyDescent="0.3">
      <c r="A66" s="865" t="s">
        <v>709</v>
      </c>
      <c r="B66" s="866"/>
      <c r="C66" s="866"/>
      <c r="D66" s="866"/>
      <c r="E66" s="867"/>
      <c r="F66" s="167">
        <v>200000</v>
      </c>
      <c r="G66" s="167">
        <f t="shared" si="15"/>
        <v>54000</v>
      </c>
      <c r="H66" s="167">
        <f t="shared" si="16"/>
        <v>254000</v>
      </c>
    </row>
    <row r="67" spans="1:8" s="369" customFormat="1" ht="15.75" thickBot="1" x14ac:dyDescent="0.3">
      <c r="A67" s="865" t="s">
        <v>710</v>
      </c>
      <c r="B67" s="866"/>
      <c r="C67" s="866"/>
      <c r="D67" s="866"/>
      <c r="E67" s="867"/>
      <c r="F67" s="167">
        <v>30000</v>
      </c>
      <c r="G67" s="167">
        <f t="shared" si="15"/>
        <v>8100.0000000000009</v>
      </c>
      <c r="H67" s="167">
        <f t="shared" si="16"/>
        <v>38100</v>
      </c>
    </row>
    <row r="68" spans="1:8" s="369" customFormat="1" ht="15.75" thickBot="1" x14ac:dyDescent="0.3">
      <c r="A68" s="865" t="s">
        <v>647</v>
      </c>
      <c r="B68" s="866"/>
      <c r="C68" s="866"/>
      <c r="D68" s="866"/>
      <c r="E68" s="867"/>
      <c r="F68" s="167">
        <v>100000</v>
      </c>
      <c r="G68" s="167">
        <f t="shared" si="15"/>
        <v>27000</v>
      </c>
      <c r="H68" s="167">
        <f t="shared" si="16"/>
        <v>127000</v>
      </c>
    </row>
    <row r="69" spans="1:8" s="365" customFormat="1" ht="15.75" thickBot="1" x14ac:dyDescent="0.3">
      <c r="A69" s="856" t="s">
        <v>362</v>
      </c>
      <c r="B69" s="857"/>
      <c r="C69" s="857"/>
      <c r="D69" s="857"/>
      <c r="E69" s="858"/>
      <c r="F69" s="368">
        <f>SUM(F61+F62+F63+F64+F65+F66+F67+F68)</f>
        <v>695000</v>
      </c>
      <c r="G69" s="368">
        <f t="shared" ref="G69:H69" si="17">SUM(G61+G62+G63+G64+G65+G66+G67+G68)</f>
        <v>187650</v>
      </c>
      <c r="H69" s="368">
        <f t="shared" si="17"/>
        <v>882650</v>
      </c>
    </row>
    <row r="70" spans="1:8" s="365" customFormat="1" ht="15.75" thickBot="1" x14ac:dyDescent="0.3">
      <c r="A70" s="856" t="s">
        <v>363</v>
      </c>
      <c r="B70" s="857"/>
      <c r="C70" s="857"/>
      <c r="D70" s="857"/>
      <c r="E70" s="858"/>
      <c r="F70" s="368"/>
      <c r="G70" s="368">
        <f>G69</f>
        <v>187650</v>
      </c>
      <c r="H70" s="368">
        <f t="shared" si="16"/>
        <v>187650</v>
      </c>
    </row>
    <row r="71" spans="1:8" s="374" customFormat="1" ht="19.5" thickBot="1" x14ac:dyDescent="0.35">
      <c r="A71" s="895" t="s">
        <v>364</v>
      </c>
      <c r="B71" s="896"/>
      <c r="C71" s="896"/>
      <c r="D71" s="896"/>
      <c r="E71" s="897"/>
      <c r="F71" s="373">
        <f>F69+F60+F17</f>
        <v>13113016</v>
      </c>
      <c r="G71" s="373">
        <f>G69+G60+G17</f>
        <v>1173000</v>
      </c>
      <c r="H71" s="373">
        <f>H69+H60+H17</f>
        <v>14286016</v>
      </c>
    </row>
  </sheetData>
  <mergeCells count="69">
    <mergeCell ref="A67:E67"/>
    <mergeCell ref="A68:E68"/>
    <mergeCell ref="A69:E69"/>
    <mergeCell ref="A70:E70"/>
    <mergeCell ref="A71:E71"/>
    <mergeCell ref="D2:H2"/>
    <mergeCell ref="A63:E63"/>
    <mergeCell ref="A64:E64"/>
    <mergeCell ref="A65:E65"/>
    <mergeCell ref="A66:E66"/>
    <mergeCell ref="A62:E62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50:E50"/>
    <mergeCell ref="A39:E39"/>
    <mergeCell ref="A40:E40"/>
    <mergeCell ref="A46:E46"/>
    <mergeCell ref="A47:E47"/>
    <mergeCell ref="A48:E48"/>
    <mergeCell ref="A49:E49"/>
    <mergeCell ref="A45:E45"/>
    <mergeCell ref="A38:E38"/>
    <mergeCell ref="A41:E41"/>
    <mergeCell ref="A42:E42"/>
    <mergeCell ref="A43:E43"/>
    <mergeCell ref="A44:E44"/>
    <mergeCell ref="A35:E35"/>
    <mergeCell ref="A36:E36"/>
    <mergeCell ref="A27:E27"/>
    <mergeCell ref="A28:E28"/>
    <mergeCell ref="A29:E29"/>
    <mergeCell ref="A30:E30"/>
    <mergeCell ref="A31:E31"/>
    <mergeCell ref="A37:E37"/>
    <mergeCell ref="A26:E26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32:E32"/>
    <mergeCell ref="A33:E33"/>
    <mergeCell ref="A34:E34"/>
    <mergeCell ref="A14:E14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19" workbookViewId="0">
      <selection activeCell="O3" sqref="O3"/>
    </sheetView>
  </sheetViews>
  <sheetFormatPr defaultRowHeight="15" x14ac:dyDescent="0.25"/>
  <cols>
    <col min="2" max="2" width="12.42578125" bestFit="1" customWidth="1"/>
    <col min="7" max="7" width="4.5703125" customWidth="1"/>
    <col min="8" max="8" width="10.28515625" hidden="1" customWidth="1"/>
    <col min="9" max="9" width="3.140625" hidden="1" customWidth="1"/>
    <col min="10" max="10" width="3.7109375" hidden="1" customWidth="1"/>
    <col min="11" max="11" width="0.5703125" hidden="1" customWidth="1"/>
    <col min="12" max="12" width="17" style="364" bestFit="1" customWidth="1"/>
    <col min="13" max="13" width="15.42578125" bestFit="1" customWidth="1"/>
    <col min="14" max="14" width="14.85546875" bestFit="1" customWidth="1"/>
    <col min="16" max="16" width="14.7109375" bestFit="1" customWidth="1"/>
    <col min="17" max="17" width="13.85546875" bestFit="1" customWidth="1"/>
    <col min="18" max="18" width="14.28515625" customWidth="1"/>
    <col min="258" max="258" width="12.42578125" bestFit="1" customWidth="1"/>
    <col min="268" max="268" width="17" bestFit="1" customWidth="1"/>
    <col min="269" max="269" width="15.42578125" bestFit="1" customWidth="1"/>
    <col min="270" max="270" width="14.85546875" bestFit="1" customWidth="1"/>
    <col min="514" max="514" width="12.42578125" bestFit="1" customWidth="1"/>
    <col min="524" max="524" width="17" bestFit="1" customWidth="1"/>
    <col min="525" max="525" width="15.42578125" bestFit="1" customWidth="1"/>
    <col min="526" max="526" width="14.85546875" bestFit="1" customWidth="1"/>
    <col min="770" max="770" width="12.42578125" bestFit="1" customWidth="1"/>
    <col min="780" max="780" width="17" bestFit="1" customWidth="1"/>
    <col min="781" max="781" width="15.42578125" bestFit="1" customWidth="1"/>
    <col min="782" max="782" width="14.85546875" bestFit="1" customWidth="1"/>
    <col min="1026" max="1026" width="12.42578125" bestFit="1" customWidth="1"/>
    <col min="1036" max="1036" width="17" bestFit="1" customWidth="1"/>
    <col min="1037" max="1037" width="15.42578125" bestFit="1" customWidth="1"/>
    <col min="1038" max="1038" width="14.85546875" bestFit="1" customWidth="1"/>
    <col min="1282" max="1282" width="12.42578125" bestFit="1" customWidth="1"/>
    <col min="1292" max="1292" width="17" bestFit="1" customWidth="1"/>
    <col min="1293" max="1293" width="15.42578125" bestFit="1" customWidth="1"/>
    <col min="1294" max="1294" width="14.85546875" bestFit="1" customWidth="1"/>
    <col min="1538" max="1538" width="12.42578125" bestFit="1" customWidth="1"/>
    <col min="1548" max="1548" width="17" bestFit="1" customWidth="1"/>
    <col min="1549" max="1549" width="15.42578125" bestFit="1" customWidth="1"/>
    <col min="1550" max="1550" width="14.85546875" bestFit="1" customWidth="1"/>
    <col min="1794" max="1794" width="12.42578125" bestFit="1" customWidth="1"/>
    <col min="1804" max="1804" width="17" bestFit="1" customWidth="1"/>
    <col min="1805" max="1805" width="15.42578125" bestFit="1" customWidth="1"/>
    <col min="1806" max="1806" width="14.85546875" bestFit="1" customWidth="1"/>
    <col min="2050" max="2050" width="12.42578125" bestFit="1" customWidth="1"/>
    <col min="2060" max="2060" width="17" bestFit="1" customWidth="1"/>
    <col min="2061" max="2061" width="15.42578125" bestFit="1" customWidth="1"/>
    <col min="2062" max="2062" width="14.85546875" bestFit="1" customWidth="1"/>
    <col min="2306" max="2306" width="12.42578125" bestFit="1" customWidth="1"/>
    <col min="2316" max="2316" width="17" bestFit="1" customWidth="1"/>
    <col min="2317" max="2317" width="15.42578125" bestFit="1" customWidth="1"/>
    <col min="2318" max="2318" width="14.85546875" bestFit="1" customWidth="1"/>
    <col min="2562" max="2562" width="12.42578125" bestFit="1" customWidth="1"/>
    <col min="2572" max="2572" width="17" bestFit="1" customWidth="1"/>
    <col min="2573" max="2573" width="15.42578125" bestFit="1" customWidth="1"/>
    <col min="2574" max="2574" width="14.85546875" bestFit="1" customWidth="1"/>
    <col min="2818" max="2818" width="12.42578125" bestFit="1" customWidth="1"/>
    <col min="2828" max="2828" width="17" bestFit="1" customWidth="1"/>
    <col min="2829" max="2829" width="15.42578125" bestFit="1" customWidth="1"/>
    <col min="2830" max="2830" width="14.85546875" bestFit="1" customWidth="1"/>
    <col min="3074" max="3074" width="12.42578125" bestFit="1" customWidth="1"/>
    <col min="3084" max="3084" width="17" bestFit="1" customWidth="1"/>
    <col min="3085" max="3085" width="15.42578125" bestFit="1" customWidth="1"/>
    <col min="3086" max="3086" width="14.85546875" bestFit="1" customWidth="1"/>
    <col min="3330" max="3330" width="12.42578125" bestFit="1" customWidth="1"/>
    <col min="3340" max="3340" width="17" bestFit="1" customWidth="1"/>
    <col min="3341" max="3341" width="15.42578125" bestFit="1" customWidth="1"/>
    <col min="3342" max="3342" width="14.85546875" bestFit="1" customWidth="1"/>
    <col min="3586" max="3586" width="12.42578125" bestFit="1" customWidth="1"/>
    <col min="3596" max="3596" width="17" bestFit="1" customWidth="1"/>
    <col min="3597" max="3597" width="15.42578125" bestFit="1" customWidth="1"/>
    <col min="3598" max="3598" width="14.85546875" bestFit="1" customWidth="1"/>
    <col min="3842" max="3842" width="12.42578125" bestFit="1" customWidth="1"/>
    <col min="3852" max="3852" width="17" bestFit="1" customWidth="1"/>
    <col min="3853" max="3853" width="15.42578125" bestFit="1" customWidth="1"/>
    <col min="3854" max="3854" width="14.85546875" bestFit="1" customWidth="1"/>
    <col min="4098" max="4098" width="12.42578125" bestFit="1" customWidth="1"/>
    <col min="4108" max="4108" width="17" bestFit="1" customWidth="1"/>
    <col min="4109" max="4109" width="15.42578125" bestFit="1" customWidth="1"/>
    <col min="4110" max="4110" width="14.85546875" bestFit="1" customWidth="1"/>
    <col min="4354" max="4354" width="12.42578125" bestFit="1" customWidth="1"/>
    <col min="4364" max="4364" width="17" bestFit="1" customWidth="1"/>
    <col min="4365" max="4365" width="15.42578125" bestFit="1" customWidth="1"/>
    <col min="4366" max="4366" width="14.85546875" bestFit="1" customWidth="1"/>
    <col min="4610" max="4610" width="12.42578125" bestFit="1" customWidth="1"/>
    <col min="4620" max="4620" width="17" bestFit="1" customWidth="1"/>
    <col min="4621" max="4621" width="15.42578125" bestFit="1" customWidth="1"/>
    <col min="4622" max="4622" width="14.85546875" bestFit="1" customWidth="1"/>
    <col min="4866" max="4866" width="12.42578125" bestFit="1" customWidth="1"/>
    <col min="4876" max="4876" width="17" bestFit="1" customWidth="1"/>
    <col min="4877" max="4877" width="15.42578125" bestFit="1" customWidth="1"/>
    <col min="4878" max="4878" width="14.85546875" bestFit="1" customWidth="1"/>
    <col min="5122" max="5122" width="12.42578125" bestFit="1" customWidth="1"/>
    <col min="5132" max="5132" width="17" bestFit="1" customWidth="1"/>
    <col min="5133" max="5133" width="15.42578125" bestFit="1" customWidth="1"/>
    <col min="5134" max="5134" width="14.85546875" bestFit="1" customWidth="1"/>
    <col min="5378" max="5378" width="12.42578125" bestFit="1" customWidth="1"/>
    <col min="5388" max="5388" width="17" bestFit="1" customWidth="1"/>
    <col min="5389" max="5389" width="15.42578125" bestFit="1" customWidth="1"/>
    <col min="5390" max="5390" width="14.85546875" bestFit="1" customWidth="1"/>
    <col min="5634" max="5634" width="12.42578125" bestFit="1" customWidth="1"/>
    <col min="5644" max="5644" width="17" bestFit="1" customWidth="1"/>
    <col min="5645" max="5645" width="15.42578125" bestFit="1" customWidth="1"/>
    <col min="5646" max="5646" width="14.85546875" bestFit="1" customWidth="1"/>
    <col min="5890" max="5890" width="12.42578125" bestFit="1" customWidth="1"/>
    <col min="5900" max="5900" width="17" bestFit="1" customWidth="1"/>
    <col min="5901" max="5901" width="15.42578125" bestFit="1" customWidth="1"/>
    <col min="5902" max="5902" width="14.85546875" bestFit="1" customWidth="1"/>
    <col min="6146" max="6146" width="12.42578125" bestFit="1" customWidth="1"/>
    <col min="6156" max="6156" width="17" bestFit="1" customWidth="1"/>
    <col min="6157" max="6157" width="15.42578125" bestFit="1" customWidth="1"/>
    <col min="6158" max="6158" width="14.85546875" bestFit="1" customWidth="1"/>
    <col min="6402" max="6402" width="12.42578125" bestFit="1" customWidth="1"/>
    <col min="6412" max="6412" width="17" bestFit="1" customWidth="1"/>
    <col min="6413" max="6413" width="15.42578125" bestFit="1" customWidth="1"/>
    <col min="6414" max="6414" width="14.85546875" bestFit="1" customWidth="1"/>
    <col min="6658" max="6658" width="12.42578125" bestFit="1" customWidth="1"/>
    <col min="6668" max="6668" width="17" bestFit="1" customWidth="1"/>
    <col min="6669" max="6669" width="15.42578125" bestFit="1" customWidth="1"/>
    <col min="6670" max="6670" width="14.85546875" bestFit="1" customWidth="1"/>
    <col min="6914" max="6914" width="12.42578125" bestFit="1" customWidth="1"/>
    <col min="6924" max="6924" width="17" bestFit="1" customWidth="1"/>
    <col min="6925" max="6925" width="15.42578125" bestFit="1" customWidth="1"/>
    <col min="6926" max="6926" width="14.85546875" bestFit="1" customWidth="1"/>
    <col min="7170" max="7170" width="12.42578125" bestFit="1" customWidth="1"/>
    <col min="7180" max="7180" width="17" bestFit="1" customWidth="1"/>
    <col min="7181" max="7181" width="15.42578125" bestFit="1" customWidth="1"/>
    <col min="7182" max="7182" width="14.85546875" bestFit="1" customWidth="1"/>
    <col min="7426" max="7426" width="12.42578125" bestFit="1" customWidth="1"/>
    <col min="7436" max="7436" width="17" bestFit="1" customWidth="1"/>
    <col min="7437" max="7437" width="15.42578125" bestFit="1" customWidth="1"/>
    <col min="7438" max="7438" width="14.85546875" bestFit="1" customWidth="1"/>
    <col min="7682" max="7682" width="12.42578125" bestFit="1" customWidth="1"/>
    <col min="7692" max="7692" width="17" bestFit="1" customWidth="1"/>
    <col min="7693" max="7693" width="15.42578125" bestFit="1" customWidth="1"/>
    <col min="7694" max="7694" width="14.85546875" bestFit="1" customWidth="1"/>
    <col min="7938" max="7938" width="12.42578125" bestFit="1" customWidth="1"/>
    <col min="7948" max="7948" width="17" bestFit="1" customWidth="1"/>
    <col min="7949" max="7949" width="15.42578125" bestFit="1" customWidth="1"/>
    <col min="7950" max="7950" width="14.85546875" bestFit="1" customWidth="1"/>
    <col min="8194" max="8194" width="12.42578125" bestFit="1" customWidth="1"/>
    <col min="8204" max="8204" width="17" bestFit="1" customWidth="1"/>
    <col min="8205" max="8205" width="15.42578125" bestFit="1" customWidth="1"/>
    <col min="8206" max="8206" width="14.85546875" bestFit="1" customWidth="1"/>
    <col min="8450" max="8450" width="12.42578125" bestFit="1" customWidth="1"/>
    <col min="8460" max="8460" width="17" bestFit="1" customWidth="1"/>
    <col min="8461" max="8461" width="15.42578125" bestFit="1" customWidth="1"/>
    <col min="8462" max="8462" width="14.85546875" bestFit="1" customWidth="1"/>
    <col min="8706" max="8706" width="12.42578125" bestFit="1" customWidth="1"/>
    <col min="8716" max="8716" width="17" bestFit="1" customWidth="1"/>
    <col min="8717" max="8717" width="15.42578125" bestFit="1" customWidth="1"/>
    <col min="8718" max="8718" width="14.85546875" bestFit="1" customWidth="1"/>
    <col min="8962" max="8962" width="12.42578125" bestFit="1" customWidth="1"/>
    <col min="8972" max="8972" width="17" bestFit="1" customWidth="1"/>
    <col min="8973" max="8973" width="15.42578125" bestFit="1" customWidth="1"/>
    <col min="8974" max="8974" width="14.85546875" bestFit="1" customWidth="1"/>
    <col min="9218" max="9218" width="12.42578125" bestFit="1" customWidth="1"/>
    <col min="9228" max="9228" width="17" bestFit="1" customWidth="1"/>
    <col min="9229" max="9229" width="15.42578125" bestFit="1" customWidth="1"/>
    <col min="9230" max="9230" width="14.85546875" bestFit="1" customWidth="1"/>
    <col min="9474" max="9474" width="12.42578125" bestFit="1" customWidth="1"/>
    <col min="9484" max="9484" width="17" bestFit="1" customWidth="1"/>
    <col min="9485" max="9485" width="15.42578125" bestFit="1" customWidth="1"/>
    <col min="9486" max="9486" width="14.85546875" bestFit="1" customWidth="1"/>
    <col min="9730" max="9730" width="12.42578125" bestFit="1" customWidth="1"/>
    <col min="9740" max="9740" width="17" bestFit="1" customWidth="1"/>
    <col min="9741" max="9741" width="15.42578125" bestFit="1" customWidth="1"/>
    <col min="9742" max="9742" width="14.85546875" bestFit="1" customWidth="1"/>
    <col min="9986" max="9986" width="12.42578125" bestFit="1" customWidth="1"/>
    <col min="9996" max="9996" width="17" bestFit="1" customWidth="1"/>
    <col min="9997" max="9997" width="15.42578125" bestFit="1" customWidth="1"/>
    <col min="9998" max="9998" width="14.85546875" bestFit="1" customWidth="1"/>
    <col min="10242" max="10242" width="12.42578125" bestFit="1" customWidth="1"/>
    <col min="10252" max="10252" width="17" bestFit="1" customWidth="1"/>
    <col min="10253" max="10253" width="15.42578125" bestFit="1" customWidth="1"/>
    <col min="10254" max="10254" width="14.85546875" bestFit="1" customWidth="1"/>
    <col min="10498" max="10498" width="12.42578125" bestFit="1" customWidth="1"/>
    <col min="10508" max="10508" width="17" bestFit="1" customWidth="1"/>
    <col min="10509" max="10509" width="15.42578125" bestFit="1" customWidth="1"/>
    <col min="10510" max="10510" width="14.85546875" bestFit="1" customWidth="1"/>
    <col min="10754" max="10754" width="12.42578125" bestFit="1" customWidth="1"/>
    <col min="10764" max="10764" width="17" bestFit="1" customWidth="1"/>
    <col min="10765" max="10765" width="15.42578125" bestFit="1" customWidth="1"/>
    <col min="10766" max="10766" width="14.85546875" bestFit="1" customWidth="1"/>
    <col min="11010" max="11010" width="12.42578125" bestFit="1" customWidth="1"/>
    <col min="11020" max="11020" width="17" bestFit="1" customWidth="1"/>
    <col min="11021" max="11021" width="15.42578125" bestFit="1" customWidth="1"/>
    <col min="11022" max="11022" width="14.85546875" bestFit="1" customWidth="1"/>
    <col min="11266" max="11266" width="12.42578125" bestFit="1" customWidth="1"/>
    <col min="11276" max="11276" width="17" bestFit="1" customWidth="1"/>
    <col min="11277" max="11277" width="15.42578125" bestFit="1" customWidth="1"/>
    <col min="11278" max="11278" width="14.85546875" bestFit="1" customWidth="1"/>
    <col min="11522" max="11522" width="12.42578125" bestFit="1" customWidth="1"/>
    <col min="11532" max="11532" width="17" bestFit="1" customWidth="1"/>
    <col min="11533" max="11533" width="15.42578125" bestFit="1" customWidth="1"/>
    <col min="11534" max="11534" width="14.85546875" bestFit="1" customWidth="1"/>
    <col min="11778" max="11778" width="12.42578125" bestFit="1" customWidth="1"/>
    <col min="11788" max="11788" width="17" bestFit="1" customWidth="1"/>
    <col min="11789" max="11789" width="15.42578125" bestFit="1" customWidth="1"/>
    <col min="11790" max="11790" width="14.85546875" bestFit="1" customWidth="1"/>
    <col min="12034" max="12034" width="12.42578125" bestFit="1" customWidth="1"/>
    <col min="12044" max="12044" width="17" bestFit="1" customWidth="1"/>
    <col min="12045" max="12045" width="15.42578125" bestFit="1" customWidth="1"/>
    <col min="12046" max="12046" width="14.85546875" bestFit="1" customWidth="1"/>
    <col min="12290" max="12290" width="12.42578125" bestFit="1" customWidth="1"/>
    <col min="12300" max="12300" width="17" bestFit="1" customWidth="1"/>
    <col min="12301" max="12301" width="15.42578125" bestFit="1" customWidth="1"/>
    <col min="12302" max="12302" width="14.85546875" bestFit="1" customWidth="1"/>
    <col min="12546" max="12546" width="12.42578125" bestFit="1" customWidth="1"/>
    <col min="12556" max="12556" width="17" bestFit="1" customWidth="1"/>
    <col min="12557" max="12557" width="15.42578125" bestFit="1" customWidth="1"/>
    <col min="12558" max="12558" width="14.85546875" bestFit="1" customWidth="1"/>
    <col min="12802" max="12802" width="12.42578125" bestFit="1" customWidth="1"/>
    <col min="12812" max="12812" width="17" bestFit="1" customWidth="1"/>
    <col min="12813" max="12813" width="15.42578125" bestFit="1" customWidth="1"/>
    <col min="12814" max="12814" width="14.85546875" bestFit="1" customWidth="1"/>
    <col min="13058" max="13058" width="12.42578125" bestFit="1" customWidth="1"/>
    <col min="13068" max="13068" width="17" bestFit="1" customWidth="1"/>
    <col min="13069" max="13069" width="15.42578125" bestFit="1" customWidth="1"/>
    <col min="13070" max="13070" width="14.85546875" bestFit="1" customWidth="1"/>
    <col min="13314" max="13314" width="12.42578125" bestFit="1" customWidth="1"/>
    <col min="13324" max="13324" width="17" bestFit="1" customWidth="1"/>
    <col min="13325" max="13325" width="15.42578125" bestFit="1" customWidth="1"/>
    <col min="13326" max="13326" width="14.85546875" bestFit="1" customWidth="1"/>
    <col min="13570" max="13570" width="12.42578125" bestFit="1" customWidth="1"/>
    <col min="13580" max="13580" width="17" bestFit="1" customWidth="1"/>
    <col min="13581" max="13581" width="15.42578125" bestFit="1" customWidth="1"/>
    <col min="13582" max="13582" width="14.85546875" bestFit="1" customWidth="1"/>
    <col min="13826" max="13826" width="12.42578125" bestFit="1" customWidth="1"/>
    <col min="13836" max="13836" width="17" bestFit="1" customWidth="1"/>
    <col min="13837" max="13837" width="15.42578125" bestFit="1" customWidth="1"/>
    <col min="13838" max="13838" width="14.85546875" bestFit="1" customWidth="1"/>
    <col min="14082" max="14082" width="12.42578125" bestFit="1" customWidth="1"/>
    <col min="14092" max="14092" width="17" bestFit="1" customWidth="1"/>
    <col min="14093" max="14093" width="15.42578125" bestFit="1" customWidth="1"/>
    <col min="14094" max="14094" width="14.85546875" bestFit="1" customWidth="1"/>
    <col min="14338" max="14338" width="12.42578125" bestFit="1" customWidth="1"/>
    <col min="14348" max="14348" width="17" bestFit="1" customWidth="1"/>
    <col min="14349" max="14349" width="15.42578125" bestFit="1" customWidth="1"/>
    <col min="14350" max="14350" width="14.85546875" bestFit="1" customWidth="1"/>
    <col min="14594" max="14594" width="12.42578125" bestFit="1" customWidth="1"/>
    <col min="14604" max="14604" width="17" bestFit="1" customWidth="1"/>
    <col min="14605" max="14605" width="15.42578125" bestFit="1" customWidth="1"/>
    <col min="14606" max="14606" width="14.85546875" bestFit="1" customWidth="1"/>
    <col min="14850" max="14850" width="12.42578125" bestFit="1" customWidth="1"/>
    <col min="14860" max="14860" width="17" bestFit="1" customWidth="1"/>
    <col min="14861" max="14861" width="15.42578125" bestFit="1" customWidth="1"/>
    <col min="14862" max="14862" width="14.85546875" bestFit="1" customWidth="1"/>
    <col min="15106" max="15106" width="12.42578125" bestFit="1" customWidth="1"/>
    <col min="15116" max="15116" width="17" bestFit="1" customWidth="1"/>
    <col min="15117" max="15117" width="15.42578125" bestFit="1" customWidth="1"/>
    <col min="15118" max="15118" width="14.85546875" bestFit="1" customWidth="1"/>
    <col min="15362" max="15362" width="12.42578125" bestFit="1" customWidth="1"/>
    <col min="15372" max="15372" width="17" bestFit="1" customWidth="1"/>
    <col min="15373" max="15373" width="15.42578125" bestFit="1" customWidth="1"/>
    <col min="15374" max="15374" width="14.85546875" bestFit="1" customWidth="1"/>
    <col min="15618" max="15618" width="12.42578125" bestFit="1" customWidth="1"/>
    <col min="15628" max="15628" width="17" bestFit="1" customWidth="1"/>
    <col min="15629" max="15629" width="15.42578125" bestFit="1" customWidth="1"/>
    <col min="15630" max="15630" width="14.85546875" bestFit="1" customWidth="1"/>
    <col min="15874" max="15874" width="12.42578125" bestFit="1" customWidth="1"/>
    <col min="15884" max="15884" width="17" bestFit="1" customWidth="1"/>
    <col min="15885" max="15885" width="15.42578125" bestFit="1" customWidth="1"/>
    <col min="15886" max="15886" width="14.85546875" bestFit="1" customWidth="1"/>
    <col min="16130" max="16130" width="12.42578125" bestFit="1" customWidth="1"/>
    <col min="16140" max="16140" width="17" bestFit="1" customWidth="1"/>
    <col min="16141" max="16141" width="15.42578125" bestFit="1" customWidth="1"/>
    <col min="16142" max="16142" width="14.85546875" bestFit="1" customWidth="1"/>
  </cols>
  <sheetData>
    <row r="1" spans="1:18" x14ac:dyDescent="0.25">
      <c r="N1" t="s">
        <v>829</v>
      </c>
    </row>
    <row r="2" spans="1:18" ht="15.75" thickBot="1" x14ac:dyDescent="0.3"/>
    <row r="3" spans="1:18" ht="16.5" thickBot="1" x14ac:dyDescent="0.3">
      <c r="L3" s="908" t="s">
        <v>737</v>
      </c>
      <c r="M3" s="909"/>
      <c r="N3" s="910"/>
      <c r="P3" s="892" t="s">
        <v>738</v>
      </c>
      <c r="Q3" s="893"/>
      <c r="R3" s="894"/>
    </row>
    <row r="4" spans="1:18" ht="15.75" thickBot="1" x14ac:dyDescent="0.3">
      <c r="A4" s="868"/>
      <c r="B4" s="869"/>
      <c r="C4" s="869"/>
      <c r="D4" s="869"/>
      <c r="E4" s="869"/>
      <c r="F4" s="869"/>
      <c r="G4" s="869"/>
      <c r="H4" s="869"/>
      <c r="I4" s="869"/>
      <c r="J4" s="869"/>
      <c r="K4" s="870"/>
      <c r="L4" s="366" t="s">
        <v>604</v>
      </c>
      <c r="M4" s="496" t="s">
        <v>605</v>
      </c>
      <c r="N4" s="496" t="s">
        <v>606</v>
      </c>
      <c r="P4" s="578" t="s">
        <v>739</v>
      </c>
      <c r="Q4" s="578" t="s">
        <v>611</v>
      </c>
      <c r="R4" s="578" t="s">
        <v>606</v>
      </c>
    </row>
    <row r="5" spans="1:18" ht="16.5" thickBot="1" x14ac:dyDescent="0.3">
      <c r="A5" s="892" t="s">
        <v>607</v>
      </c>
      <c r="B5" s="893"/>
      <c r="C5" s="893"/>
      <c r="D5" s="893"/>
      <c r="E5" s="893"/>
      <c r="F5" s="893"/>
      <c r="G5" s="893"/>
      <c r="H5" s="893"/>
      <c r="I5" s="893"/>
      <c r="J5" s="893"/>
      <c r="K5" s="894"/>
      <c r="L5" s="370"/>
      <c r="M5" s="497"/>
      <c r="N5" s="498"/>
      <c r="P5" s="370">
        <v>13257000</v>
      </c>
      <c r="R5" s="452"/>
    </row>
    <row r="6" spans="1:18" ht="15.75" thickBot="1" x14ac:dyDescent="0.3">
      <c r="A6" s="868"/>
      <c r="B6" s="869"/>
      <c r="C6" s="869"/>
      <c r="D6" s="869"/>
      <c r="E6" s="869"/>
      <c r="F6" s="869"/>
      <c r="G6" s="869"/>
      <c r="H6" s="869"/>
      <c r="I6" s="869"/>
      <c r="J6" s="869"/>
      <c r="K6" s="870"/>
      <c r="L6" s="370">
        <v>13405933</v>
      </c>
      <c r="M6" s="497"/>
      <c r="N6" s="498"/>
      <c r="P6" s="370">
        <v>2940000</v>
      </c>
      <c r="R6" s="579"/>
    </row>
    <row r="7" spans="1:18" ht="15.75" thickBot="1" x14ac:dyDescent="0.3">
      <c r="A7" s="868"/>
      <c r="B7" s="869"/>
      <c r="C7" s="869"/>
      <c r="D7" s="869"/>
      <c r="E7" s="869"/>
      <c r="F7" s="869"/>
      <c r="G7" s="869"/>
      <c r="H7" s="869"/>
      <c r="I7" s="869"/>
      <c r="J7" s="869"/>
      <c r="K7" s="870"/>
      <c r="L7" s="370">
        <v>2940000</v>
      </c>
      <c r="M7" s="497"/>
      <c r="N7" s="498"/>
      <c r="P7" s="370">
        <v>6039300</v>
      </c>
      <c r="R7" s="579"/>
    </row>
    <row r="8" spans="1:18" ht="15.75" thickBot="1" x14ac:dyDescent="0.3">
      <c r="A8" s="868"/>
      <c r="B8" s="869"/>
      <c r="C8" s="869"/>
      <c r="D8" s="869"/>
      <c r="E8" s="869"/>
      <c r="F8" s="869"/>
      <c r="G8" s="869"/>
      <c r="H8" s="869"/>
      <c r="I8" s="869"/>
      <c r="J8" s="869"/>
      <c r="K8" s="870"/>
      <c r="L8" s="370">
        <v>5828667</v>
      </c>
      <c r="M8" s="497"/>
      <c r="N8" s="498"/>
      <c r="P8" s="370">
        <v>1470000</v>
      </c>
      <c r="R8" s="579"/>
    </row>
    <row r="9" spans="1:18" ht="15.75" thickBot="1" x14ac:dyDescent="0.3">
      <c r="A9" s="868"/>
      <c r="B9" s="869"/>
      <c r="C9" s="869"/>
      <c r="D9" s="869"/>
      <c r="E9" s="869"/>
      <c r="F9" s="869"/>
      <c r="G9" s="869"/>
      <c r="H9" s="869"/>
      <c r="I9" s="869"/>
      <c r="J9" s="869"/>
      <c r="K9" s="870"/>
      <c r="L9" s="370">
        <v>1470000</v>
      </c>
      <c r="M9" s="497"/>
      <c r="N9" s="498"/>
      <c r="P9" s="370">
        <v>2451000</v>
      </c>
      <c r="R9" s="579"/>
    </row>
    <row r="10" spans="1:18" ht="15.75" thickBot="1" x14ac:dyDescent="0.3">
      <c r="A10" s="868"/>
      <c r="B10" s="869"/>
      <c r="C10" s="869"/>
      <c r="D10" s="869"/>
      <c r="E10" s="869"/>
      <c r="F10" s="869"/>
      <c r="G10" s="869"/>
      <c r="H10" s="869"/>
      <c r="I10" s="869"/>
      <c r="J10" s="869"/>
      <c r="K10" s="870"/>
      <c r="L10" s="370">
        <v>2986933</v>
      </c>
      <c r="M10" s="497"/>
      <c r="N10" s="498"/>
      <c r="P10" s="370">
        <v>116567</v>
      </c>
      <c r="R10" s="579"/>
    </row>
    <row r="11" spans="1:18" ht="15.75" thickBot="1" x14ac:dyDescent="0.3">
      <c r="A11" s="868"/>
      <c r="B11" s="869"/>
      <c r="C11" s="869"/>
      <c r="D11" s="869"/>
      <c r="E11" s="869"/>
      <c r="F11" s="869"/>
      <c r="G11" s="869"/>
      <c r="H11" s="869"/>
      <c r="I11" s="869"/>
      <c r="J11" s="869"/>
      <c r="K11" s="870"/>
      <c r="L11" s="370">
        <v>1298667</v>
      </c>
      <c r="M11" s="497"/>
      <c r="N11" s="498"/>
      <c r="P11" s="370">
        <v>802000</v>
      </c>
      <c r="R11" s="579"/>
    </row>
    <row r="12" spans="1:18" ht="15.75" thickBot="1" x14ac:dyDescent="0.3">
      <c r="A12" s="868"/>
      <c r="B12" s="869"/>
      <c r="C12" s="869"/>
      <c r="D12" s="869"/>
      <c r="E12" s="869"/>
      <c r="F12" s="869"/>
      <c r="G12" s="869"/>
      <c r="H12" s="869"/>
      <c r="I12" s="869"/>
      <c r="J12" s="869"/>
      <c r="K12" s="870"/>
      <c r="L12" s="370">
        <v>1190100</v>
      </c>
      <c r="M12" s="497"/>
      <c r="N12" s="498"/>
      <c r="P12" s="370">
        <v>367584</v>
      </c>
      <c r="R12" s="506"/>
    </row>
    <row r="13" spans="1:18" s="365" customFormat="1" ht="19.5" thickBot="1" x14ac:dyDescent="0.35">
      <c r="A13" s="856" t="s">
        <v>608</v>
      </c>
      <c r="B13" s="857"/>
      <c r="C13" s="857"/>
      <c r="D13" s="857"/>
      <c r="E13" s="857"/>
      <c r="F13" s="857"/>
      <c r="G13" s="857"/>
      <c r="H13" s="857"/>
      <c r="I13" s="857"/>
      <c r="J13" s="857"/>
      <c r="K13" s="858"/>
      <c r="L13" s="373">
        <f>L6+L7+L8+L9+L10+L11+L12</f>
        <v>29120300</v>
      </c>
      <c r="M13" s="499">
        <f>[2]óvoda!H60</f>
        <v>26621592</v>
      </c>
      <c r="N13" s="373">
        <f>L13-M13</f>
        <v>2498708</v>
      </c>
      <c r="P13" s="371">
        <f>SUM(P5:P12)</f>
        <v>27443451</v>
      </c>
      <c r="Q13" s="371">
        <v>33942595</v>
      </c>
      <c r="R13" s="371">
        <f>P13-Q13</f>
        <v>-6499144</v>
      </c>
    </row>
    <row r="14" spans="1:18" ht="15.75" thickBot="1" x14ac:dyDescent="0.3">
      <c r="A14" s="868"/>
      <c r="B14" s="869"/>
      <c r="C14" s="869"/>
      <c r="D14" s="869"/>
      <c r="E14" s="869"/>
      <c r="F14" s="869"/>
      <c r="G14" s="869"/>
      <c r="H14" s="869"/>
      <c r="I14" s="869"/>
      <c r="J14" s="869"/>
      <c r="K14" s="870"/>
      <c r="L14" s="370"/>
      <c r="M14" s="500"/>
      <c r="N14" s="368"/>
    </row>
    <row r="15" spans="1:18" ht="16.5" thickBot="1" x14ac:dyDescent="0.3">
      <c r="A15" s="892" t="s">
        <v>299</v>
      </c>
      <c r="B15" s="893"/>
      <c r="C15" s="893"/>
      <c r="D15" s="893"/>
      <c r="E15" s="893"/>
      <c r="F15" s="893"/>
      <c r="G15" s="893"/>
      <c r="H15" s="893"/>
      <c r="I15" s="893"/>
      <c r="J15" s="893"/>
      <c r="K15" s="894"/>
      <c r="L15" s="370"/>
      <c r="M15" s="500"/>
      <c r="N15" s="368"/>
      <c r="P15" s="370">
        <v>8979000</v>
      </c>
    </row>
    <row r="16" spans="1:18" ht="15.75" thickBot="1" x14ac:dyDescent="0.3">
      <c r="A16" s="868"/>
      <c r="B16" s="869"/>
      <c r="C16" s="869"/>
      <c r="D16" s="869"/>
      <c r="E16" s="869"/>
      <c r="F16" s="869"/>
      <c r="G16" s="869"/>
      <c r="H16" s="869"/>
      <c r="I16" s="869"/>
      <c r="J16" s="869"/>
      <c r="K16" s="870"/>
      <c r="L16" s="370">
        <v>8979000</v>
      </c>
      <c r="M16" s="500"/>
      <c r="N16" s="368"/>
      <c r="P16" s="370">
        <v>2319000</v>
      </c>
    </row>
    <row r="17" spans="1:18" ht="15.75" thickBot="1" x14ac:dyDescent="0.3">
      <c r="A17" s="868"/>
      <c r="B17" s="869"/>
      <c r="C17" s="869"/>
      <c r="D17" s="869"/>
      <c r="E17" s="869"/>
      <c r="F17" s="869"/>
      <c r="G17" s="869"/>
      <c r="H17" s="869"/>
      <c r="I17" s="869"/>
      <c r="J17" s="869"/>
      <c r="K17" s="870"/>
      <c r="L17" s="370">
        <v>3629000</v>
      </c>
      <c r="M17" s="500"/>
      <c r="N17" s="368"/>
      <c r="P17" s="370">
        <v>2500000</v>
      </c>
    </row>
    <row r="18" spans="1:18" s="365" customFormat="1" ht="19.5" thickBot="1" x14ac:dyDescent="0.35">
      <c r="A18" s="856" t="s">
        <v>609</v>
      </c>
      <c r="B18" s="857"/>
      <c r="C18" s="857"/>
      <c r="D18" s="857"/>
      <c r="E18" s="857"/>
      <c r="F18" s="857"/>
      <c r="G18" s="857"/>
      <c r="H18" s="857"/>
      <c r="I18" s="857"/>
      <c r="J18" s="857"/>
      <c r="K18" s="858"/>
      <c r="L18" s="373">
        <f>L16+L17</f>
        <v>12608000</v>
      </c>
      <c r="M18" s="499">
        <f>[2]bölcsőde!H48</f>
        <v>13566945</v>
      </c>
      <c r="N18" s="373">
        <f>L18-M18</f>
        <v>-958945</v>
      </c>
      <c r="P18" s="371">
        <f>P15+P16+P17</f>
        <v>13798000</v>
      </c>
      <c r="Q18" s="580">
        <v>11324910</v>
      </c>
      <c r="R18" s="371">
        <f>P18-Q18</f>
        <v>2473090</v>
      </c>
    </row>
    <row r="19" spans="1:18" s="365" customFormat="1" ht="21.75" thickBot="1" x14ac:dyDescent="0.4">
      <c r="A19" s="892" t="s">
        <v>610</v>
      </c>
      <c r="B19" s="893"/>
      <c r="C19" s="893"/>
      <c r="D19" s="893"/>
      <c r="E19" s="893"/>
      <c r="F19" s="893"/>
      <c r="G19" s="893"/>
      <c r="H19" s="893"/>
      <c r="I19" s="893"/>
      <c r="J19" s="893"/>
      <c r="K19" s="894"/>
      <c r="L19" s="501">
        <f>L13+L18</f>
        <v>41728300</v>
      </c>
      <c r="M19" s="501">
        <f>M18+M13</f>
        <v>40188537</v>
      </c>
      <c r="N19" s="501">
        <f>L19-M19</f>
        <v>1539763</v>
      </c>
      <c r="P19" s="371">
        <f>P13+P18</f>
        <v>41241451</v>
      </c>
      <c r="Q19" s="371">
        <f t="shared" ref="Q19:R19" si="0">Q13+Q18</f>
        <v>45267505</v>
      </c>
      <c r="R19" s="371">
        <f t="shared" si="0"/>
        <v>-4026054</v>
      </c>
    </row>
    <row r="20" spans="1:18" s="502" customFormat="1" ht="21.75" thickBot="1" x14ac:dyDescent="0.4">
      <c r="A20" s="905"/>
      <c r="B20" s="906"/>
      <c r="C20" s="906"/>
      <c r="D20" s="906"/>
      <c r="E20" s="906"/>
      <c r="F20" s="906"/>
      <c r="G20" s="906"/>
      <c r="H20" s="906"/>
      <c r="I20" s="906"/>
      <c r="J20" s="906"/>
      <c r="K20" s="907"/>
      <c r="L20" s="501"/>
      <c r="M20" s="581"/>
      <c r="N20" s="581"/>
      <c r="P20" s="582"/>
    </row>
    <row r="21" spans="1:18" ht="15.75" thickBot="1" x14ac:dyDescent="0.3">
      <c r="A21" s="868" t="s">
        <v>528</v>
      </c>
      <c r="B21" s="869"/>
      <c r="C21" s="869"/>
      <c r="D21" s="869"/>
      <c r="E21" s="869"/>
      <c r="F21" s="869"/>
      <c r="G21" s="869"/>
      <c r="H21" s="869"/>
      <c r="I21" s="869"/>
      <c r="J21" s="869"/>
      <c r="K21" s="870"/>
      <c r="L21" s="503">
        <v>2228820</v>
      </c>
      <c r="M21" s="504" t="s">
        <v>611</v>
      </c>
      <c r="N21" s="504" t="s">
        <v>606</v>
      </c>
      <c r="P21" s="503">
        <v>2171950</v>
      </c>
    </row>
    <row r="22" spans="1:18" ht="15.75" thickBot="1" x14ac:dyDescent="0.3">
      <c r="A22" s="911" t="s">
        <v>612</v>
      </c>
      <c r="B22" s="912"/>
      <c r="C22" s="912"/>
      <c r="D22" s="912"/>
      <c r="E22" s="912"/>
      <c r="F22" s="912"/>
      <c r="G22" s="912"/>
      <c r="H22" s="912"/>
      <c r="I22" s="912"/>
      <c r="J22" s="912"/>
      <c r="K22" s="913"/>
      <c r="L22" s="505">
        <v>136400</v>
      </c>
      <c r="M22" s="506"/>
      <c r="N22" s="506"/>
      <c r="P22" s="583">
        <f>26352*12</f>
        <v>316224</v>
      </c>
    </row>
    <row r="23" spans="1:18" s="365" customFormat="1" ht="19.5" thickBot="1" x14ac:dyDescent="0.35">
      <c r="A23" s="892" t="s">
        <v>613</v>
      </c>
      <c r="B23" s="893"/>
      <c r="C23" s="893"/>
      <c r="D23" s="893"/>
      <c r="E23" s="893"/>
      <c r="F23" s="893"/>
      <c r="G23" s="893"/>
      <c r="H23" s="893"/>
      <c r="I23" s="893"/>
      <c r="J23" s="893"/>
      <c r="K23" s="894"/>
      <c r="L23" s="373">
        <f>L21+L22</f>
        <v>2365220</v>
      </c>
      <c r="M23" s="373">
        <f>[2]közművelődés!H71</f>
        <v>14286016</v>
      </c>
      <c r="N23" s="373">
        <f>L23-M23</f>
        <v>-11920796</v>
      </c>
      <c r="P23" s="584">
        <f>P21+P22</f>
        <v>2488174</v>
      </c>
    </row>
    <row r="24" spans="1:18" s="365" customFormat="1" ht="21.75" thickBot="1" x14ac:dyDescent="0.4">
      <c r="A24" s="905"/>
      <c r="B24" s="906"/>
      <c r="C24" s="906"/>
      <c r="D24" s="906"/>
      <c r="E24" s="906"/>
      <c r="F24" s="906"/>
      <c r="G24" s="906"/>
      <c r="H24" s="906"/>
      <c r="I24" s="906"/>
      <c r="J24" s="643"/>
      <c r="K24" s="645"/>
      <c r="L24" s="373"/>
      <c r="P24" s="585"/>
    </row>
    <row r="25" spans="1:18" s="365" customFormat="1" ht="21.75" thickBot="1" x14ac:dyDescent="0.4">
      <c r="A25" s="892" t="s">
        <v>740</v>
      </c>
      <c r="B25" s="893"/>
      <c r="C25" s="893"/>
      <c r="D25" s="893"/>
      <c r="E25" s="893"/>
      <c r="F25" s="893"/>
      <c r="G25" s="893"/>
      <c r="H25" s="893"/>
      <c r="I25" s="893"/>
      <c r="J25" s="643"/>
      <c r="K25" s="645"/>
      <c r="L25" s="373">
        <f>L26+L27</f>
        <v>1361500</v>
      </c>
      <c r="P25" s="586">
        <f>P26+P27</f>
        <v>1300000</v>
      </c>
    </row>
    <row r="26" spans="1:18" ht="15.75" thickBot="1" x14ac:dyDescent="0.3">
      <c r="A26" s="868" t="s">
        <v>614</v>
      </c>
      <c r="B26" s="869"/>
      <c r="C26" s="869"/>
      <c r="D26" s="869"/>
      <c r="E26" s="869"/>
      <c r="F26" s="869"/>
      <c r="G26" s="869"/>
      <c r="H26" s="869"/>
      <c r="I26" s="869"/>
      <c r="J26" s="869"/>
      <c r="K26" s="870"/>
      <c r="L26" s="370">
        <v>1200000</v>
      </c>
      <c r="P26" s="370">
        <v>1200000</v>
      </c>
    </row>
    <row r="27" spans="1:18" ht="15.75" thickBot="1" x14ac:dyDescent="0.3">
      <c r="A27" s="886" t="s">
        <v>615</v>
      </c>
      <c r="B27" s="887"/>
      <c r="C27" s="887"/>
      <c r="D27" s="887"/>
      <c r="E27" s="887"/>
      <c r="F27" s="887"/>
      <c r="G27" s="887"/>
      <c r="H27" s="887"/>
      <c r="I27" s="887"/>
      <c r="J27" s="887"/>
      <c r="K27" s="888"/>
      <c r="L27" s="587">
        <v>161500</v>
      </c>
      <c r="P27" s="370">
        <v>100000</v>
      </c>
    </row>
    <row r="28" spans="1:18" s="589" customFormat="1" ht="16.5" thickBot="1" x14ac:dyDescent="0.3">
      <c r="A28" s="917" t="s">
        <v>741</v>
      </c>
      <c r="B28" s="918"/>
      <c r="C28" s="918"/>
      <c r="D28" s="918"/>
      <c r="E28" s="918"/>
      <c r="F28" s="918"/>
      <c r="G28" s="918"/>
      <c r="H28" s="918"/>
      <c r="I28" s="918"/>
      <c r="J28" s="644"/>
      <c r="K28" s="644"/>
      <c r="L28" s="588">
        <f>L30+L29</f>
        <v>1449948</v>
      </c>
      <c r="P28" s="590"/>
    </row>
    <row r="29" spans="1:18" ht="15.75" thickBot="1" x14ac:dyDescent="0.3">
      <c r="A29" s="914" t="s">
        <v>742</v>
      </c>
      <c r="B29" s="915"/>
      <c r="C29" s="915"/>
      <c r="D29" s="915"/>
      <c r="E29" s="915"/>
      <c r="F29" s="915"/>
      <c r="G29" s="915"/>
      <c r="H29" s="915"/>
      <c r="I29" s="915"/>
      <c r="J29" s="915"/>
      <c r="K29" s="916"/>
      <c r="L29" s="508">
        <v>67720</v>
      </c>
      <c r="P29" s="579"/>
    </row>
    <row r="30" spans="1:18" ht="15.75" thickBot="1" x14ac:dyDescent="0.3">
      <c r="A30" s="868" t="s">
        <v>743</v>
      </c>
      <c r="B30" s="869"/>
      <c r="C30" s="869"/>
      <c r="D30" s="869"/>
      <c r="E30" s="869"/>
      <c r="F30" s="869"/>
      <c r="G30" s="869"/>
      <c r="H30" s="869"/>
      <c r="I30" s="869"/>
      <c r="J30" s="869"/>
      <c r="K30" s="870"/>
      <c r="L30" s="370">
        <v>1382228</v>
      </c>
      <c r="P30" s="579"/>
    </row>
    <row r="31" spans="1:18" s="374" customFormat="1" ht="19.5" thickBot="1" x14ac:dyDescent="0.35">
      <c r="A31" s="895" t="s">
        <v>616</v>
      </c>
      <c r="B31" s="896"/>
      <c r="C31" s="896"/>
      <c r="D31" s="896"/>
      <c r="E31" s="896"/>
      <c r="F31" s="896"/>
      <c r="G31" s="896"/>
      <c r="H31" s="896"/>
      <c r="I31" s="896"/>
      <c r="J31" s="896"/>
      <c r="K31" s="897"/>
      <c r="L31" s="373">
        <f>L19+L23+L25+L28</f>
        <v>46904968</v>
      </c>
      <c r="P31" s="373">
        <f>P19+P23+P25</f>
        <v>45029625</v>
      </c>
    </row>
    <row r="32" spans="1:18" s="374" customFormat="1" ht="19.5" thickBot="1" x14ac:dyDescent="0.35">
      <c r="A32" s="895" t="s">
        <v>617</v>
      </c>
      <c r="B32" s="896"/>
      <c r="C32" s="896"/>
      <c r="D32" s="896"/>
      <c r="E32" s="896"/>
      <c r="F32" s="896"/>
      <c r="G32" s="896"/>
      <c r="H32" s="896"/>
      <c r="I32" s="896"/>
      <c r="J32" s="896"/>
      <c r="K32" s="897"/>
      <c r="L32" s="373">
        <f>M19+M23</f>
        <v>54474553</v>
      </c>
      <c r="P32" s="373">
        <v>54959325</v>
      </c>
    </row>
    <row r="33" spans="1:16" ht="19.5" thickBot="1" x14ac:dyDescent="0.35">
      <c r="A33" s="895" t="s">
        <v>618</v>
      </c>
      <c r="B33" s="896"/>
      <c r="C33" s="896"/>
      <c r="D33" s="896"/>
      <c r="E33" s="896"/>
      <c r="F33" s="896"/>
      <c r="G33" s="896"/>
      <c r="H33" s="896"/>
      <c r="I33" s="896"/>
      <c r="J33" s="896"/>
      <c r="K33" s="897"/>
      <c r="L33" s="373">
        <f>L31-L32</f>
        <v>-7569585</v>
      </c>
      <c r="P33" s="373">
        <f>P31-P32</f>
        <v>-9929700</v>
      </c>
    </row>
  </sheetData>
  <mergeCells count="32">
    <mergeCell ref="A31:K31"/>
    <mergeCell ref="A32:K32"/>
    <mergeCell ref="A33:K33"/>
    <mergeCell ref="L3:N3"/>
    <mergeCell ref="P3:R3"/>
    <mergeCell ref="A22:K22"/>
    <mergeCell ref="A24:I24"/>
    <mergeCell ref="A25:I25"/>
    <mergeCell ref="A29:K29"/>
    <mergeCell ref="A30:K30"/>
    <mergeCell ref="A23:K23"/>
    <mergeCell ref="A26:K26"/>
    <mergeCell ref="A27:K27"/>
    <mergeCell ref="A28:I28"/>
    <mergeCell ref="A21:K21"/>
    <mergeCell ref="A10:K10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9:K9"/>
    <mergeCell ref="A4:K4"/>
    <mergeCell ref="A5:K5"/>
    <mergeCell ref="A6:K6"/>
    <mergeCell ref="A7:K7"/>
    <mergeCell ref="A8:K8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opLeftCell="A10" workbookViewId="0">
      <selection activeCell="O10" sqref="O1:O1048576"/>
    </sheetView>
  </sheetViews>
  <sheetFormatPr defaultRowHeight="15.75" x14ac:dyDescent="0.25"/>
  <cols>
    <col min="1" max="1" width="38.28515625" style="406" customWidth="1"/>
    <col min="2" max="2" width="10.28515625" style="406" customWidth="1"/>
    <col min="3" max="13" width="9.5703125" style="406" customWidth="1"/>
    <col min="14" max="14" width="10.5703125" style="406" bestFit="1" customWidth="1"/>
    <col min="15" max="15" width="7.42578125" style="398" hidden="1" customWidth="1"/>
    <col min="16" max="16384" width="9.140625" style="398"/>
  </cols>
  <sheetData>
    <row r="1" spans="1:15" x14ac:dyDescent="0.25">
      <c r="A1" s="919" t="s">
        <v>676</v>
      </c>
      <c r="B1" s="919"/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</row>
    <row r="2" spans="1:15" ht="24" customHeight="1" x14ac:dyDescent="0.25">
      <c r="A2" s="919" t="s">
        <v>307</v>
      </c>
      <c r="B2" s="919"/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</row>
    <row r="3" spans="1:15" ht="12.75" customHeight="1" x14ac:dyDescent="0.25">
      <c r="A3" s="920" t="s">
        <v>818</v>
      </c>
      <c r="B3" s="920"/>
      <c r="C3" s="920"/>
      <c r="D3" s="920"/>
      <c r="E3" s="920"/>
      <c r="F3" s="920"/>
      <c r="G3" s="920"/>
      <c r="H3" s="920"/>
      <c r="I3" s="920"/>
      <c r="J3" s="920"/>
      <c r="K3" s="920"/>
      <c r="L3" s="920"/>
      <c r="M3" s="920"/>
      <c r="N3" s="920"/>
    </row>
    <row r="4" spans="1:15" ht="19.5" customHeight="1" x14ac:dyDescent="0.25">
      <c r="A4" s="920"/>
      <c r="B4" s="920"/>
      <c r="C4" s="920"/>
      <c r="D4" s="920"/>
      <c r="E4" s="920"/>
      <c r="F4" s="920"/>
      <c r="G4" s="920"/>
      <c r="H4" s="920"/>
      <c r="I4" s="920"/>
      <c r="J4" s="920"/>
      <c r="K4" s="920"/>
      <c r="L4" s="920"/>
      <c r="M4" s="920"/>
      <c r="N4" s="920"/>
    </row>
    <row r="5" spans="1:15" ht="16.5" customHeight="1" x14ac:dyDescent="0.25">
      <c r="A5" s="569"/>
      <c r="B5" s="569"/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920" t="s">
        <v>368</v>
      </c>
      <c r="N5" s="920"/>
    </row>
    <row r="6" spans="1:15" ht="18" customHeight="1" x14ac:dyDescent="0.25">
      <c r="A6" s="376" t="s">
        <v>7</v>
      </c>
      <c r="B6" s="377" t="s">
        <v>369</v>
      </c>
      <c r="C6" s="377" t="s">
        <v>370</v>
      </c>
      <c r="D6" s="377" t="s">
        <v>371</v>
      </c>
      <c r="E6" s="377" t="s">
        <v>372</v>
      </c>
      <c r="F6" s="377" t="s">
        <v>373</v>
      </c>
      <c r="G6" s="377" t="s">
        <v>374</v>
      </c>
      <c r="H6" s="377" t="s">
        <v>375</v>
      </c>
      <c r="I6" s="377" t="s">
        <v>376</v>
      </c>
      <c r="J6" s="377" t="s">
        <v>377</v>
      </c>
      <c r="K6" s="377" t="s">
        <v>378</v>
      </c>
      <c r="L6" s="377" t="s">
        <v>379</v>
      </c>
      <c r="M6" s="377" t="s">
        <v>380</v>
      </c>
      <c r="N6" s="376" t="s">
        <v>381</v>
      </c>
    </row>
    <row r="7" spans="1:15" ht="18" customHeight="1" x14ac:dyDescent="0.25">
      <c r="A7" s="378" t="s">
        <v>13</v>
      </c>
      <c r="B7" s="380">
        <v>2596</v>
      </c>
      <c r="C7" s="380">
        <v>2596</v>
      </c>
      <c r="D7" s="380">
        <v>2596</v>
      </c>
      <c r="E7" s="380">
        <v>2596</v>
      </c>
      <c r="F7" s="380">
        <v>2596</v>
      </c>
      <c r="G7" s="380">
        <v>2596</v>
      </c>
      <c r="H7" s="380">
        <v>2596</v>
      </c>
      <c r="I7" s="380">
        <v>2596</v>
      </c>
      <c r="J7" s="380">
        <v>2596</v>
      </c>
      <c r="K7" s="380">
        <v>2596</v>
      </c>
      <c r="L7" s="380">
        <v>2595</v>
      </c>
      <c r="M7" s="380">
        <v>2595</v>
      </c>
      <c r="N7" s="381">
        <f t="shared" ref="N7:N12" si="0">SUM(B7:M7)</f>
        <v>31150</v>
      </c>
      <c r="O7" s="398">
        <f>+'[5]2'!D10</f>
        <v>31150</v>
      </c>
    </row>
    <row r="8" spans="1:15" ht="18" customHeight="1" x14ac:dyDescent="0.25">
      <c r="A8" s="378" t="s">
        <v>382</v>
      </c>
      <c r="B8" s="380">
        <v>534</v>
      </c>
      <c r="C8" s="380">
        <v>534</v>
      </c>
      <c r="D8" s="380">
        <v>534</v>
      </c>
      <c r="E8" s="380">
        <v>534</v>
      </c>
      <c r="F8" s="380">
        <v>534</v>
      </c>
      <c r="G8" s="380">
        <v>534</v>
      </c>
      <c r="H8" s="380">
        <v>534</v>
      </c>
      <c r="I8" s="380">
        <v>534</v>
      </c>
      <c r="J8" s="380">
        <v>534</v>
      </c>
      <c r="K8" s="380">
        <v>534</v>
      </c>
      <c r="L8" s="380">
        <v>533</v>
      </c>
      <c r="M8" s="380">
        <v>533</v>
      </c>
      <c r="N8" s="381">
        <f t="shared" si="0"/>
        <v>6406</v>
      </c>
      <c r="O8" s="398">
        <f>+'[5]2'!D11</f>
        <v>6406</v>
      </c>
    </row>
    <row r="9" spans="1:15" ht="18" customHeight="1" x14ac:dyDescent="0.25">
      <c r="A9" s="378" t="s">
        <v>15</v>
      </c>
      <c r="B9" s="380">
        <v>1248</v>
      </c>
      <c r="C9" s="380">
        <v>1248</v>
      </c>
      <c r="D9" s="380">
        <v>1248</v>
      </c>
      <c r="E9" s="380">
        <v>1248</v>
      </c>
      <c r="F9" s="380">
        <v>1248</v>
      </c>
      <c r="G9" s="380">
        <v>1248</v>
      </c>
      <c r="H9" s="380">
        <v>1248</v>
      </c>
      <c r="I9" s="380">
        <v>1248</v>
      </c>
      <c r="J9" s="380">
        <v>1248</v>
      </c>
      <c r="K9" s="380">
        <v>1248</v>
      </c>
      <c r="L9" s="380">
        <v>1248</v>
      </c>
      <c r="M9" s="380">
        <v>1249</v>
      </c>
      <c r="N9" s="381">
        <f t="shared" si="0"/>
        <v>14977</v>
      </c>
      <c r="O9" s="398">
        <f>+'[5]2'!D12</f>
        <v>14977</v>
      </c>
    </row>
    <row r="10" spans="1:15" ht="18" customHeight="1" x14ac:dyDescent="0.25">
      <c r="A10" s="378" t="s">
        <v>383</v>
      </c>
      <c r="B10" s="380"/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1">
        <f t="shared" si="0"/>
        <v>0</v>
      </c>
    </row>
    <row r="11" spans="1:15" ht="18" customHeight="1" x14ac:dyDescent="0.25">
      <c r="A11" s="378" t="s">
        <v>384</v>
      </c>
      <c r="B11" s="38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1">
        <f t="shared" si="0"/>
        <v>0</v>
      </c>
      <c r="O11" s="402"/>
    </row>
    <row r="12" spans="1:15" ht="18" customHeight="1" x14ac:dyDescent="0.25">
      <c r="A12" s="378" t="s">
        <v>385</v>
      </c>
      <c r="B12" s="380"/>
      <c r="C12" s="380"/>
      <c r="D12" s="380"/>
      <c r="E12" s="380">
        <v>216</v>
      </c>
      <c r="F12" s="380">
        <v>216</v>
      </c>
      <c r="G12" s="380">
        <v>216</v>
      </c>
      <c r="H12" s="380">
        <v>216</v>
      </c>
      <c r="I12" s="380">
        <v>216</v>
      </c>
      <c r="J12" s="380">
        <v>216</v>
      </c>
      <c r="K12" s="380">
        <v>215</v>
      </c>
      <c r="L12" s="380">
        <v>215</v>
      </c>
      <c r="M12" s="380">
        <v>215</v>
      </c>
      <c r="N12" s="381">
        <f t="shared" si="0"/>
        <v>1941</v>
      </c>
      <c r="O12" s="398">
        <v>1941</v>
      </c>
    </row>
    <row r="13" spans="1:15" ht="18" customHeight="1" x14ac:dyDescent="0.25">
      <c r="A13" s="378" t="s">
        <v>229</v>
      </c>
      <c r="B13" s="380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1"/>
    </row>
    <row r="14" spans="1:15" ht="18" customHeight="1" x14ac:dyDescent="0.25">
      <c r="A14" s="382" t="s">
        <v>386</v>
      </c>
      <c r="B14" s="381">
        <f>SUM(B7:B13)</f>
        <v>4378</v>
      </c>
      <c r="C14" s="381">
        <f t="shared" ref="C14:M14" si="1">SUM(C7:C13)</f>
        <v>4378</v>
      </c>
      <c r="D14" s="381">
        <f t="shared" si="1"/>
        <v>4378</v>
      </c>
      <c r="E14" s="381">
        <f t="shared" si="1"/>
        <v>4594</v>
      </c>
      <c r="F14" s="381">
        <f t="shared" si="1"/>
        <v>4594</v>
      </c>
      <c r="G14" s="381">
        <f t="shared" si="1"/>
        <v>4594</v>
      </c>
      <c r="H14" s="381">
        <f t="shared" si="1"/>
        <v>4594</v>
      </c>
      <c r="I14" s="381">
        <f t="shared" si="1"/>
        <v>4594</v>
      </c>
      <c r="J14" s="381">
        <f t="shared" si="1"/>
        <v>4594</v>
      </c>
      <c r="K14" s="381">
        <f t="shared" si="1"/>
        <v>4593</v>
      </c>
      <c r="L14" s="381">
        <f t="shared" si="1"/>
        <v>4591</v>
      </c>
      <c r="M14" s="381">
        <f t="shared" si="1"/>
        <v>4592</v>
      </c>
      <c r="N14" s="381">
        <f>SUM(N7:N13)</f>
        <v>54474</v>
      </c>
      <c r="O14" s="398">
        <f>SUM(O7:O13)</f>
        <v>54474</v>
      </c>
    </row>
    <row r="15" spans="1:15" ht="18" customHeight="1" x14ac:dyDescent="0.25">
      <c r="A15" s="383"/>
      <c r="B15" s="384"/>
      <c r="C15" s="384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5"/>
    </row>
    <row r="16" spans="1:15" ht="18" customHeight="1" x14ac:dyDescent="0.25">
      <c r="A16" s="378" t="s">
        <v>387</v>
      </c>
      <c r="B16" s="380">
        <v>113</v>
      </c>
      <c r="C16" s="380">
        <v>113</v>
      </c>
      <c r="D16" s="380">
        <v>113</v>
      </c>
      <c r="E16" s="380">
        <v>113</v>
      </c>
      <c r="F16" s="380">
        <v>113</v>
      </c>
      <c r="G16" s="380">
        <v>113</v>
      </c>
      <c r="H16" s="380">
        <v>114</v>
      </c>
      <c r="I16" s="380">
        <v>114</v>
      </c>
      <c r="J16" s="380">
        <v>114</v>
      </c>
      <c r="K16" s="380">
        <v>114</v>
      </c>
      <c r="L16" s="380">
        <v>114</v>
      </c>
      <c r="M16" s="380">
        <v>114</v>
      </c>
      <c r="N16" s="381">
        <f t="shared" ref="N16:N22" si="2">SUM(B16:M16)</f>
        <v>1362</v>
      </c>
      <c r="O16" s="398">
        <v>1362</v>
      </c>
    </row>
    <row r="17" spans="1:16" ht="18" customHeight="1" x14ac:dyDescent="0.25">
      <c r="A17" s="378" t="s">
        <v>46</v>
      </c>
      <c r="B17" s="380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1">
        <f t="shared" si="2"/>
        <v>0</v>
      </c>
      <c r="O17" s="575"/>
    </row>
    <row r="18" spans="1:16" ht="18" customHeight="1" x14ac:dyDescent="0.25">
      <c r="A18" s="386" t="s">
        <v>54</v>
      </c>
      <c r="B18" s="380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1">
        <f t="shared" si="2"/>
        <v>0</v>
      </c>
      <c r="O18" s="402"/>
    </row>
    <row r="19" spans="1:16" ht="18" customHeight="1" x14ac:dyDescent="0.25">
      <c r="A19" s="378" t="s">
        <v>389</v>
      </c>
      <c r="B19" s="380">
        <v>4305</v>
      </c>
      <c r="C19" s="380">
        <v>4305</v>
      </c>
      <c r="D19" s="380">
        <v>4305</v>
      </c>
      <c r="E19" s="380">
        <v>4305</v>
      </c>
      <c r="F19" s="380">
        <v>4305</v>
      </c>
      <c r="G19" s="380">
        <v>4305</v>
      </c>
      <c r="H19" s="380">
        <v>4305</v>
      </c>
      <c r="I19" s="380">
        <v>4305</v>
      </c>
      <c r="J19" s="380">
        <v>4305</v>
      </c>
      <c r="K19" s="380">
        <v>4305</v>
      </c>
      <c r="L19" s="380">
        <v>4306</v>
      </c>
      <c r="M19" s="380">
        <v>4306</v>
      </c>
      <c r="N19" s="381">
        <f t="shared" si="2"/>
        <v>51662</v>
      </c>
      <c r="O19" s="402">
        <v>51662</v>
      </c>
      <c r="P19" s="402"/>
    </row>
    <row r="20" spans="1:16" ht="18" customHeight="1" x14ac:dyDescent="0.25">
      <c r="A20" s="378" t="s">
        <v>71</v>
      </c>
      <c r="B20" s="380"/>
      <c r="C20" s="380"/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1">
        <f t="shared" si="2"/>
        <v>0</v>
      </c>
    </row>
    <row r="21" spans="1:16" ht="18" customHeight="1" x14ac:dyDescent="0.25">
      <c r="A21" s="378" t="s">
        <v>95</v>
      </c>
      <c r="B21" s="380"/>
      <c r="C21" s="380"/>
      <c r="D21" s="380"/>
      <c r="E21" s="380">
        <v>1450</v>
      </c>
      <c r="F21" s="380"/>
      <c r="G21" s="380"/>
      <c r="H21" s="380"/>
      <c r="I21" s="380"/>
      <c r="J21" s="380"/>
      <c r="K21" s="380"/>
      <c r="L21" s="380"/>
      <c r="M21" s="380"/>
      <c r="N21" s="381">
        <f t="shared" si="2"/>
        <v>1450</v>
      </c>
      <c r="O21" s="398">
        <v>1450</v>
      </c>
    </row>
    <row r="22" spans="1:16" ht="18" customHeight="1" x14ac:dyDescent="0.25">
      <c r="A22" s="387" t="s">
        <v>390</v>
      </c>
      <c r="B22" s="388">
        <f>+B16+B17+B18+B19+B20+B21</f>
        <v>4418</v>
      </c>
      <c r="C22" s="388">
        <f>+C16+C17+C18+C19+C20+C21</f>
        <v>4418</v>
      </c>
      <c r="D22" s="388">
        <f t="shared" ref="D22:L22" si="3">+D16+D17+D18+D19+D20+D21</f>
        <v>4418</v>
      </c>
      <c r="E22" s="388">
        <f t="shared" si="3"/>
        <v>5868</v>
      </c>
      <c r="F22" s="388">
        <f t="shared" si="3"/>
        <v>4418</v>
      </c>
      <c r="G22" s="388">
        <f t="shared" si="3"/>
        <v>4418</v>
      </c>
      <c r="H22" s="388">
        <f t="shared" si="3"/>
        <v>4419</v>
      </c>
      <c r="I22" s="388">
        <f t="shared" si="3"/>
        <v>4419</v>
      </c>
      <c r="J22" s="388">
        <f t="shared" si="3"/>
        <v>4419</v>
      </c>
      <c r="K22" s="388">
        <f t="shared" si="3"/>
        <v>4419</v>
      </c>
      <c r="L22" s="388">
        <f t="shared" si="3"/>
        <v>4420</v>
      </c>
      <c r="M22" s="388">
        <f>SUM(M16:M20)+M21</f>
        <v>4420</v>
      </c>
      <c r="N22" s="381">
        <f t="shared" si="2"/>
        <v>54474</v>
      </c>
      <c r="O22" s="402">
        <f>O16+O17+O18+O19+O20+O21</f>
        <v>54474</v>
      </c>
    </row>
    <row r="23" spans="1:16" ht="18" hidden="1" customHeight="1" x14ac:dyDescent="0.25">
      <c r="A23" s="403"/>
      <c r="B23" s="404">
        <f>+B14-B22</f>
        <v>-40</v>
      </c>
      <c r="C23" s="404">
        <f t="shared" ref="C23:I23" si="4">+C14-C22</f>
        <v>-40</v>
      </c>
      <c r="D23" s="404">
        <f t="shared" si="4"/>
        <v>-40</v>
      </c>
      <c r="E23" s="404">
        <f t="shared" si="4"/>
        <v>-1274</v>
      </c>
      <c r="F23" s="404">
        <f t="shared" si="4"/>
        <v>176</v>
      </c>
      <c r="G23" s="404">
        <f t="shared" si="4"/>
        <v>176</v>
      </c>
      <c r="H23" s="404">
        <f t="shared" si="4"/>
        <v>175</v>
      </c>
      <c r="I23" s="404">
        <f t="shared" si="4"/>
        <v>175</v>
      </c>
      <c r="J23" s="404">
        <f>+J14-J22</f>
        <v>175</v>
      </c>
      <c r="K23" s="404">
        <f>+K14-K22</f>
        <v>174</v>
      </c>
      <c r="L23" s="404">
        <f>+L14-L22</f>
        <v>171</v>
      </c>
      <c r="M23" s="404">
        <f>+M14-M22</f>
        <v>172</v>
      </c>
      <c r="N23" s="405">
        <f>SUM(N16:N21)</f>
        <v>54474</v>
      </c>
      <c r="O23" s="402"/>
    </row>
    <row r="24" spans="1:16" ht="18" customHeight="1" x14ac:dyDescent="0.25">
      <c r="A24" s="403"/>
      <c r="B24" s="404"/>
      <c r="C24" s="404"/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5"/>
      <c r="O24" s="402"/>
    </row>
    <row r="25" spans="1:16" ht="18" customHeight="1" x14ac:dyDescent="0.25">
      <c r="A25" s="403"/>
      <c r="B25" s="404"/>
      <c r="C25" s="404"/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5"/>
      <c r="O25" s="402"/>
    </row>
    <row r="26" spans="1:16" ht="18" customHeight="1" x14ac:dyDescent="0.25">
      <c r="A26" s="403"/>
      <c r="B26" s="404"/>
      <c r="C26" s="404"/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5"/>
      <c r="O26" s="402"/>
    </row>
    <row r="27" spans="1:16" ht="18" customHeight="1" x14ac:dyDescent="0.25">
      <c r="A27" s="403"/>
      <c r="B27" s="404"/>
      <c r="C27" s="404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5"/>
      <c r="O27" s="402"/>
    </row>
    <row r="28" spans="1:16" ht="18" customHeight="1" x14ac:dyDescent="0.25">
      <c r="A28" s="403"/>
      <c r="B28" s="404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5"/>
      <c r="O28" s="402"/>
    </row>
    <row r="29" spans="1:16" ht="18" customHeight="1" x14ac:dyDescent="0.25">
      <c r="A29" s="403"/>
      <c r="B29" s="404"/>
      <c r="C29" s="404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5"/>
      <c r="O29" s="402"/>
    </row>
    <row r="30" spans="1:16" ht="18" customHeight="1" x14ac:dyDescent="0.25">
      <c r="A30" s="403"/>
      <c r="B30" s="404"/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5"/>
      <c r="O30" s="402"/>
    </row>
    <row r="31" spans="1:16" ht="18" customHeight="1" x14ac:dyDescent="0.25">
      <c r="A31" s="403"/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5"/>
      <c r="O31" s="402"/>
    </row>
    <row r="32" spans="1:16" x14ac:dyDescent="0.25"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</row>
    <row r="38" spans="1:1" x14ac:dyDescent="0.25">
      <c r="A38" s="408"/>
    </row>
    <row r="39" spans="1:1" x14ac:dyDescent="0.25">
      <c r="A39" s="408"/>
    </row>
    <row r="40" spans="1:1" x14ac:dyDescent="0.25">
      <c r="A40" s="408"/>
    </row>
    <row r="41" spans="1:1" x14ac:dyDescent="0.25">
      <c r="A41" s="408"/>
    </row>
    <row r="42" spans="1:1" x14ac:dyDescent="0.25">
      <c r="A42" s="408"/>
    </row>
    <row r="43" spans="1:1" x14ac:dyDescent="0.25">
      <c r="A43" s="408"/>
    </row>
    <row r="44" spans="1:1" x14ac:dyDescent="0.25">
      <c r="A44" s="408"/>
    </row>
    <row r="45" spans="1:1" x14ac:dyDescent="0.25">
      <c r="A45" s="408"/>
    </row>
    <row r="46" spans="1:1" x14ac:dyDescent="0.25">
      <c r="A46" s="408"/>
    </row>
    <row r="47" spans="1:1" x14ac:dyDescent="0.25">
      <c r="A47" s="408"/>
    </row>
    <row r="48" spans="1:1" x14ac:dyDescent="0.25">
      <c r="A48" s="408"/>
    </row>
    <row r="49" spans="1:17" x14ac:dyDescent="0.25">
      <c r="A49" s="408"/>
      <c r="Q49" s="398">
        <f>+O49+O39</f>
        <v>0</v>
      </c>
    </row>
    <row r="50" spans="1:17" x14ac:dyDescent="0.25">
      <c r="A50" s="408"/>
    </row>
    <row r="51" spans="1:17" x14ac:dyDescent="0.25">
      <c r="A51" s="408"/>
    </row>
    <row r="52" spans="1:17" x14ac:dyDescent="0.25">
      <c r="A52" s="408"/>
    </row>
    <row r="53" spans="1:17" x14ac:dyDescent="0.25">
      <c r="A53" s="408"/>
    </row>
    <row r="54" spans="1:17" x14ac:dyDescent="0.25">
      <c r="A54" s="408"/>
    </row>
    <row r="55" spans="1:17" x14ac:dyDescent="0.25">
      <c r="A55" s="408"/>
    </row>
    <row r="56" spans="1:17" x14ac:dyDescent="0.25">
      <c r="A56" s="408"/>
    </row>
    <row r="57" spans="1:17" x14ac:dyDescent="0.25">
      <c r="A57" s="408"/>
    </row>
    <row r="58" spans="1:17" x14ac:dyDescent="0.25">
      <c r="A58" s="408"/>
    </row>
    <row r="62" spans="1:17" x14ac:dyDescent="0.25">
      <c r="L62" s="409"/>
    </row>
  </sheetData>
  <mergeCells count="4">
    <mergeCell ref="A1:N1"/>
    <mergeCell ref="A2:N2"/>
    <mergeCell ref="A3:N4"/>
    <mergeCell ref="M5:N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selection activeCell="C43" sqref="C43"/>
    </sheetView>
  </sheetViews>
  <sheetFormatPr defaultRowHeight="15.75" x14ac:dyDescent="0.25"/>
  <cols>
    <col min="1" max="1" width="6" style="2" customWidth="1"/>
    <col min="2" max="2" width="5.140625" style="1" customWidth="1"/>
    <col min="3" max="3" width="76.28515625" style="1" customWidth="1"/>
    <col min="4" max="4" width="15.42578125" style="2" customWidth="1"/>
    <col min="5" max="5" width="15.28515625" style="2" customWidth="1"/>
    <col min="6" max="6" width="13.5703125" style="2" customWidth="1"/>
    <col min="7" max="7" width="12.42578125" style="11" customWidth="1"/>
    <col min="8" max="8" width="16.7109375" style="11" bestFit="1" customWidth="1"/>
    <col min="9" max="9" width="14.85546875" style="11" bestFit="1" customWidth="1"/>
    <col min="10" max="16384" width="9.140625" style="11"/>
  </cols>
  <sheetData>
    <row r="1" spans="1:9" ht="20.100000000000001" customHeight="1" x14ac:dyDescent="0.3">
      <c r="A1" s="667" t="s">
        <v>631</v>
      </c>
      <c r="B1" s="668"/>
      <c r="C1" s="668"/>
      <c r="D1" s="668"/>
      <c r="E1" s="668"/>
      <c r="F1" s="668"/>
    </row>
    <row r="2" spans="1:9" ht="20.100000000000001" customHeight="1" x14ac:dyDescent="0.25">
      <c r="A2" s="660"/>
      <c r="B2" s="660"/>
      <c r="C2" s="660"/>
      <c r="D2" s="660"/>
      <c r="E2" s="660"/>
      <c r="F2" s="660"/>
    </row>
    <row r="3" spans="1:9" ht="20.100000000000001" customHeight="1" x14ac:dyDescent="0.25">
      <c r="A3" s="669" t="s">
        <v>280</v>
      </c>
      <c r="B3" s="669"/>
      <c r="C3" s="669"/>
      <c r="D3" s="669"/>
      <c r="E3" s="669"/>
      <c r="F3" s="669"/>
    </row>
    <row r="4" spans="1:9" ht="20.100000000000001" customHeight="1" x14ac:dyDescent="0.25">
      <c r="A4" s="660" t="s">
        <v>4</v>
      </c>
      <c r="B4" s="660"/>
      <c r="C4" s="660"/>
      <c r="D4" s="660"/>
      <c r="E4" s="660"/>
      <c r="F4" s="660"/>
    </row>
    <row r="5" spans="1:9" ht="39" customHeight="1" thickBot="1" x14ac:dyDescent="0.3">
      <c r="A5" s="670" t="s">
        <v>819</v>
      </c>
      <c r="B5" s="670"/>
      <c r="C5" s="670"/>
      <c r="D5" s="670"/>
      <c r="E5" s="670"/>
      <c r="F5" s="670"/>
    </row>
    <row r="6" spans="1:9" ht="20.100000000000001" customHeight="1" x14ac:dyDescent="0.25">
      <c r="A6" s="671" t="s">
        <v>6</v>
      </c>
      <c r="B6" s="674" t="s">
        <v>7</v>
      </c>
      <c r="C6" s="674"/>
      <c r="D6" s="677" t="s">
        <v>391</v>
      </c>
      <c r="E6" s="679" t="s">
        <v>9</v>
      </c>
      <c r="F6" s="679" t="s">
        <v>10</v>
      </c>
      <c r="G6" s="681" t="s">
        <v>11</v>
      </c>
      <c r="H6" s="855"/>
      <c r="I6" s="855"/>
    </row>
    <row r="7" spans="1:9" ht="38.25" customHeight="1" x14ac:dyDescent="0.25">
      <c r="A7" s="672"/>
      <c r="B7" s="675"/>
      <c r="C7" s="675"/>
      <c r="D7" s="678"/>
      <c r="E7" s="680"/>
      <c r="F7" s="680"/>
      <c r="G7" s="682"/>
      <c r="H7" s="855"/>
      <c r="I7" s="855"/>
    </row>
    <row r="8" spans="1:9" ht="22.5" customHeight="1" thickBot="1" x14ac:dyDescent="0.3">
      <c r="A8" s="850"/>
      <c r="B8" s="851"/>
      <c r="C8" s="851"/>
      <c r="D8" s="852" t="s">
        <v>675</v>
      </c>
      <c r="E8" s="678"/>
      <c r="F8" s="678"/>
      <c r="G8" s="341"/>
    </row>
    <row r="9" spans="1:9" ht="15.95" customHeight="1" x14ac:dyDescent="0.25">
      <c r="A9" s="568"/>
      <c r="B9" s="674" t="s">
        <v>12</v>
      </c>
      <c r="C9" s="674"/>
      <c r="D9" s="343"/>
      <c r="E9" s="344"/>
      <c r="F9" s="345"/>
      <c r="G9" s="345"/>
    </row>
    <row r="10" spans="1:9" ht="15.95" customHeight="1" x14ac:dyDescent="0.25">
      <c r="A10" s="9">
        <v>1</v>
      </c>
      <c r="B10" s="666" t="s">
        <v>13</v>
      </c>
      <c r="C10" s="666"/>
      <c r="D10" s="17">
        <v>34590</v>
      </c>
      <c r="E10" s="17">
        <v>34590</v>
      </c>
      <c r="F10" s="18"/>
      <c r="G10" s="19"/>
      <c r="H10" s="571"/>
      <c r="I10" s="571"/>
    </row>
    <row r="11" spans="1:9" ht="15.95" customHeight="1" x14ac:dyDescent="0.25">
      <c r="A11" s="9">
        <v>2</v>
      </c>
      <c r="B11" s="666" t="s">
        <v>14</v>
      </c>
      <c r="C11" s="666"/>
      <c r="D11" s="17">
        <v>6971</v>
      </c>
      <c r="E11" s="17">
        <v>6971</v>
      </c>
      <c r="F11" s="18"/>
      <c r="G11" s="19"/>
      <c r="H11" s="571"/>
      <c r="I11" s="571"/>
    </row>
    <row r="12" spans="1:9" ht="15.95" customHeight="1" x14ac:dyDescent="0.25">
      <c r="A12" s="9">
        <v>3</v>
      </c>
      <c r="B12" s="666" t="s">
        <v>15</v>
      </c>
      <c r="C12" s="666"/>
      <c r="D12" s="17">
        <v>3524</v>
      </c>
      <c r="E12" s="17">
        <v>3524</v>
      </c>
      <c r="F12" s="18"/>
      <c r="G12" s="20"/>
      <c r="H12" s="571"/>
      <c r="I12" s="571"/>
    </row>
    <row r="13" spans="1:9" ht="15.95" customHeight="1" x14ac:dyDescent="0.25">
      <c r="A13" s="9" t="s">
        <v>16</v>
      </c>
      <c r="B13" s="666" t="s">
        <v>17</v>
      </c>
      <c r="C13" s="666"/>
      <c r="D13" s="346"/>
      <c r="E13" s="17"/>
      <c r="F13" s="18"/>
      <c r="G13" s="19"/>
      <c r="H13" s="571"/>
      <c r="I13" s="571"/>
    </row>
    <row r="14" spans="1:9" ht="15.95" customHeight="1" x14ac:dyDescent="0.25">
      <c r="A14" s="9" t="s">
        <v>18</v>
      </c>
      <c r="B14" s="685" t="s">
        <v>19</v>
      </c>
      <c r="C14" s="685"/>
      <c r="D14" s="346">
        <f>+D15+D16+D17+D18+D19</f>
        <v>0</v>
      </c>
      <c r="E14" s="17">
        <v>0</v>
      </c>
      <c r="F14" s="23"/>
      <c r="G14" s="23"/>
      <c r="H14" s="571"/>
      <c r="I14" s="571"/>
    </row>
    <row r="15" spans="1:9" ht="15.95" customHeight="1" x14ac:dyDescent="0.25">
      <c r="A15" s="9" t="s">
        <v>20</v>
      </c>
      <c r="B15" s="686" t="s">
        <v>130</v>
      </c>
      <c r="C15" s="686"/>
      <c r="D15" s="346"/>
      <c r="E15" s="17"/>
      <c r="F15" s="18"/>
      <c r="G15" s="19"/>
      <c r="H15" s="571"/>
      <c r="I15" s="571"/>
    </row>
    <row r="16" spans="1:9" ht="15.95" customHeight="1" x14ac:dyDescent="0.25">
      <c r="A16" s="9" t="s">
        <v>21</v>
      </c>
      <c r="B16" s="686" t="s">
        <v>22</v>
      </c>
      <c r="C16" s="686"/>
      <c r="D16" s="346"/>
      <c r="E16" s="17"/>
      <c r="F16" s="18"/>
      <c r="G16" s="19"/>
      <c r="H16" s="571"/>
      <c r="I16" s="571"/>
    </row>
    <row r="17" spans="1:9" ht="15.95" customHeight="1" x14ac:dyDescent="0.25">
      <c r="A17" s="9"/>
      <c r="B17" s="853" t="s">
        <v>133</v>
      </c>
      <c r="C17" s="853"/>
      <c r="D17" s="346"/>
      <c r="E17" s="17"/>
      <c r="F17" s="18"/>
      <c r="G17" s="19"/>
      <c r="H17" s="571"/>
      <c r="I17" s="571"/>
    </row>
    <row r="18" spans="1:9" ht="15.95" customHeight="1" x14ac:dyDescent="0.25">
      <c r="A18" s="9" t="s">
        <v>23</v>
      </c>
      <c r="B18" s="689" t="s">
        <v>24</v>
      </c>
      <c r="C18" s="689"/>
      <c r="D18" s="346"/>
      <c r="E18" s="17"/>
      <c r="F18" s="18"/>
      <c r="G18" s="19"/>
      <c r="H18" s="571"/>
      <c r="I18" s="571"/>
    </row>
    <row r="19" spans="1:9" ht="15.95" customHeight="1" x14ac:dyDescent="0.25">
      <c r="A19" s="9" t="s">
        <v>25</v>
      </c>
      <c r="B19" s="689" t="s">
        <v>308</v>
      </c>
      <c r="C19" s="854"/>
      <c r="D19" s="346"/>
      <c r="E19" s="17"/>
      <c r="F19" s="18"/>
      <c r="G19" s="19"/>
      <c r="H19" s="571"/>
      <c r="I19" s="571"/>
    </row>
    <row r="20" spans="1:9" ht="15.95" customHeight="1" x14ac:dyDescent="0.25">
      <c r="A20" s="9"/>
      <c r="B20" s="666" t="s">
        <v>26</v>
      </c>
      <c r="C20" s="666"/>
      <c r="D20" s="347"/>
      <c r="E20" s="32"/>
      <c r="F20" s="389"/>
      <c r="G20" s="349"/>
      <c r="H20" s="571"/>
      <c r="I20" s="571"/>
    </row>
    <row r="21" spans="1:9" ht="15.95" customHeight="1" x14ac:dyDescent="0.25">
      <c r="A21" s="9" t="s">
        <v>1</v>
      </c>
      <c r="B21" s="567" t="s">
        <v>28</v>
      </c>
      <c r="C21" s="350"/>
      <c r="D21" s="346">
        <f>+D10+D11+D12+D13+D14+D20</f>
        <v>45085</v>
      </c>
      <c r="E21" s="346">
        <f>+E10+E11+E12+E13+E14+E20</f>
        <v>45085</v>
      </c>
      <c r="F21" s="17"/>
      <c r="G21" s="17"/>
      <c r="H21" s="571"/>
      <c r="I21" s="571"/>
    </row>
    <row r="22" spans="1:9" ht="15.95" customHeight="1" x14ac:dyDescent="0.25">
      <c r="A22" s="9" t="s">
        <v>29</v>
      </c>
      <c r="B22" s="666" t="s">
        <v>30</v>
      </c>
      <c r="C22" s="666"/>
      <c r="D22" s="347">
        <v>377</v>
      </c>
      <c r="E22" s="32">
        <v>377</v>
      </c>
      <c r="F22" s="18"/>
      <c r="G22" s="19"/>
      <c r="H22" s="571"/>
      <c r="I22" s="571"/>
    </row>
    <row r="23" spans="1:9" ht="15.95" customHeight="1" x14ac:dyDescent="0.25">
      <c r="A23" s="9" t="s">
        <v>31</v>
      </c>
      <c r="B23" s="666" t="s">
        <v>32</v>
      </c>
      <c r="C23" s="666"/>
      <c r="D23" s="347"/>
      <c r="E23" s="32"/>
      <c r="F23" s="18"/>
      <c r="G23" s="19"/>
      <c r="H23" s="571"/>
      <c r="I23" s="571"/>
    </row>
    <row r="24" spans="1:9" ht="15.95" customHeight="1" x14ac:dyDescent="0.25">
      <c r="A24" s="9" t="s">
        <v>33</v>
      </c>
      <c r="B24" s="666" t="s">
        <v>137</v>
      </c>
      <c r="C24" s="666"/>
      <c r="D24" s="347"/>
      <c r="E24" s="32"/>
      <c r="F24" s="18"/>
      <c r="G24" s="19"/>
      <c r="H24" s="571"/>
      <c r="I24" s="571"/>
    </row>
    <row r="25" spans="1:9" ht="15.95" customHeight="1" x14ac:dyDescent="0.25">
      <c r="A25" s="9" t="s">
        <v>35</v>
      </c>
      <c r="B25" s="666" t="s">
        <v>36</v>
      </c>
      <c r="C25" s="666"/>
      <c r="D25" s="347">
        <f>+D22+D23+D24</f>
        <v>377</v>
      </c>
      <c r="E25" s="347">
        <f>+E22+E23+E24</f>
        <v>377</v>
      </c>
      <c r="F25" s="18"/>
      <c r="G25" s="19"/>
      <c r="H25" s="571"/>
      <c r="I25" s="571"/>
    </row>
    <row r="26" spans="1:9" ht="15.95" customHeight="1" x14ac:dyDescent="0.25">
      <c r="A26" s="9" t="s">
        <v>37</v>
      </c>
      <c r="B26" s="666"/>
      <c r="C26" s="666"/>
      <c r="D26" s="347"/>
      <c r="E26" s="32"/>
      <c r="F26" s="18"/>
      <c r="G26" s="19"/>
      <c r="H26" s="571"/>
      <c r="I26" s="571"/>
    </row>
    <row r="27" spans="1:9" ht="15.95" customHeight="1" x14ac:dyDescent="0.25">
      <c r="A27" s="9" t="s">
        <v>38</v>
      </c>
      <c r="B27" s="696"/>
      <c r="C27" s="696"/>
      <c r="D27" s="351"/>
      <c r="E27" s="34"/>
      <c r="F27" s="18">
        <f>+D27+E27</f>
        <v>0</v>
      </c>
      <c r="G27" s="19"/>
      <c r="H27" s="571"/>
      <c r="I27" s="571"/>
    </row>
    <row r="28" spans="1:9" ht="15.95" customHeight="1" x14ac:dyDescent="0.25">
      <c r="A28" s="9" t="s">
        <v>39</v>
      </c>
      <c r="B28" s="696"/>
      <c r="C28" s="696"/>
      <c r="D28" s="351"/>
      <c r="E28" s="352"/>
      <c r="F28" s="18">
        <f>+D28+E28</f>
        <v>0</v>
      </c>
      <c r="G28" s="19"/>
      <c r="H28" s="571"/>
      <c r="I28" s="571"/>
    </row>
    <row r="29" spans="1:9" ht="15.95" customHeight="1" x14ac:dyDescent="0.3">
      <c r="A29" s="36" t="s">
        <v>40</v>
      </c>
      <c r="B29" s="700" t="s">
        <v>309</v>
      </c>
      <c r="C29" s="700"/>
      <c r="D29" s="353">
        <f>+D21+D25+D26+D27+D28</f>
        <v>45462</v>
      </c>
      <c r="E29" s="353">
        <f>+E21+E25+E26+E27+E28</f>
        <v>45462</v>
      </c>
      <c r="F29" s="353">
        <f>+F21+F25+F26+F27+F28</f>
        <v>0</v>
      </c>
      <c r="G29" s="353">
        <f>+G21+G25+G26+G27+G28</f>
        <v>0</v>
      </c>
      <c r="H29" s="571"/>
      <c r="I29" s="571"/>
    </row>
    <row r="30" spans="1:9" ht="15.95" customHeight="1" x14ac:dyDescent="0.25">
      <c r="A30" s="40"/>
      <c r="B30" s="750"/>
      <c r="C30" s="750"/>
      <c r="D30" s="125"/>
      <c r="E30" s="355"/>
      <c r="F30" s="96"/>
      <c r="G30" s="96"/>
      <c r="H30" s="571"/>
      <c r="I30" s="571"/>
    </row>
    <row r="31" spans="1:9" ht="15.95" customHeight="1" x14ac:dyDescent="0.25">
      <c r="A31" s="9"/>
      <c r="B31" s="719" t="s">
        <v>42</v>
      </c>
      <c r="C31" s="719"/>
      <c r="D31" s="347"/>
      <c r="E31" s="32"/>
      <c r="F31" s="18"/>
      <c r="G31" s="19"/>
      <c r="H31" s="571"/>
      <c r="I31" s="571"/>
    </row>
    <row r="32" spans="1:9" ht="15.95" customHeight="1" x14ac:dyDescent="0.25">
      <c r="A32" s="9" t="s">
        <v>43</v>
      </c>
      <c r="B32" s="694" t="s">
        <v>44</v>
      </c>
      <c r="C32" s="694"/>
      <c r="D32" s="347"/>
      <c r="E32" s="32"/>
      <c r="F32" s="18"/>
      <c r="G32" s="19">
        <v>0</v>
      </c>
      <c r="H32" s="571"/>
      <c r="I32" s="571"/>
    </row>
    <row r="33" spans="1:9" ht="15.95" customHeight="1" x14ac:dyDescent="0.25">
      <c r="A33" s="9" t="s">
        <v>45</v>
      </c>
      <c r="B33" s="694" t="s">
        <v>46</v>
      </c>
      <c r="C33" s="694"/>
      <c r="D33" s="347">
        <f>SUM(D34:D36)</f>
        <v>0</v>
      </c>
      <c r="E33" s="32">
        <f>SUM(E34:E36)</f>
        <v>0</v>
      </c>
      <c r="F33" s="32">
        <f>SUM(F34:F36)</f>
        <v>0</v>
      </c>
      <c r="G33" s="19"/>
      <c r="H33" s="571"/>
      <c r="I33" s="571"/>
    </row>
    <row r="34" spans="1:9" ht="15.95" customHeight="1" x14ac:dyDescent="0.25">
      <c r="A34" s="9"/>
      <c r="B34" s="51" t="s">
        <v>47</v>
      </c>
      <c r="C34" s="52" t="s">
        <v>48</v>
      </c>
      <c r="D34" s="347"/>
      <c r="E34" s="32"/>
      <c r="F34" s="18"/>
      <c r="G34" s="19"/>
      <c r="H34" s="571"/>
      <c r="I34" s="571"/>
    </row>
    <row r="35" spans="1:9" ht="15.95" customHeight="1" x14ac:dyDescent="0.25">
      <c r="A35" s="9"/>
      <c r="B35" s="51" t="s">
        <v>49</v>
      </c>
      <c r="C35" s="52" t="s">
        <v>50</v>
      </c>
      <c r="D35" s="347"/>
      <c r="E35" s="32"/>
      <c r="F35" s="18"/>
      <c r="G35" s="19"/>
      <c r="H35" s="571"/>
      <c r="I35" s="571"/>
    </row>
    <row r="36" spans="1:9" ht="15.95" customHeight="1" x14ac:dyDescent="0.25">
      <c r="A36" s="9"/>
      <c r="B36" s="51" t="s">
        <v>51</v>
      </c>
      <c r="C36" s="52" t="s">
        <v>52</v>
      </c>
      <c r="D36" s="347"/>
      <c r="E36" s="32"/>
      <c r="F36" s="18"/>
      <c r="G36" s="19"/>
      <c r="H36" s="571"/>
      <c r="I36" s="571"/>
    </row>
    <row r="37" spans="1:9" ht="15.95" customHeight="1" x14ac:dyDescent="0.25">
      <c r="A37" s="9" t="s">
        <v>53</v>
      </c>
      <c r="B37" s="694" t="s">
        <v>54</v>
      </c>
      <c r="C37" s="694"/>
      <c r="D37" s="347">
        <f>SUM(D38:D40)</f>
        <v>0</v>
      </c>
      <c r="E37" s="347">
        <f>SUM(E38:E40)</f>
        <v>0</v>
      </c>
      <c r="F37" s="18">
        <f>SUM(F38:F40)</f>
        <v>0</v>
      </c>
      <c r="G37" s="19"/>
      <c r="H37" s="571"/>
      <c r="I37" s="571"/>
    </row>
    <row r="38" spans="1:9" ht="15.95" customHeight="1" x14ac:dyDescent="0.25">
      <c r="A38" s="9"/>
      <c r="B38" s="55" t="s">
        <v>55</v>
      </c>
      <c r="C38" s="566" t="s">
        <v>56</v>
      </c>
      <c r="D38" s="347">
        <v>0</v>
      </c>
      <c r="E38" s="32">
        <v>0</v>
      </c>
      <c r="F38" s="18"/>
      <c r="G38" s="19"/>
      <c r="H38" s="571"/>
      <c r="I38" s="571"/>
    </row>
    <row r="39" spans="1:9" ht="15.95" customHeight="1" x14ac:dyDescent="0.25">
      <c r="A39" s="9"/>
      <c r="B39" s="55" t="s">
        <v>57</v>
      </c>
      <c r="C39" s="566" t="s">
        <v>58</v>
      </c>
      <c r="D39" s="347"/>
      <c r="E39" s="32"/>
      <c r="F39" s="18">
        <f t="shared" ref="F39:F45" si="0">SUM(D39:D39)</f>
        <v>0</v>
      </c>
      <c r="G39" s="19"/>
      <c r="H39" s="571"/>
      <c r="I39" s="571"/>
    </row>
    <row r="40" spans="1:9" ht="15.95" customHeight="1" x14ac:dyDescent="0.25">
      <c r="A40" s="9"/>
      <c r="B40" s="55" t="s">
        <v>59</v>
      </c>
      <c r="C40" s="566" t="s">
        <v>60</v>
      </c>
      <c r="D40" s="347"/>
      <c r="E40" s="32"/>
      <c r="F40" s="18"/>
      <c r="G40" s="19"/>
      <c r="H40" s="571"/>
      <c r="I40" s="571"/>
    </row>
    <row r="41" spans="1:9" ht="15.95" customHeight="1" x14ac:dyDescent="0.25">
      <c r="A41" s="9" t="s">
        <v>16</v>
      </c>
      <c r="B41" s="694" t="s">
        <v>61</v>
      </c>
      <c r="C41" s="694"/>
      <c r="D41" s="347">
        <f>SUM(D42:D45)</f>
        <v>0</v>
      </c>
      <c r="E41" s="32">
        <f>SUM(E42:E45)</f>
        <v>0</v>
      </c>
      <c r="F41" s="32">
        <f>SUM(F42:F45)</f>
        <v>0</v>
      </c>
      <c r="G41" s="19"/>
      <c r="H41" s="571"/>
      <c r="I41" s="571"/>
    </row>
    <row r="42" spans="1:9" ht="15.95" customHeight="1" x14ac:dyDescent="0.25">
      <c r="A42" s="9"/>
      <c r="B42" s="55" t="s">
        <v>62</v>
      </c>
      <c r="C42" s="566" t="s">
        <v>840</v>
      </c>
      <c r="D42" s="347"/>
      <c r="E42" s="32"/>
      <c r="F42" s="18"/>
      <c r="G42" s="19"/>
      <c r="H42" s="571"/>
      <c r="I42" s="571"/>
    </row>
    <row r="43" spans="1:9" ht="15.95" customHeight="1" x14ac:dyDescent="0.25">
      <c r="A43" s="9"/>
      <c r="B43" s="55" t="s">
        <v>64</v>
      </c>
      <c r="C43" s="566" t="s">
        <v>65</v>
      </c>
      <c r="D43" s="347"/>
      <c r="E43" s="32"/>
      <c r="F43" s="18">
        <f t="shared" si="0"/>
        <v>0</v>
      </c>
      <c r="G43" s="19"/>
      <c r="H43" s="571"/>
      <c r="I43" s="571"/>
    </row>
    <row r="44" spans="1:9" ht="15.95" customHeight="1" x14ac:dyDescent="0.25">
      <c r="A44" s="9"/>
      <c r="B44" s="55" t="s">
        <v>66</v>
      </c>
      <c r="C44" s="566" t="s">
        <v>310</v>
      </c>
      <c r="D44" s="347"/>
      <c r="E44" s="32"/>
      <c r="F44" s="18">
        <f t="shared" si="0"/>
        <v>0</v>
      </c>
      <c r="G44" s="19"/>
      <c r="H44" s="571"/>
      <c r="I44" s="571"/>
    </row>
    <row r="45" spans="1:9" ht="15.95" customHeight="1" x14ac:dyDescent="0.25">
      <c r="A45" s="9"/>
      <c r="B45" s="55" t="s">
        <v>68</v>
      </c>
      <c r="C45" s="566" t="s">
        <v>69</v>
      </c>
      <c r="D45" s="347"/>
      <c r="E45" s="32"/>
      <c r="F45" s="18">
        <f t="shared" si="0"/>
        <v>0</v>
      </c>
      <c r="G45" s="19"/>
      <c r="H45" s="571"/>
      <c r="I45" s="571"/>
    </row>
    <row r="46" spans="1:9" s="393" customFormat="1" ht="15.95" customHeight="1" x14ac:dyDescent="0.25">
      <c r="A46" s="26" t="s">
        <v>1</v>
      </c>
      <c r="B46" s="702" t="s">
        <v>70</v>
      </c>
      <c r="C46" s="702"/>
      <c r="D46" s="347">
        <f>+D32+D33+D37+D41</f>
        <v>0</v>
      </c>
      <c r="E46" s="32">
        <f>+E32+E33+E37+E41</f>
        <v>0</v>
      </c>
      <c r="F46" s="347">
        <f>+F32+F33+F37+F41</f>
        <v>0</v>
      </c>
      <c r="G46" s="347">
        <f>+G32+G33+G37+G41</f>
        <v>0</v>
      </c>
      <c r="H46" s="572"/>
      <c r="I46" s="572"/>
    </row>
    <row r="47" spans="1:9" ht="15.95" customHeight="1" x14ac:dyDescent="0.25">
      <c r="A47" s="9" t="s">
        <v>18</v>
      </c>
      <c r="B47" s="694" t="s">
        <v>71</v>
      </c>
      <c r="C47" s="694"/>
      <c r="D47" s="347">
        <f>SUM(D48:D49)</f>
        <v>0</v>
      </c>
      <c r="E47" s="32">
        <f>SUM(E48:E49)</f>
        <v>0</v>
      </c>
      <c r="F47" s="32">
        <f>SUM(F48:F49)</f>
        <v>0</v>
      </c>
      <c r="G47" s="19"/>
      <c r="H47" s="571"/>
      <c r="I47" s="571"/>
    </row>
    <row r="48" spans="1:9" ht="15.95" customHeight="1" x14ac:dyDescent="0.25">
      <c r="A48" s="9"/>
      <c r="B48" s="55" t="s">
        <v>72</v>
      </c>
      <c r="C48" s="566" t="s">
        <v>73</v>
      </c>
      <c r="D48" s="347"/>
      <c r="E48" s="32"/>
      <c r="F48" s="18">
        <f t="shared" ref="F48:F56" si="1">SUM(D48:D48)</f>
        <v>0</v>
      </c>
      <c r="G48" s="19"/>
      <c r="H48" s="571"/>
      <c r="I48" s="571"/>
    </row>
    <row r="49" spans="1:9" ht="15.95" customHeight="1" x14ac:dyDescent="0.25">
      <c r="A49" s="9"/>
      <c r="B49" s="55" t="s">
        <v>74</v>
      </c>
      <c r="C49" s="566" t="s">
        <v>75</v>
      </c>
      <c r="D49" s="347"/>
      <c r="E49" s="32"/>
      <c r="F49" s="18"/>
      <c r="G49" s="19"/>
      <c r="H49" s="571"/>
      <c r="I49" s="571"/>
    </row>
    <row r="50" spans="1:9" ht="15.95" customHeight="1" x14ac:dyDescent="0.25">
      <c r="A50" s="9" t="s">
        <v>29</v>
      </c>
      <c r="B50" s="694" t="s">
        <v>76</v>
      </c>
      <c r="C50" s="694"/>
      <c r="D50" s="347">
        <f>SUM(D51:D52)</f>
        <v>0</v>
      </c>
      <c r="E50" s="32">
        <f>SUM(E51:E52)</f>
        <v>0</v>
      </c>
      <c r="F50" s="18">
        <f t="shared" si="1"/>
        <v>0</v>
      </c>
      <c r="G50" s="19"/>
      <c r="H50" s="571"/>
      <c r="I50" s="571"/>
    </row>
    <row r="51" spans="1:9" ht="15.95" customHeight="1" x14ac:dyDescent="0.25">
      <c r="A51" s="9"/>
      <c r="B51" s="55" t="s">
        <v>77</v>
      </c>
      <c r="C51" s="566" t="s">
        <v>78</v>
      </c>
      <c r="D51" s="347"/>
      <c r="E51" s="32"/>
      <c r="F51" s="18">
        <f t="shared" si="1"/>
        <v>0</v>
      </c>
      <c r="G51" s="19"/>
      <c r="H51" s="571"/>
      <c r="I51" s="571"/>
    </row>
    <row r="52" spans="1:9" ht="15.95" customHeight="1" x14ac:dyDescent="0.25">
      <c r="A52" s="9"/>
      <c r="B52" s="55" t="s">
        <v>79</v>
      </c>
      <c r="C52" s="566" t="s">
        <v>80</v>
      </c>
      <c r="D52" s="347">
        <v>0</v>
      </c>
      <c r="E52" s="32"/>
      <c r="F52" s="18">
        <f t="shared" si="1"/>
        <v>0</v>
      </c>
      <c r="G52" s="19"/>
      <c r="H52" s="571"/>
      <c r="I52" s="571"/>
    </row>
    <row r="53" spans="1:9" ht="15.95" customHeight="1" x14ac:dyDescent="0.25">
      <c r="A53" s="9" t="s">
        <v>31</v>
      </c>
      <c r="B53" s="694" t="s">
        <v>81</v>
      </c>
      <c r="C53" s="694"/>
      <c r="D53" s="347">
        <f>SUM(D54:D56)</f>
        <v>0</v>
      </c>
      <c r="E53" s="32">
        <f>SUM(E54:E56)</f>
        <v>0</v>
      </c>
      <c r="F53" s="18">
        <f>SUM(F54:F56)</f>
        <v>0</v>
      </c>
      <c r="G53" s="19"/>
      <c r="H53" s="571"/>
      <c r="I53" s="571"/>
    </row>
    <row r="54" spans="1:9" ht="15.95" customHeight="1" x14ac:dyDescent="0.25">
      <c r="A54" s="9"/>
      <c r="B54" s="55" t="s">
        <v>82</v>
      </c>
      <c r="C54" s="566" t="s">
        <v>83</v>
      </c>
      <c r="D54" s="347"/>
      <c r="E54" s="32"/>
      <c r="F54" s="18"/>
      <c r="G54" s="19"/>
      <c r="H54" s="571"/>
      <c r="I54" s="571"/>
    </row>
    <row r="55" spans="1:9" ht="15.95" customHeight="1" x14ac:dyDescent="0.25">
      <c r="A55" s="9"/>
      <c r="B55" s="55" t="s">
        <v>84</v>
      </c>
      <c r="C55" s="566" t="s">
        <v>85</v>
      </c>
      <c r="D55" s="347"/>
      <c r="E55" s="32"/>
      <c r="F55" s="18">
        <f t="shared" si="1"/>
        <v>0</v>
      </c>
      <c r="G55" s="19"/>
      <c r="H55" s="571"/>
      <c r="I55" s="571"/>
    </row>
    <row r="56" spans="1:9" ht="15.95" customHeight="1" x14ac:dyDescent="0.25">
      <c r="A56" s="9"/>
      <c r="B56" s="55" t="s">
        <v>86</v>
      </c>
      <c r="C56" s="566" t="s">
        <v>87</v>
      </c>
      <c r="D56" s="347"/>
      <c r="E56" s="32"/>
      <c r="F56" s="18">
        <f t="shared" si="1"/>
        <v>0</v>
      </c>
      <c r="G56" s="19"/>
      <c r="H56" s="571"/>
      <c r="I56" s="571"/>
    </row>
    <row r="57" spans="1:9" s="393" customFormat="1" ht="15.95" customHeight="1" x14ac:dyDescent="0.25">
      <c r="A57" s="26" t="s">
        <v>35</v>
      </c>
      <c r="B57" s="702" t="s">
        <v>88</v>
      </c>
      <c r="C57" s="702"/>
      <c r="D57" s="351">
        <f>+D47+D50+D53</f>
        <v>0</v>
      </c>
      <c r="E57" s="351">
        <f>+E47+E50+E53</f>
        <v>0</v>
      </c>
      <c r="F57" s="351">
        <f>+F47+F50+F53</f>
        <v>0</v>
      </c>
      <c r="G57" s="351">
        <f>+G47+G50+G53</f>
        <v>0</v>
      </c>
      <c r="H57" s="572"/>
      <c r="I57" s="572"/>
    </row>
    <row r="58" spans="1:9" s="393" customFormat="1" ht="15.95" customHeight="1" x14ac:dyDescent="0.25">
      <c r="A58" s="26" t="s">
        <v>37</v>
      </c>
      <c r="B58" s="702" t="s">
        <v>89</v>
      </c>
      <c r="C58" s="702"/>
      <c r="D58" s="351"/>
      <c r="E58" s="34"/>
      <c r="F58" s="357"/>
      <c r="G58" s="358"/>
      <c r="H58" s="572"/>
      <c r="I58" s="572"/>
    </row>
    <row r="59" spans="1:9" s="393" customFormat="1" ht="15.95" customHeight="1" x14ac:dyDescent="0.25">
      <c r="A59" s="26" t="s">
        <v>38</v>
      </c>
      <c r="B59" s="702" t="s">
        <v>90</v>
      </c>
      <c r="C59" s="702"/>
      <c r="D59" s="351"/>
      <c r="E59" s="34"/>
      <c r="F59" s="357"/>
      <c r="G59" s="358"/>
      <c r="H59" s="572"/>
      <c r="I59" s="572"/>
    </row>
    <row r="60" spans="1:9" s="395" customFormat="1" ht="15.95" customHeight="1" x14ac:dyDescent="0.3">
      <c r="A60" s="36" t="s">
        <v>91</v>
      </c>
      <c r="B60" s="704" t="s">
        <v>92</v>
      </c>
      <c r="C60" s="704"/>
      <c r="D60" s="353">
        <f>+D46+D57+D58+D59</f>
        <v>0</v>
      </c>
      <c r="E60" s="353">
        <f>+E46+E57+E58+E59</f>
        <v>0</v>
      </c>
      <c r="F60" s="353">
        <f>+F46+F57+F58+F59</f>
        <v>0</v>
      </c>
      <c r="G60" s="353">
        <f>+G46+G57+G58+G59</f>
        <v>0</v>
      </c>
      <c r="H60" s="572"/>
      <c r="I60" s="573"/>
    </row>
    <row r="61" spans="1:9" s="395" customFormat="1" ht="15.95" customHeight="1" x14ac:dyDescent="0.3">
      <c r="A61" s="36"/>
      <c r="B61" s="704" t="s">
        <v>93</v>
      </c>
      <c r="C61" s="704"/>
      <c r="D61" s="353">
        <f>+D29-D60</f>
        <v>45462</v>
      </c>
      <c r="E61" s="353">
        <f>+E29-E60</f>
        <v>45462</v>
      </c>
      <c r="F61" s="353">
        <f>+F29-F60</f>
        <v>0</v>
      </c>
      <c r="G61" s="353">
        <f>+G29-G60</f>
        <v>0</v>
      </c>
      <c r="H61" s="573"/>
      <c r="I61" s="573"/>
    </row>
    <row r="62" spans="1:9" s="395" customFormat="1" ht="15.95" customHeight="1" x14ac:dyDescent="0.3">
      <c r="A62" s="36"/>
      <c r="B62" s="702" t="s">
        <v>94</v>
      </c>
      <c r="C62" s="702"/>
      <c r="D62" s="353">
        <v>45193</v>
      </c>
      <c r="E62" s="353">
        <v>45193</v>
      </c>
      <c r="F62" s="354"/>
      <c r="G62" s="353"/>
      <c r="H62" s="573"/>
      <c r="I62" s="573"/>
    </row>
    <row r="63" spans="1:9" ht="15.95" customHeight="1" x14ac:dyDescent="0.25">
      <c r="A63" s="26" t="s">
        <v>39</v>
      </c>
      <c r="B63" s="702" t="s">
        <v>95</v>
      </c>
      <c r="C63" s="702"/>
      <c r="D63" s="347">
        <f>D64+D65</f>
        <v>269</v>
      </c>
      <c r="E63" s="347">
        <f>E64+E65</f>
        <v>269</v>
      </c>
      <c r="F63" s="18"/>
      <c r="G63" s="19"/>
      <c r="H63" s="571"/>
      <c r="I63" s="571"/>
    </row>
    <row r="64" spans="1:9" s="395" customFormat="1" ht="15.95" customHeight="1" x14ac:dyDescent="0.3">
      <c r="A64" s="36"/>
      <c r="B64" s="68" t="s">
        <v>43</v>
      </c>
      <c r="C64" s="566" t="s">
        <v>96</v>
      </c>
      <c r="D64" s="347">
        <v>269</v>
      </c>
      <c r="E64" s="32">
        <v>269</v>
      </c>
      <c r="F64" s="76"/>
      <c r="G64" s="73"/>
      <c r="H64" s="573"/>
      <c r="I64" s="573"/>
    </row>
    <row r="65" spans="1:9" s="395" customFormat="1" ht="15.95" customHeight="1" x14ac:dyDescent="0.3">
      <c r="A65" s="36"/>
      <c r="B65" s="68" t="s">
        <v>45</v>
      </c>
      <c r="C65" s="566" t="s">
        <v>97</v>
      </c>
      <c r="D65" s="359"/>
      <c r="E65" s="71"/>
      <c r="F65" s="18"/>
      <c r="G65" s="73"/>
      <c r="H65" s="573"/>
      <c r="I65" s="573"/>
    </row>
    <row r="66" spans="1:9" s="395" customFormat="1" ht="39.75" customHeight="1" x14ac:dyDescent="0.3">
      <c r="A66" s="36" t="s">
        <v>98</v>
      </c>
      <c r="B66" s="700" t="s">
        <v>99</v>
      </c>
      <c r="C66" s="700"/>
      <c r="D66" s="353">
        <f>D63</f>
        <v>269</v>
      </c>
      <c r="E66" s="353">
        <f>E63</f>
        <v>269</v>
      </c>
      <c r="F66" s="353">
        <f>+F63</f>
        <v>0</v>
      </c>
      <c r="G66" s="73"/>
      <c r="H66" s="573"/>
      <c r="I66" s="573"/>
    </row>
    <row r="67" spans="1:9" s="395" customFormat="1" ht="15.95" customHeight="1" x14ac:dyDescent="0.3">
      <c r="A67" s="9" t="s">
        <v>100</v>
      </c>
      <c r="B67" s="694" t="s">
        <v>101</v>
      </c>
      <c r="C67" s="694"/>
      <c r="D67" s="353"/>
      <c r="E67" s="71"/>
      <c r="F67" s="72">
        <f t="shared" ref="F67:F80" si="2">SUM(D67:E67)</f>
        <v>0</v>
      </c>
      <c r="G67" s="73"/>
      <c r="H67" s="573"/>
      <c r="I67" s="573"/>
    </row>
    <row r="68" spans="1:9" s="395" customFormat="1" ht="15.95" customHeight="1" x14ac:dyDescent="0.3">
      <c r="A68" s="9" t="s">
        <v>102</v>
      </c>
      <c r="B68" s="694" t="s">
        <v>103</v>
      </c>
      <c r="C68" s="694"/>
      <c r="D68" s="353">
        <f>SUM(D69:D72)</f>
        <v>0</v>
      </c>
      <c r="E68" s="71"/>
      <c r="F68" s="72">
        <f t="shared" si="2"/>
        <v>0</v>
      </c>
      <c r="G68" s="73"/>
      <c r="H68" s="573"/>
      <c r="I68" s="573"/>
    </row>
    <row r="69" spans="1:9" s="395" customFormat="1" ht="15.95" customHeight="1" x14ac:dyDescent="0.3">
      <c r="A69" s="9"/>
      <c r="B69" s="55" t="s">
        <v>43</v>
      </c>
      <c r="C69" s="566" t="s">
        <v>311</v>
      </c>
      <c r="D69" s="359"/>
      <c r="E69" s="75"/>
      <c r="F69" s="76">
        <f t="shared" si="2"/>
        <v>0</v>
      </c>
      <c r="G69" s="73"/>
      <c r="H69" s="573"/>
      <c r="I69" s="573"/>
    </row>
    <row r="70" spans="1:9" s="395" customFormat="1" ht="15.95" customHeight="1" x14ac:dyDescent="0.3">
      <c r="A70" s="9"/>
      <c r="B70" s="55" t="s">
        <v>45</v>
      </c>
      <c r="C70" s="566" t="s">
        <v>105</v>
      </c>
      <c r="D70" s="353"/>
      <c r="E70" s="71"/>
      <c r="F70" s="72">
        <f t="shared" si="2"/>
        <v>0</v>
      </c>
      <c r="G70" s="73"/>
      <c r="H70" s="573"/>
      <c r="I70" s="573"/>
    </row>
    <row r="71" spans="1:9" s="395" customFormat="1" ht="15.95" customHeight="1" x14ac:dyDescent="0.3">
      <c r="A71" s="9"/>
      <c r="B71" s="55" t="s">
        <v>53</v>
      </c>
      <c r="C71" s="566" t="s">
        <v>106</v>
      </c>
      <c r="D71" s="359"/>
      <c r="E71" s="71"/>
      <c r="F71" s="72"/>
      <c r="G71" s="73"/>
      <c r="H71" s="573"/>
      <c r="I71" s="573"/>
    </row>
    <row r="72" spans="1:9" s="395" customFormat="1" ht="15.95" customHeight="1" x14ac:dyDescent="0.3">
      <c r="A72" s="9"/>
      <c r="B72" s="55" t="s">
        <v>16</v>
      </c>
      <c r="C72" s="566" t="s">
        <v>107</v>
      </c>
      <c r="D72" s="359"/>
      <c r="E72" s="71"/>
      <c r="F72" s="72"/>
      <c r="G72" s="73"/>
      <c r="H72" s="573"/>
      <c r="I72" s="573"/>
    </row>
    <row r="73" spans="1:9" s="395" customFormat="1" ht="33" customHeight="1" x14ac:dyDescent="0.3">
      <c r="A73" s="36" t="s">
        <v>108</v>
      </c>
      <c r="B73" s="709" t="s">
        <v>109</v>
      </c>
      <c r="C73" s="709"/>
      <c r="D73" s="353">
        <f>+D67+D68</f>
        <v>0</v>
      </c>
      <c r="E73" s="71"/>
      <c r="F73" s="72">
        <f t="shared" si="2"/>
        <v>0</v>
      </c>
      <c r="G73" s="73"/>
      <c r="H73" s="573"/>
      <c r="I73" s="573"/>
    </row>
    <row r="74" spans="1:9" s="395" customFormat="1" ht="15.95" customHeight="1" x14ac:dyDescent="0.3">
      <c r="A74" s="36" t="s">
        <v>110</v>
      </c>
      <c r="B74" s="704" t="s">
        <v>111</v>
      </c>
      <c r="C74" s="704"/>
      <c r="D74" s="353">
        <f>+D66+D73</f>
        <v>269</v>
      </c>
      <c r="E74" s="71">
        <f>+E66+E73</f>
        <v>269</v>
      </c>
      <c r="F74" s="71">
        <f>+F66+F73</f>
        <v>0</v>
      </c>
      <c r="G74" s="73"/>
      <c r="H74" s="573"/>
      <c r="I74" s="573"/>
    </row>
    <row r="75" spans="1:9" s="395" customFormat="1" ht="15.95" customHeight="1" x14ac:dyDescent="0.3">
      <c r="A75" s="9" t="s">
        <v>112</v>
      </c>
      <c r="B75" s="694" t="s">
        <v>312</v>
      </c>
      <c r="C75" s="694"/>
      <c r="D75" s="353"/>
      <c r="E75" s="71"/>
      <c r="F75" s="72">
        <f t="shared" si="2"/>
        <v>0</v>
      </c>
      <c r="G75" s="73"/>
      <c r="H75" s="573"/>
      <c r="I75" s="573"/>
    </row>
    <row r="76" spans="1:9" s="395" customFormat="1" ht="15.95" customHeight="1" x14ac:dyDescent="0.3">
      <c r="A76" s="9" t="s">
        <v>114</v>
      </c>
      <c r="B76" s="694" t="s">
        <v>115</v>
      </c>
      <c r="C76" s="694"/>
      <c r="D76" s="359">
        <f>SUM(D77:D79)</f>
        <v>0</v>
      </c>
      <c r="E76" s="75">
        <v>0</v>
      </c>
      <c r="F76" s="76">
        <f t="shared" si="2"/>
        <v>0</v>
      </c>
      <c r="G76" s="73"/>
      <c r="H76" s="573"/>
      <c r="I76" s="573"/>
    </row>
    <row r="77" spans="1:9" s="395" customFormat="1" ht="15.95" customHeight="1" x14ac:dyDescent="0.3">
      <c r="A77" s="9"/>
      <c r="B77" s="55" t="s">
        <v>43</v>
      </c>
      <c r="C77" s="566" t="s">
        <v>313</v>
      </c>
      <c r="D77" s="359"/>
      <c r="E77" s="75"/>
      <c r="F77" s="76">
        <f t="shared" si="2"/>
        <v>0</v>
      </c>
      <c r="G77" s="73"/>
      <c r="H77" s="573"/>
      <c r="I77" s="573"/>
    </row>
    <row r="78" spans="1:9" s="395" customFormat="1" ht="15.95" customHeight="1" x14ac:dyDescent="0.3">
      <c r="A78" s="9"/>
      <c r="B78" s="55" t="s">
        <v>45</v>
      </c>
      <c r="C78" s="566" t="s">
        <v>314</v>
      </c>
      <c r="D78" s="359"/>
      <c r="E78" s="75"/>
      <c r="F78" s="76">
        <f t="shared" si="2"/>
        <v>0</v>
      </c>
      <c r="G78" s="73"/>
      <c r="H78" s="573"/>
      <c r="I78" s="573"/>
    </row>
    <row r="79" spans="1:9" s="395" customFormat="1" ht="15.95" customHeight="1" x14ac:dyDescent="0.3">
      <c r="A79" s="9"/>
      <c r="B79" s="55" t="s">
        <v>53</v>
      </c>
      <c r="C79" s="566" t="s">
        <v>118</v>
      </c>
      <c r="D79" s="359"/>
      <c r="E79" s="75"/>
      <c r="F79" s="76">
        <f t="shared" si="2"/>
        <v>0</v>
      </c>
      <c r="G79" s="73"/>
      <c r="H79" s="573"/>
      <c r="I79" s="573"/>
    </row>
    <row r="80" spans="1:9" s="395" customFormat="1" ht="15.95" customHeight="1" x14ac:dyDescent="0.3">
      <c r="A80" s="36" t="s">
        <v>120</v>
      </c>
      <c r="B80" s="704" t="s">
        <v>315</v>
      </c>
      <c r="C80" s="704"/>
      <c r="D80" s="353">
        <f>+D75+D76</f>
        <v>0</v>
      </c>
      <c r="E80" s="71">
        <f>+E75+E76</f>
        <v>0</v>
      </c>
      <c r="F80" s="72">
        <f t="shared" si="2"/>
        <v>0</v>
      </c>
      <c r="G80" s="73"/>
      <c r="H80" s="573"/>
      <c r="I80" s="573"/>
    </row>
    <row r="81" spans="1:9" s="395" customFormat="1" ht="15.95" customHeight="1" x14ac:dyDescent="0.3">
      <c r="A81" s="36" t="s">
        <v>122</v>
      </c>
      <c r="B81" s="704" t="s">
        <v>123</v>
      </c>
      <c r="C81" s="704"/>
      <c r="D81" s="360">
        <f>+D29+D80</f>
        <v>45462</v>
      </c>
      <c r="E81" s="360">
        <f>+E29+E80</f>
        <v>45462</v>
      </c>
      <c r="F81" s="360">
        <f>+F29+F80</f>
        <v>0</v>
      </c>
      <c r="G81" s="360">
        <f>+G29+G80</f>
        <v>0</v>
      </c>
      <c r="H81" s="573"/>
      <c r="I81" s="573"/>
    </row>
    <row r="82" spans="1:9" s="395" customFormat="1" ht="15.95" customHeight="1" thickBot="1" x14ac:dyDescent="0.35">
      <c r="A82" s="361" t="s">
        <v>124</v>
      </c>
      <c r="B82" s="362" t="s">
        <v>125</v>
      </c>
      <c r="C82" s="362"/>
      <c r="D82" s="360">
        <f>+D30+D81</f>
        <v>45462</v>
      </c>
      <c r="E82" s="360">
        <f>+E30+E81</f>
        <v>45462</v>
      </c>
      <c r="F82" s="363">
        <f>+F60+F74</f>
        <v>0</v>
      </c>
      <c r="G82" s="363">
        <f>+G60+G74</f>
        <v>0</v>
      </c>
      <c r="H82" s="573"/>
      <c r="I82" s="573"/>
    </row>
    <row r="83" spans="1:9" ht="20.100000000000001" customHeight="1" x14ac:dyDescent="0.25">
      <c r="B83" s="85"/>
      <c r="C83" s="85"/>
      <c r="D83" s="86"/>
      <c r="E83" s="86"/>
      <c r="F83" s="86"/>
    </row>
    <row r="84" spans="1:9" ht="20.100000000000001" customHeight="1" x14ac:dyDescent="0.25">
      <c r="B84" s="85"/>
      <c r="C84" s="85"/>
      <c r="D84" s="87">
        <f>+D82-D81</f>
        <v>0</v>
      </c>
      <c r="E84" s="87">
        <f>+E82-E81</f>
        <v>0</v>
      </c>
      <c r="F84" s="87">
        <f>+F81-F82</f>
        <v>0</v>
      </c>
      <c r="G84" s="87">
        <f>+G82-G81</f>
        <v>0</v>
      </c>
      <c r="H84" s="574">
        <f>SUM(E84:G84)</f>
        <v>0</v>
      </c>
    </row>
    <row r="85" spans="1:9" ht="20.100000000000001" customHeight="1" x14ac:dyDescent="0.25">
      <c r="B85" s="85"/>
      <c r="C85" s="85"/>
      <c r="D85" s="86"/>
      <c r="E85" s="86"/>
      <c r="F85" s="86"/>
    </row>
    <row r="86" spans="1:9" ht="20.100000000000001" customHeight="1" x14ac:dyDescent="0.25">
      <c r="B86" s="85"/>
      <c r="C86" s="85"/>
      <c r="D86" s="86"/>
      <c r="E86" s="86"/>
      <c r="F86" s="86"/>
    </row>
    <row r="87" spans="1:9" ht="20.100000000000001" customHeight="1" x14ac:dyDescent="0.25">
      <c r="B87" s="85"/>
      <c r="C87" s="85"/>
      <c r="D87" s="86"/>
      <c r="E87" s="86"/>
      <c r="F87" s="86"/>
    </row>
    <row r="88" spans="1:9" ht="20.100000000000001" customHeight="1" x14ac:dyDescent="0.25">
      <c r="B88" s="85"/>
      <c r="C88" s="85"/>
      <c r="D88" s="86"/>
      <c r="E88" s="86"/>
      <c r="F88" s="86"/>
    </row>
    <row r="89" spans="1:9" ht="20.100000000000001" customHeight="1" x14ac:dyDescent="0.25">
      <c r="B89" s="85"/>
      <c r="C89" s="85"/>
      <c r="D89" s="86"/>
      <c r="E89" s="86"/>
      <c r="F89" s="86"/>
    </row>
    <row r="90" spans="1:9" ht="20.100000000000001" customHeight="1" x14ac:dyDescent="0.25">
      <c r="B90" s="85"/>
      <c r="C90" s="85"/>
      <c r="D90" s="86"/>
      <c r="E90" s="86"/>
      <c r="F90" s="86"/>
    </row>
    <row r="91" spans="1:9" ht="20.100000000000001" customHeight="1" x14ac:dyDescent="0.25">
      <c r="B91" s="85"/>
      <c r="C91" s="85"/>
      <c r="D91" s="86"/>
      <c r="E91" s="86"/>
      <c r="F91" s="86"/>
    </row>
    <row r="92" spans="1:9" ht="20.100000000000001" customHeight="1" x14ac:dyDescent="0.25">
      <c r="B92" s="85"/>
      <c r="C92" s="85"/>
      <c r="D92" s="86"/>
      <c r="E92" s="86"/>
      <c r="F92" s="86"/>
    </row>
    <row r="93" spans="1:9" ht="20.100000000000001" customHeight="1" x14ac:dyDescent="0.25">
      <c r="B93" s="85"/>
      <c r="C93" s="85"/>
      <c r="D93" s="86"/>
      <c r="E93" s="86"/>
      <c r="F93" s="86"/>
    </row>
    <row r="94" spans="1:9" ht="20.100000000000001" customHeight="1" x14ac:dyDescent="0.25">
      <c r="B94" s="85"/>
      <c r="C94" s="85"/>
      <c r="D94" s="86"/>
      <c r="E94" s="86"/>
      <c r="F94" s="86"/>
    </row>
    <row r="95" spans="1:9" ht="20.100000000000001" customHeight="1" x14ac:dyDescent="0.25">
      <c r="B95" s="85"/>
      <c r="C95" s="85"/>
      <c r="D95" s="86"/>
      <c r="E95" s="86"/>
      <c r="F95" s="86"/>
    </row>
    <row r="96" spans="1:9" ht="20.100000000000001" customHeight="1" x14ac:dyDescent="0.25">
      <c r="B96" s="85"/>
      <c r="C96" s="85"/>
      <c r="D96" s="86"/>
      <c r="E96" s="86"/>
      <c r="F96" s="86"/>
    </row>
    <row r="97" spans="2:6" x14ac:dyDescent="0.25">
      <c r="B97" s="85"/>
      <c r="C97" s="85"/>
      <c r="D97" s="86"/>
      <c r="E97" s="86"/>
      <c r="F97" s="86"/>
    </row>
    <row r="98" spans="2:6" x14ac:dyDescent="0.25">
      <c r="B98" s="85"/>
      <c r="C98" s="85"/>
      <c r="D98" s="86"/>
      <c r="E98" s="86"/>
      <c r="F98" s="86"/>
    </row>
    <row r="99" spans="2:6" x14ac:dyDescent="0.25">
      <c r="B99" s="85"/>
      <c r="C99" s="85"/>
      <c r="D99" s="86"/>
      <c r="E99" s="86"/>
      <c r="F99" s="86"/>
    </row>
    <row r="100" spans="2:6" x14ac:dyDescent="0.25">
      <c r="B100" s="85"/>
      <c r="C100" s="85"/>
      <c r="D100" s="86"/>
      <c r="E100" s="86"/>
      <c r="F100" s="86"/>
    </row>
    <row r="101" spans="2:6" x14ac:dyDescent="0.25">
      <c r="B101" s="85"/>
      <c r="C101" s="85"/>
      <c r="D101" s="86"/>
      <c r="E101" s="86"/>
      <c r="F101" s="86"/>
    </row>
    <row r="102" spans="2:6" x14ac:dyDescent="0.25">
      <c r="B102" s="85"/>
      <c r="C102" s="85"/>
      <c r="D102" s="86"/>
      <c r="E102" s="86"/>
      <c r="F102" s="86"/>
    </row>
    <row r="103" spans="2:6" x14ac:dyDescent="0.25">
      <c r="B103" s="85"/>
      <c r="C103" s="85"/>
      <c r="D103" s="86"/>
      <c r="E103" s="86"/>
      <c r="F103" s="86"/>
    </row>
    <row r="104" spans="2:6" x14ac:dyDescent="0.25">
      <c r="B104" s="85"/>
      <c r="C104" s="85"/>
      <c r="D104" s="86"/>
      <c r="E104" s="86"/>
      <c r="F104" s="86"/>
    </row>
  </sheetData>
  <mergeCells count="60">
    <mergeCell ref="H6:H7"/>
    <mergeCell ref="I6:I7"/>
    <mergeCell ref="B81:C81"/>
    <mergeCell ref="B61:C61"/>
    <mergeCell ref="B62:C62"/>
    <mergeCell ref="B63:C63"/>
    <mergeCell ref="B66:C66"/>
    <mergeCell ref="B67:C67"/>
    <mergeCell ref="B68:C68"/>
    <mergeCell ref="B73:C73"/>
    <mergeCell ref="B74:C74"/>
    <mergeCell ref="B75:C75"/>
    <mergeCell ref="B76:C76"/>
    <mergeCell ref="B80:C80"/>
    <mergeCell ref="B60:C60"/>
    <mergeCell ref="B32:C32"/>
    <mergeCell ref="B33:C33"/>
    <mergeCell ref="B37:C37"/>
    <mergeCell ref="B41:C41"/>
    <mergeCell ref="B46:C46"/>
    <mergeCell ref="B47:C47"/>
    <mergeCell ref="B50:C50"/>
    <mergeCell ref="B53:C53"/>
    <mergeCell ref="B57:C57"/>
    <mergeCell ref="B58:C58"/>
    <mergeCell ref="B59:C59"/>
    <mergeCell ref="B31:C31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8:C18"/>
    <mergeCell ref="G6:G7"/>
    <mergeCell ref="D8:F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76" workbookViewId="0">
      <selection activeCell="E62" sqref="E62"/>
    </sheetView>
  </sheetViews>
  <sheetFormatPr defaultRowHeight="15.75" x14ac:dyDescent="0.25"/>
  <cols>
    <col min="1" max="1" width="6" style="2" customWidth="1"/>
    <col min="2" max="2" width="5.140625" style="1" customWidth="1"/>
    <col min="3" max="3" width="82.5703125" style="1" customWidth="1"/>
    <col min="4" max="4" width="21.28515625" style="2" bestFit="1" customWidth="1"/>
    <col min="5" max="5" width="19.140625" style="2" bestFit="1" customWidth="1"/>
    <col min="6" max="6" width="16.7109375" style="2" customWidth="1"/>
    <col min="7" max="7" width="14.85546875" style="11" bestFit="1" customWidth="1"/>
  </cols>
  <sheetData>
    <row r="1" spans="1:7" ht="18.75" x14ac:dyDescent="0.3">
      <c r="A1" s="667" t="s">
        <v>628</v>
      </c>
      <c r="B1" s="668"/>
      <c r="C1" s="668"/>
      <c r="D1" s="668"/>
      <c r="E1" s="668"/>
      <c r="F1" s="668"/>
    </row>
    <row r="2" spans="1:7" x14ac:dyDescent="0.25">
      <c r="A2" s="660"/>
      <c r="B2" s="660"/>
      <c r="C2" s="660"/>
      <c r="D2" s="660"/>
      <c r="E2" s="660"/>
      <c r="F2" s="660"/>
    </row>
    <row r="3" spans="1:7" x14ac:dyDescent="0.25">
      <c r="A3" s="669" t="s">
        <v>3</v>
      </c>
      <c r="B3" s="669"/>
      <c r="C3" s="669"/>
      <c r="D3" s="669"/>
      <c r="E3" s="669"/>
      <c r="F3" s="669"/>
    </row>
    <row r="4" spans="1:7" x14ac:dyDescent="0.25">
      <c r="A4" s="660" t="s">
        <v>4</v>
      </c>
      <c r="B4" s="660"/>
      <c r="C4" s="660"/>
      <c r="D4" s="660"/>
      <c r="E4" s="660"/>
      <c r="F4" s="660"/>
    </row>
    <row r="5" spans="1:7" ht="16.5" thickBot="1" x14ac:dyDescent="0.3">
      <c r="A5" s="670" t="s">
        <v>5</v>
      </c>
      <c r="B5" s="670"/>
      <c r="C5" s="670"/>
      <c r="D5" s="670"/>
      <c r="E5" s="670"/>
      <c r="F5" s="670"/>
    </row>
    <row r="6" spans="1:7" ht="12.75" customHeight="1" x14ac:dyDescent="0.25">
      <c r="A6" s="671" t="s">
        <v>6</v>
      </c>
      <c r="B6" s="674" t="s">
        <v>7</v>
      </c>
      <c r="C6" s="674"/>
      <c r="D6" s="677" t="s">
        <v>8</v>
      </c>
      <c r="E6" s="679" t="s">
        <v>9</v>
      </c>
      <c r="F6" s="679" t="s">
        <v>10</v>
      </c>
      <c r="G6" s="681" t="s">
        <v>11</v>
      </c>
    </row>
    <row r="7" spans="1:7" ht="21.75" customHeight="1" x14ac:dyDescent="0.25">
      <c r="A7" s="672"/>
      <c r="B7" s="675"/>
      <c r="C7" s="675"/>
      <c r="D7" s="678"/>
      <c r="E7" s="680"/>
      <c r="F7" s="680"/>
      <c r="G7" s="682"/>
    </row>
    <row r="8" spans="1:7" ht="15.75" customHeight="1" thickBot="1" x14ac:dyDescent="0.3">
      <c r="A8" s="673"/>
      <c r="B8" s="676"/>
      <c r="C8" s="676"/>
      <c r="D8" s="683" t="s">
        <v>629</v>
      </c>
      <c r="E8" s="683"/>
      <c r="F8" s="683"/>
      <c r="G8" s="12"/>
    </row>
    <row r="9" spans="1:7" x14ac:dyDescent="0.25">
      <c r="A9" s="13"/>
      <c r="B9" s="684" t="s">
        <v>12</v>
      </c>
      <c r="C9" s="684"/>
      <c r="D9" s="14"/>
      <c r="E9" s="15"/>
      <c r="F9" s="14"/>
      <c r="G9" s="16"/>
    </row>
    <row r="10" spans="1:7" ht="15.75" customHeight="1" x14ac:dyDescent="0.25">
      <c r="A10" s="9">
        <v>1</v>
      </c>
      <c r="B10" s="666" t="s">
        <v>13</v>
      </c>
      <c r="C10" s="666"/>
      <c r="D10" s="17">
        <f>71038925+34589652+31149887</f>
        <v>136778464</v>
      </c>
      <c r="E10" s="17">
        <f>71038925+34589652+31149887</f>
        <v>136778464</v>
      </c>
      <c r="F10" s="18">
        <f>'[1]11'!F10+'[1]13'!F10+'[1]15'!F10</f>
        <v>0</v>
      </c>
      <c r="G10" s="19"/>
    </row>
    <row r="11" spans="1:7" ht="15.75" customHeight="1" x14ac:dyDescent="0.25">
      <c r="A11" s="9">
        <v>2</v>
      </c>
      <c r="B11" s="666" t="s">
        <v>14</v>
      </c>
      <c r="C11" s="666"/>
      <c r="D11" s="17">
        <f>14121345+6971421+6406478</f>
        <v>27499244</v>
      </c>
      <c r="E11" s="17">
        <f>14121345+6971421+6406478</f>
        <v>27499244</v>
      </c>
      <c r="F11" s="18">
        <f>'[1]11'!F11+'[1]13'!F11+'[1]15'!F11</f>
        <v>0</v>
      </c>
      <c r="G11" s="19"/>
    </row>
    <row r="12" spans="1:7" ht="15.75" customHeight="1" x14ac:dyDescent="0.25">
      <c r="A12" s="9">
        <v>3</v>
      </c>
      <c r="B12" s="666" t="s">
        <v>15</v>
      </c>
      <c r="C12" s="666"/>
      <c r="D12" s="17">
        <f>14977198+3524010+133766236</f>
        <v>152267444</v>
      </c>
      <c r="E12" s="17">
        <f>14977198+3524010+133766236</f>
        <v>152267444</v>
      </c>
      <c r="F12" s="18">
        <f>'[1]11'!F12+'[1]13'!F12+'[1]15'!F12</f>
        <v>0</v>
      </c>
      <c r="G12" s="20"/>
    </row>
    <row r="13" spans="1:7" ht="15.75" customHeight="1" x14ac:dyDescent="0.25">
      <c r="A13" s="9" t="s">
        <v>16</v>
      </c>
      <c r="B13" s="666" t="s">
        <v>17</v>
      </c>
      <c r="C13" s="666"/>
      <c r="D13" s="17">
        <f t="shared" ref="D13:D17" si="0">SUM(E13:G13)</f>
        <v>0</v>
      </c>
      <c r="E13" s="17">
        <f>'[1]11'!E13+'[1]13'!E13+'[1]15'!E13</f>
        <v>0</v>
      </c>
      <c r="F13" s="18">
        <f>'[1]11'!F13+'[1]13'!F13+'[1]15'!F13</f>
        <v>0</v>
      </c>
      <c r="G13" s="21"/>
    </row>
    <row r="14" spans="1:7" x14ac:dyDescent="0.25">
      <c r="A14" s="9" t="s">
        <v>18</v>
      </c>
      <c r="B14" s="685" t="s">
        <v>19</v>
      </c>
      <c r="C14" s="685"/>
      <c r="D14" s="17">
        <f>D15+D16+D17+D18</f>
        <v>18280262</v>
      </c>
      <c r="E14" s="22">
        <f>+E15+E16+E17+E18</f>
        <v>14843562</v>
      </c>
      <c r="F14" s="23">
        <f>+F15+F16+F17+F18+F19</f>
        <v>3436700</v>
      </c>
      <c r="G14" s="24"/>
    </row>
    <row r="15" spans="1:7" x14ac:dyDescent="0.25">
      <c r="A15" s="9" t="s">
        <v>20</v>
      </c>
      <c r="B15" s="686"/>
      <c r="C15" s="686"/>
      <c r="D15" s="17">
        <f t="shared" si="0"/>
        <v>0</v>
      </c>
      <c r="E15" s="17">
        <f>'[1]11'!E15+'[1]13'!E15+'[1]15'!E15</f>
        <v>0</v>
      </c>
      <c r="F15" s="18">
        <f>'[1]11'!F15+'[1]13'!F15+'[1]15'!F15</f>
        <v>0</v>
      </c>
      <c r="G15" s="21"/>
    </row>
    <row r="16" spans="1:7" x14ac:dyDescent="0.25">
      <c r="A16" s="9" t="s">
        <v>21</v>
      </c>
      <c r="B16" s="686" t="s">
        <v>22</v>
      </c>
      <c r="C16" s="686"/>
      <c r="D16" s="17">
        <v>8161962</v>
      </c>
      <c r="E16" s="17">
        <v>5781162</v>
      </c>
      <c r="F16" s="18">
        <v>2380800</v>
      </c>
      <c r="G16" s="21"/>
    </row>
    <row r="17" spans="1:7" x14ac:dyDescent="0.25">
      <c r="A17" s="9"/>
      <c r="B17" s="687"/>
      <c r="C17" s="688"/>
      <c r="D17" s="17">
        <f t="shared" si="0"/>
        <v>0</v>
      </c>
      <c r="E17" s="17">
        <f>'[1]11'!E17+'[1]13'!E17+'[1]15'!E17</f>
        <v>0</v>
      </c>
      <c r="F17" s="18">
        <f>'[1]11'!F17+'[1]13'!F17+'[1]15'!F17</f>
        <v>0</v>
      </c>
      <c r="G17" s="21"/>
    </row>
    <row r="18" spans="1:7" ht="15.75" customHeight="1" x14ac:dyDescent="0.25">
      <c r="A18" s="9" t="s">
        <v>23</v>
      </c>
      <c r="B18" s="689" t="s">
        <v>24</v>
      </c>
      <c r="C18" s="689"/>
      <c r="D18" s="17">
        <v>10118300</v>
      </c>
      <c r="E18" s="17">
        <v>9062400</v>
      </c>
      <c r="F18" s="18">
        <v>1055900</v>
      </c>
      <c r="G18" s="21"/>
    </row>
    <row r="19" spans="1:7" ht="15.75" customHeight="1" x14ac:dyDescent="0.25">
      <c r="A19" s="9" t="s">
        <v>25</v>
      </c>
      <c r="B19" s="666"/>
      <c r="C19" s="666"/>
      <c r="D19" s="23"/>
      <c r="E19" s="23"/>
      <c r="F19" s="18">
        <f>'[1]11'!F19+'[1]13'!F19+'[1]15'!F19</f>
        <v>0</v>
      </c>
      <c r="G19" s="21"/>
    </row>
    <row r="20" spans="1:7" ht="15.75" customHeight="1" x14ac:dyDescent="0.25">
      <c r="A20" s="9"/>
      <c r="B20" s="666" t="s">
        <v>26</v>
      </c>
      <c r="C20" s="666"/>
      <c r="D20" s="23">
        <v>0</v>
      </c>
      <c r="E20" s="17">
        <v>0</v>
      </c>
      <c r="F20" s="18">
        <v>0</v>
      </c>
      <c r="G20" s="21"/>
    </row>
    <row r="21" spans="1:7" ht="15.75" customHeight="1" x14ac:dyDescent="0.25">
      <c r="A21" s="9"/>
      <c r="B21" s="690" t="s">
        <v>27</v>
      </c>
      <c r="C21" s="691"/>
      <c r="D21" s="25">
        <f>28456625+1449948+269381</f>
        <v>30175954</v>
      </c>
      <c r="E21" s="17">
        <v>30175954</v>
      </c>
      <c r="F21" s="18">
        <f>'[1]15'!F22</f>
        <v>0</v>
      </c>
      <c r="G21" s="21"/>
    </row>
    <row r="22" spans="1:7" s="29" customFormat="1" ht="15.75" customHeight="1" x14ac:dyDescent="0.25">
      <c r="A22" s="26" t="s">
        <v>1</v>
      </c>
      <c r="B22" s="692" t="s">
        <v>28</v>
      </c>
      <c r="C22" s="693"/>
      <c r="D22" s="27">
        <f>D10+D11+D12+D14+D19+D21+D20</f>
        <v>365001368</v>
      </c>
      <c r="E22" s="27">
        <f t="shared" ref="E22:F22" si="1">E10+E11+E12+E14+E19+E21+E20</f>
        <v>361564668</v>
      </c>
      <c r="F22" s="27">
        <f t="shared" si="1"/>
        <v>3436700</v>
      </c>
      <c r="G22" s="28"/>
    </row>
    <row r="23" spans="1:7" x14ac:dyDescent="0.25">
      <c r="A23" s="9" t="s">
        <v>29</v>
      </c>
      <c r="B23" s="666" t="s">
        <v>30</v>
      </c>
      <c r="C23" s="666"/>
      <c r="D23" s="17">
        <v>399314520</v>
      </c>
      <c r="E23" s="17">
        <v>399314520</v>
      </c>
      <c r="F23" s="18">
        <f>'[1]15'!F24</f>
        <v>0</v>
      </c>
      <c r="G23" s="19"/>
    </row>
    <row r="24" spans="1:7" ht="15.75" customHeight="1" x14ac:dyDescent="0.25">
      <c r="A24" s="9" t="s">
        <v>31</v>
      </c>
      <c r="B24" s="666" t="s">
        <v>32</v>
      </c>
      <c r="C24" s="666"/>
      <c r="D24" s="17">
        <v>850000</v>
      </c>
      <c r="E24" s="17">
        <v>850000</v>
      </c>
      <c r="F24" s="18">
        <f>'[1]11'!F24+'[1]13'!F24+'[1]15'!F25</f>
        <v>0</v>
      </c>
      <c r="G24" s="19"/>
    </row>
    <row r="25" spans="1:7" ht="15.75" customHeight="1" x14ac:dyDescent="0.25">
      <c r="A25" s="9" t="s">
        <v>33</v>
      </c>
      <c r="B25" s="666" t="s">
        <v>34</v>
      </c>
      <c r="C25" s="666"/>
      <c r="D25" s="17">
        <v>0</v>
      </c>
      <c r="E25" s="17"/>
      <c r="F25" s="18">
        <v>0</v>
      </c>
      <c r="G25" s="19"/>
    </row>
    <row r="26" spans="1:7" s="29" customFormat="1" ht="18.75" x14ac:dyDescent="0.25">
      <c r="A26" s="26" t="s">
        <v>35</v>
      </c>
      <c r="B26" s="695" t="s">
        <v>36</v>
      </c>
      <c r="C26" s="695"/>
      <c r="D26" s="30">
        <f>+D23+D24+D25</f>
        <v>400164520</v>
      </c>
      <c r="E26" s="30">
        <f>+E23+E24+E25</f>
        <v>400164520</v>
      </c>
      <c r="F26" s="30">
        <f>+F23+F24+F25</f>
        <v>0</v>
      </c>
      <c r="G26" s="31"/>
    </row>
    <row r="27" spans="1:7" x14ac:dyDescent="0.25">
      <c r="A27" s="9" t="s">
        <v>37</v>
      </c>
      <c r="B27" s="666" t="s">
        <v>630</v>
      </c>
      <c r="C27" s="666"/>
      <c r="D27" s="25">
        <v>1136830</v>
      </c>
      <c r="E27" s="32">
        <v>1136830</v>
      </c>
      <c r="F27" s="18"/>
      <c r="G27" s="19"/>
    </row>
    <row r="28" spans="1:7" x14ac:dyDescent="0.25">
      <c r="A28" s="9" t="s">
        <v>38</v>
      </c>
      <c r="B28" s="696"/>
      <c r="C28" s="696"/>
      <c r="D28" s="33"/>
      <c r="E28" s="34"/>
      <c r="F28" s="18">
        <f>+D28+E28</f>
        <v>0</v>
      </c>
      <c r="G28" s="19"/>
    </row>
    <row r="29" spans="1:7" ht="19.5" customHeight="1" x14ac:dyDescent="0.25">
      <c r="A29" s="9" t="s">
        <v>39</v>
      </c>
      <c r="B29" s="696"/>
      <c r="C29" s="696"/>
      <c r="D29" s="33"/>
      <c r="E29" s="35"/>
      <c r="F29" s="18">
        <f>+D29+E29</f>
        <v>0</v>
      </c>
      <c r="G29" s="19"/>
    </row>
    <row r="30" spans="1:7" ht="20.25" x14ac:dyDescent="0.3">
      <c r="A30" s="36" t="s">
        <v>40</v>
      </c>
      <c r="B30" s="697" t="s">
        <v>41</v>
      </c>
      <c r="C30" s="697"/>
      <c r="D30" s="37">
        <f>+D22+D26+D27+D28+D29</f>
        <v>766302718</v>
      </c>
      <c r="E30" s="38">
        <f>+E22+E26+E27+E28+E29</f>
        <v>762866018</v>
      </c>
      <c r="F30" s="38">
        <f>+F22+F26+F27+F28+F29</f>
        <v>3436700</v>
      </c>
      <c r="G30" s="39">
        <f>+G22+G26+G27+G28+G29</f>
        <v>0</v>
      </c>
    </row>
    <row r="31" spans="1:7" x14ac:dyDescent="0.25">
      <c r="A31" s="40"/>
      <c r="B31" s="698"/>
      <c r="C31" s="698"/>
      <c r="D31" s="41"/>
      <c r="E31" s="42"/>
      <c r="F31" s="43"/>
      <c r="G31" s="44"/>
    </row>
    <row r="32" spans="1:7" x14ac:dyDescent="0.25">
      <c r="A32" s="9"/>
      <c r="B32" s="699" t="s">
        <v>42</v>
      </c>
      <c r="C32" s="699"/>
      <c r="D32" s="45"/>
      <c r="E32" s="46"/>
      <c r="F32" s="45"/>
      <c r="G32" s="47"/>
    </row>
    <row r="33" spans="1:7" x14ac:dyDescent="0.25">
      <c r="A33" s="9" t="s">
        <v>43</v>
      </c>
      <c r="B33" s="694" t="s">
        <v>44</v>
      </c>
      <c r="C33" s="694"/>
      <c r="D33" s="48">
        <v>14451020</v>
      </c>
      <c r="E33" s="48">
        <v>14451020</v>
      </c>
      <c r="F33" s="49">
        <f>'[1]11'!F32+'[1]13'!F32+'[1]15'!F34</f>
        <v>0</v>
      </c>
      <c r="G33" s="50"/>
    </row>
    <row r="34" spans="1:7" x14ac:dyDescent="0.25">
      <c r="A34" s="9" t="s">
        <v>45</v>
      </c>
      <c r="B34" s="694" t="s">
        <v>46</v>
      </c>
      <c r="C34" s="694"/>
      <c r="D34" s="48">
        <f>D35+D36+D37</f>
        <v>40830000</v>
      </c>
      <c r="E34" s="48">
        <f>E35+E36+E37</f>
        <v>40830000</v>
      </c>
      <c r="F34" s="49">
        <f>SUM(F35:F37)</f>
        <v>0</v>
      </c>
      <c r="G34" s="50"/>
    </row>
    <row r="35" spans="1:7" x14ac:dyDescent="0.25">
      <c r="A35" s="9"/>
      <c r="B35" s="51" t="s">
        <v>47</v>
      </c>
      <c r="C35" s="52" t="s">
        <v>48</v>
      </c>
      <c r="D35" s="48">
        <v>35825000</v>
      </c>
      <c r="E35" s="48">
        <v>35825000</v>
      </c>
      <c r="F35" s="49">
        <f>'[1]11'!F34+'[1]13'!F34+'[1]15'!F36</f>
        <v>0</v>
      </c>
      <c r="G35" s="50"/>
    </row>
    <row r="36" spans="1:7" x14ac:dyDescent="0.25">
      <c r="A36" s="9"/>
      <c r="B36" s="51" t="s">
        <v>49</v>
      </c>
      <c r="C36" s="52" t="s">
        <v>50</v>
      </c>
      <c r="D36" s="48">
        <v>4500000</v>
      </c>
      <c r="E36" s="48">
        <v>4500000</v>
      </c>
      <c r="F36" s="49">
        <f>'[1]11'!F35+'[1]13'!F35+'[1]15'!F37</f>
        <v>0</v>
      </c>
      <c r="G36" s="50"/>
    </row>
    <row r="37" spans="1:7" x14ac:dyDescent="0.25">
      <c r="A37" s="9"/>
      <c r="B37" s="51" t="s">
        <v>51</v>
      </c>
      <c r="C37" s="52" t="s">
        <v>52</v>
      </c>
      <c r="D37" s="48">
        <v>505000</v>
      </c>
      <c r="E37" s="48">
        <v>505000</v>
      </c>
      <c r="F37" s="49">
        <f>'[1]11'!F36+'[1]13'!F36+'[1]15'!F38</f>
        <v>0</v>
      </c>
      <c r="G37" s="50"/>
    </row>
    <row r="38" spans="1:7" x14ac:dyDescent="0.25">
      <c r="A38" s="9" t="s">
        <v>53</v>
      </c>
      <c r="B38" s="694" t="s">
        <v>54</v>
      </c>
      <c r="C38" s="694"/>
      <c r="D38" s="53">
        <f>D39+D40+D41</f>
        <v>152161604</v>
      </c>
      <c r="E38" s="53">
        <f>E39+E40+E41</f>
        <v>152161604</v>
      </c>
      <c r="F38" s="54">
        <f>SUM(F39:F41)</f>
        <v>0</v>
      </c>
      <c r="G38" s="50"/>
    </row>
    <row r="39" spans="1:7" x14ac:dyDescent="0.25">
      <c r="A39" s="9"/>
      <c r="B39" s="55" t="s">
        <v>55</v>
      </c>
      <c r="C39" s="56" t="s">
        <v>56</v>
      </c>
      <c r="D39" s="53">
        <v>145525259</v>
      </c>
      <c r="E39" s="53">
        <v>145525259</v>
      </c>
      <c r="F39" s="49">
        <f>'[1]11'!F38+'[1]13'!F38+'[1]15'!F40</f>
        <v>0</v>
      </c>
      <c r="G39" s="50"/>
    </row>
    <row r="40" spans="1:7" x14ac:dyDescent="0.25">
      <c r="A40" s="9"/>
      <c r="B40" s="55" t="s">
        <v>57</v>
      </c>
      <c r="C40" s="56" t="s">
        <v>58</v>
      </c>
      <c r="D40" s="53">
        <f t="shared" ref="D40:E40" si="2">SUM(E40:G40)</f>
        <v>0</v>
      </c>
      <c r="E40" s="53">
        <f t="shared" si="2"/>
        <v>0</v>
      </c>
      <c r="F40" s="49">
        <f>'[1]11'!F39+'[1]13'!F39+'[1]15'!F41</f>
        <v>0</v>
      </c>
      <c r="G40" s="50"/>
    </row>
    <row r="41" spans="1:7" x14ac:dyDescent="0.25">
      <c r="A41" s="9"/>
      <c r="B41" s="55" t="s">
        <v>59</v>
      </c>
      <c r="C41" s="56" t="s">
        <v>60</v>
      </c>
      <c r="D41" s="53">
        <v>6636345</v>
      </c>
      <c r="E41" s="53">
        <v>6636345</v>
      </c>
      <c r="F41" s="49">
        <f>'[1]11'!F40+'[1]13'!F40+'[1]15'!F42</f>
        <v>0</v>
      </c>
      <c r="G41" s="50"/>
    </row>
    <row r="42" spans="1:7" x14ac:dyDescent="0.25">
      <c r="A42" s="9" t="s">
        <v>16</v>
      </c>
      <c r="B42" s="694" t="s">
        <v>61</v>
      </c>
      <c r="C42" s="694"/>
      <c r="D42" s="53">
        <f>SUM(D43:D46)</f>
        <v>14483373</v>
      </c>
      <c r="E42" s="53">
        <f>SUM(E43:E46)</f>
        <v>14483373</v>
      </c>
      <c r="F42" s="49">
        <f>SUM(F43:F46)</f>
        <v>0</v>
      </c>
      <c r="G42" s="50"/>
    </row>
    <row r="43" spans="1:7" x14ac:dyDescent="0.25">
      <c r="A43" s="9"/>
      <c r="B43" s="55" t="s">
        <v>62</v>
      </c>
      <c r="C43" s="57" t="s">
        <v>63</v>
      </c>
      <c r="D43" s="53">
        <v>13483373</v>
      </c>
      <c r="E43" s="53">
        <v>13483373</v>
      </c>
      <c r="F43" s="49">
        <f>'[1]11'!F42+'[1]13'!F42+'[1]15'!F44</f>
        <v>0</v>
      </c>
      <c r="G43" s="50"/>
    </row>
    <row r="44" spans="1:7" x14ac:dyDescent="0.25">
      <c r="A44" s="9"/>
      <c r="B44" s="55" t="s">
        <v>64</v>
      </c>
      <c r="C44" s="56" t="s">
        <v>65</v>
      </c>
      <c r="D44" s="53"/>
      <c r="E44" s="53"/>
      <c r="F44" s="49">
        <f>'[1]11'!F43+'[1]13'!F43+'[1]15'!F45</f>
        <v>0</v>
      </c>
      <c r="G44" s="50"/>
    </row>
    <row r="45" spans="1:7" x14ac:dyDescent="0.25">
      <c r="A45" s="9"/>
      <c r="B45" s="55" t="s">
        <v>66</v>
      </c>
      <c r="C45" s="56" t="s">
        <v>67</v>
      </c>
      <c r="D45" s="53">
        <v>1000000</v>
      </c>
      <c r="E45" s="53">
        <v>1000000</v>
      </c>
      <c r="F45" s="49">
        <f>'[1]11'!F44+'[1]13'!F44+'[1]15'!F46</f>
        <v>0</v>
      </c>
      <c r="G45" s="50"/>
    </row>
    <row r="46" spans="1:7" x14ac:dyDescent="0.25">
      <c r="A46" s="9"/>
      <c r="B46" s="55" t="s">
        <v>68</v>
      </c>
      <c r="C46" s="56" t="s">
        <v>69</v>
      </c>
      <c r="D46" s="53"/>
      <c r="E46" s="53"/>
      <c r="F46" s="49">
        <f>'[1]11'!F45+'[1]13'!F45+'[1]15'!F47</f>
        <v>0</v>
      </c>
      <c r="G46" s="50"/>
    </row>
    <row r="47" spans="1:7" ht="18.75" x14ac:dyDescent="0.3">
      <c r="A47" s="26" t="s">
        <v>1</v>
      </c>
      <c r="B47" s="701" t="s">
        <v>70</v>
      </c>
      <c r="C47" s="701"/>
      <c r="D47" s="58">
        <f>D42+D38+D33+D34</f>
        <v>221925997</v>
      </c>
      <c r="E47" s="58">
        <f>E42+E38+E33+E34</f>
        <v>221925997</v>
      </c>
      <c r="F47" s="58">
        <f>+F33+F34+F38+F42</f>
        <v>0</v>
      </c>
      <c r="G47" s="59">
        <f>+G33+G34+G38+G42</f>
        <v>0</v>
      </c>
    </row>
    <row r="48" spans="1:7" x14ac:dyDescent="0.25">
      <c r="A48" s="9" t="s">
        <v>18</v>
      </c>
      <c r="B48" s="694" t="s">
        <v>71</v>
      </c>
      <c r="C48" s="694"/>
      <c r="D48" s="49">
        <f>SUM(D49:D50)</f>
        <v>7867898</v>
      </c>
      <c r="E48" s="49">
        <f>SUM(E49:E50)</f>
        <v>7867898</v>
      </c>
      <c r="F48" s="49">
        <f>SUM(F49:F50)</f>
        <v>0</v>
      </c>
      <c r="G48" s="50"/>
    </row>
    <row r="49" spans="1:7" x14ac:dyDescent="0.25">
      <c r="A49" s="9"/>
      <c r="B49" s="55" t="s">
        <v>72</v>
      </c>
      <c r="C49" s="56" t="s">
        <v>73</v>
      </c>
      <c r="D49" s="53">
        <v>3518600</v>
      </c>
      <c r="E49" s="53">
        <v>3518600</v>
      </c>
      <c r="F49" s="49">
        <f>'[1]11'!F48+'[1]13'!F48+'[1]15'!F50</f>
        <v>0</v>
      </c>
      <c r="G49" s="50"/>
    </row>
    <row r="50" spans="1:7" x14ac:dyDescent="0.25">
      <c r="A50" s="9"/>
      <c r="B50" s="55" t="s">
        <v>74</v>
      </c>
      <c r="C50" s="56" t="s">
        <v>75</v>
      </c>
      <c r="D50" s="53">
        <v>4349298</v>
      </c>
      <c r="E50" s="53">
        <v>4349298</v>
      </c>
      <c r="F50" s="49">
        <f>'[1]11'!F49+'[1]13'!F49+'[1]15'!F51</f>
        <v>0</v>
      </c>
      <c r="G50" s="50"/>
    </row>
    <row r="51" spans="1:7" x14ac:dyDescent="0.25">
      <c r="A51" s="9" t="s">
        <v>29</v>
      </c>
      <c r="B51" s="694" t="s">
        <v>76</v>
      </c>
      <c r="C51" s="694"/>
      <c r="D51" s="53">
        <f>SUM(D52:D53)</f>
        <v>0</v>
      </c>
      <c r="E51" s="53">
        <f>SUM(E52:E53)</f>
        <v>0</v>
      </c>
      <c r="F51" s="54">
        <f>SUM(D51:D51)</f>
        <v>0</v>
      </c>
      <c r="G51" s="50"/>
    </row>
    <row r="52" spans="1:7" x14ac:dyDescent="0.25">
      <c r="A52" s="9"/>
      <c r="B52" s="55" t="s">
        <v>77</v>
      </c>
      <c r="C52" s="56" t="s">
        <v>78</v>
      </c>
      <c r="D52" s="53"/>
      <c r="E52" s="53"/>
      <c r="F52" s="49">
        <f>'[1]11'!F51+'[1]13'!F51+'[1]15'!F53</f>
        <v>0</v>
      </c>
      <c r="G52" s="50"/>
    </row>
    <row r="53" spans="1:7" x14ac:dyDescent="0.25">
      <c r="A53" s="9"/>
      <c r="B53" s="55" t="s">
        <v>79</v>
      </c>
      <c r="C53" s="56" t="s">
        <v>80</v>
      </c>
      <c r="D53" s="53">
        <v>0</v>
      </c>
      <c r="E53" s="53">
        <v>0</v>
      </c>
      <c r="F53" s="49">
        <f>'[1]11'!F52+'[1]13'!F52+'[1]15'!F54</f>
        <v>0</v>
      </c>
      <c r="G53" s="50"/>
    </row>
    <row r="54" spans="1:7" x14ac:dyDescent="0.25">
      <c r="A54" s="9" t="s">
        <v>31</v>
      </c>
      <c r="B54" s="694" t="s">
        <v>81</v>
      </c>
      <c r="C54" s="694"/>
      <c r="D54" s="53">
        <f>SUM(D55:D57)</f>
        <v>269478267</v>
      </c>
      <c r="E54" s="53">
        <f>SUM(E55:E57)</f>
        <v>269478267</v>
      </c>
      <c r="F54" s="54">
        <f>SUM(F55:F57)</f>
        <v>0</v>
      </c>
      <c r="G54" s="50"/>
    </row>
    <row r="55" spans="1:7" x14ac:dyDescent="0.25">
      <c r="A55" s="9"/>
      <c r="B55" s="55" t="s">
        <v>82</v>
      </c>
      <c r="C55" s="56" t="s">
        <v>83</v>
      </c>
      <c r="D55" s="53"/>
      <c r="E55" s="53"/>
      <c r="F55" s="49">
        <f>'[1]11'!F54+'[1]13'!F54+'[1]15'!F56</f>
        <v>0</v>
      </c>
      <c r="G55" s="50"/>
    </row>
    <row r="56" spans="1:7" x14ac:dyDescent="0.25">
      <c r="A56" s="9"/>
      <c r="B56" s="55" t="s">
        <v>84</v>
      </c>
      <c r="C56" s="56" t="s">
        <v>85</v>
      </c>
      <c r="D56" s="53">
        <v>269478267</v>
      </c>
      <c r="E56" s="53">
        <v>269478267</v>
      </c>
      <c r="F56" s="49">
        <f>'[1]11'!F55+'[1]13'!F55+'[1]15'!F57</f>
        <v>0</v>
      </c>
      <c r="G56" s="50"/>
    </row>
    <row r="57" spans="1:7" x14ac:dyDescent="0.25">
      <c r="A57" s="9"/>
      <c r="B57" s="55" t="s">
        <v>86</v>
      </c>
      <c r="C57" s="56" t="s">
        <v>87</v>
      </c>
      <c r="D57" s="53"/>
      <c r="E57" s="53"/>
      <c r="F57" s="49">
        <f>'[1]11'!F56+'[1]13'!F56+'[1]15'!F58</f>
        <v>0</v>
      </c>
      <c r="G57" s="50"/>
    </row>
    <row r="58" spans="1:7" ht="18.75" x14ac:dyDescent="0.3">
      <c r="A58" s="26" t="s">
        <v>35</v>
      </c>
      <c r="B58" s="701" t="s">
        <v>88</v>
      </c>
      <c r="C58" s="701"/>
      <c r="D58" s="58">
        <f>D48+D51+D54</f>
        <v>277346165</v>
      </c>
      <c r="E58" s="58">
        <f>E48+E51+E54</f>
        <v>277346165</v>
      </c>
      <c r="F58" s="58">
        <f>+F48+F51+F54</f>
        <v>0</v>
      </c>
      <c r="G58" s="59">
        <f>+G48+G51+G54</f>
        <v>0</v>
      </c>
    </row>
    <row r="59" spans="1:7" x14ac:dyDescent="0.25">
      <c r="A59" s="26" t="s">
        <v>37</v>
      </c>
      <c r="B59" s="702" t="s">
        <v>89</v>
      </c>
      <c r="C59" s="702"/>
      <c r="D59" s="60"/>
      <c r="E59" s="60"/>
      <c r="F59" s="61"/>
      <c r="G59" s="62"/>
    </row>
    <row r="60" spans="1:7" x14ac:dyDescent="0.25">
      <c r="A60" s="26" t="s">
        <v>38</v>
      </c>
      <c r="B60" s="702" t="s">
        <v>90</v>
      </c>
      <c r="C60" s="702"/>
      <c r="D60" s="60"/>
      <c r="E60" s="60"/>
      <c r="F60" s="61"/>
      <c r="G60" s="62"/>
    </row>
    <row r="61" spans="1:7" ht="20.25" x14ac:dyDescent="0.3">
      <c r="A61" s="36" t="s">
        <v>91</v>
      </c>
      <c r="B61" s="703" t="s">
        <v>92</v>
      </c>
      <c r="C61" s="703"/>
      <c r="D61" s="63">
        <f>D47+D58</f>
        <v>499272162</v>
      </c>
      <c r="E61" s="63">
        <f>E47+E58</f>
        <v>499272162</v>
      </c>
      <c r="F61" s="64">
        <f>+F47+F58+F59+F60</f>
        <v>0</v>
      </c>
      <c r="G61" s="65">
        <f>+G47+G58+G59+G60</f>
        <v>0</v>
      </c>
    </row>
    <row r="62" spans="1:7" ht="18.75" x14ac:dyDescent="0.3">
      <c r="A62" s="36"/>
      <c r="B62" s="704" t="s">
        <v>93</v>
      </c>
      <c r="C62" s="704"/>
      <c r="D62" s="66">
        <f>+D30-D61</f>
        <v>267030556</v>
      </c>
      <c r="E62" s="66">
        <f>+E30-E61</f>
        <v>263593856</v>
      </c>
      <c r="F62" s="66">
        <f>F30-F61</f>
        <v>3436700</v>
      </c>
      <c r="G62" s="67">
        <f>+G30-G61</f>
        <v>0</v>
      </c>
    </row>
    <row r="63" spans="1:7" ht="18.75" x14ac:dyDescent="0.3">
      <c r="A63" s="36"/>
      <c r="B63" s="702" t="s">
        <v>94</v>
      </c>
      <c r="C63" s="702"/>
      <c r="D63" s="66"/>
      <c r="E63" s="66"/>
      <c r="F63" s="66">
        <f>+'[1]11'!F62+'[1]13'!F62</f>
        <v>0</v>
      </c>
      <c r="G63" s="67"/>
    </row>
    <row r="64" spans="1:7" x14ac:dyDescent="0.25">
      <c r="A64" s="26" t="s">
        <v>39</v>
      </c>
      <c r="B64" s="702" t="s">
        <v>95</v>
      </c>
      <c r="C64" s="702"/>
      <c r="D64" s="25">
        <f>D65+D66</f>
        <v>267030556</v>
      </c>
      <c r="E64" s="25">
        <f>E65+E66</f>
        <v>267030556</v>
      </c>
      <c r="F64" s="25">
        <f>SUM(F65:F66)</f>
        <v>0</v>
      </c>
      <c r="G64" s="21"/>
    </row>
    <row r="65" spans="1:7" ht="18.75" x14ac:dyDescent="0.25">
      <c r="A65" s="36"/>
      <c r="B65" s="68" t="s">
        <v>43</v>
      </c>
      <c r="C65" s="56" t="s">
        <v>96</v>
      </c>
      <c r="D65" s="25">
        <f>29532605+1449948+269381</f>
        <v>31251934</v>
      </c>
      <c r="E65" s="25">
        <f>29532605+1449948+269381</f>
        <v>31251934</v>
      </c>
      <c r="F65" s="25">
        <f>'[1]11'!F64+'[1]13'!F64+'[1]15'!F66</f>
        <v>0</v>
      </c>
      <c r="G65" s="69"/>
    </row>
    <row r="66" spans="1:7" ht="18.75" x14ac:dyDescent="0.25">
      <c r="A66" s="36"/>
      <c r="B66" s="68" t="s">
        <v>45</v>
      </c>
      <c r="C66" s="56" t="s">
        <v>97</v>
      </c>
      <c r="D66" s="25">
        <v>235778622</v>
      </c>
      <c r="E66" s="25">
        <v>235778622</v>
      </c>
      <c r="F66" s="18"/>
      <c r="G66" s="69"/>
    </row>
    <row r="67" spans="1:7" ht="18.75" customHeight="1" x14ac:dyDescent="0.3">
      <c r="A67" s="36" t="s">
        <v>98</v>
      </c>
      <c r="B67" s="700" t="s">
        <v>99</v>
      </c>
      <c r="C67" s="700"/>
      <c r="D67" s="66">
        <f>D64</f>
        <v>267030556</v>
      </c>
      <c r="E67" s="66">
        <f>E64</f>
        <v>267030556</v>
      </c>
      <c r="F67" s="66">
        <f>+F64</f>
        <v>0</v>
      </c>
      <c r="G67" s="69"/>
    </row>
    <row r="68" spans="1:7" ht="18.75" x14ac:dyDescent="0.3">
      <c r="A68" s="9" t="s">
        <v>100</v>
      </c>
      <c r="B68" s="705" t="s">
        <v>101</v>
      </c>
      <c r="C68" s="708"/>
      <c r="D68" s="66"/>
      <c r="E68" s="66"/>
      <c r="F68" s="72">
        <f>SUM(D68:E68)</f>
        <v>0</v>
      </c>
      <c r="G68" s="73"/>
    </row>
    <row r="69" spans="1:7" ht="18.75" x14ac:dyDescent="0.3">
      <c r="A69" s="9" t="s">
        <v>102</v>
      </c>
      <c r="B69" s="694" t="s">
        <v>103</v>
      </c>
      <c r="C69" s="694"/>
      <c r="D69" s="66">
        <f>SUM(D70:D73)</f>
        <v>0</v>
      </c>
      <c r="E69" s="66">
        <f>SUM(E70:E73)</f>
        <v>0</v>
      </c>
      <c r="F69" s="72">
        <f>SUM(D69:E69)</f>
        <v>0</v>
      </c>
      <c r="G69" s="73"/>
    </row>
    <row r="70" spans="1:7" ht="18.75" x14ac:dyDescent="0.3">
      <c r="A70" s="9"/>
      <c r="B70" s="55" t="s">
        <v>43</v>
      </c>
      <c r="C70" s="56" t="s">
        <v>104</v>
      </c>
      <c r="D70" s="74"/>
      <c r="E70" s="74"/>
      <c r="F70" s="76">
        <f>SUM(D70:E70)</f>
        <v>0</v>
      </c>
      <c r="G70" s="73"/>
    </row>
    <row r="71" spans="1:7" ht="18.75" x14ac:dyDescent="0.3">
      <c r="A71" s="9"/>
      <c r="B71" s="55" t="s">
        <v>45</v>
      </c>
      <c r="C71" s="56" t="s">
        <v>105</v>
      </c>
      <c r="D71" s="66"/>
      <c r="E71" s="66"/>
      <c r="F71" s="72">
        <f>SUM(D71:E71)</f>
        <v>0</v>
      </c>
      <c r="G71" s="73"/>
    </row>
    <row r="72" spans="1:7" ht="18.75" x14ac:dyDescent="0.3">
      <c r="A72" s="9"/>
      <c r="B72" s="55" t="s">
        <v>53</v>
      </c>
      <c r="C72" s="56" t="s">
        <v>106</v>
      </c>
      <c r="D72" s="74"/>
      <c r="E72" s="74"/>
      <c r="F72" s="72"/>
      <c r="G72" s="73"/>
    </row>
    <row r="73" spans="1:7" ht="18.75" x14ac:dyDescent="0.3">
      <c r="A73" s="9"/>
      <c r="B73" s="55" t="s">
        <v>16</v>
      </c>
      <c r="C73" s="56" t="s">
        <v>107</v>
      </c>
      <c r="D73" s="74"/>
      <c r="E73" s="74"/>
      <c r="F73" s="72"/>
      <c r="G73" s="73"/>
    </row>
    <row r="74" spans="1:7" ht="35.25" customHeight="1" x14ac:dyDescent="0.3">
      <c r="A74" s="36" t="s">
        <v>108</v>
      </c>
      <c r="B74" s="709" t="s">
        <v>109</v>
      </c>
      <c r="C74" s="709"/>
      <c r="D74" s="66">
        <f>+D68+D69</f>
        <v>0</v>
      </c>
      <c r="E74" s="66">
        <f>+E68+E69</f>
        <v>0</v>
      </c>
      <c r="F74" s="72">
        <f>SUM(D74:E74)</f>
        <v>0</v>
      </c>
      <c r="G74" s="73"/>
    </row>
    <row r="75" spans="1:7" ht="18.75" x14ac:dyDescent="0.3">
      <c r="A75" s="36" t="s">
        <v>110</v>
      </c>
      <c r="B75" s="704" t="s">
        <v>111</v>
      </c>
      <c r="C75" s="704"/>
      <c r="D75" s="66">
        <f>+D67+D74</f>
        <v>267030556</v>
      </c>
      <c r="E75" s="66">
        <f>+E67+E74</f>
        <v>267030556</v>
      </c>
      <c r="F75" s="71">
        <f>+F67+F74</f>
        <v>0</v>
      </c>
      <c r="G75" s="73"/>
    </row>
    <row r="76" spans="1:7" ht="18.75" x14ac:dyDescent="0.3">
      <c r="A76" s="9" t="s">
        <v>112</v>
      </c>
      <c r="B76" s="694" t="s">
        <v>113</v>
      </c>
      <c r="C76" s="694"/>
      <c r="D76" s="66"/>
      <c r="E76" s="66"/>
      <c r="F76" s="72"/>
      <c r="G76" s="73"/>
    </row>
    <row r="77" spans="1:7" ht="18.75" x14ac:dyDescent="0.3">
      <c r="A77" s="9" t="s">
        <v>114</v>
      </c>
      <c r="B77" s="694" t="s">
        <v>115</v>
      </c>
      <c r="C77" s="694"/>
      <c r="D77" s="74">
        <f>SUM(D78:D80)</f>
        <v>0</v>
      </c>
      <c r="E77" s="74">
        <f>SUM(E78:E80)</f>
        <v>0</v>
      </c>
      <c r="F77" s="76">
        <f>SUM(D77:E77)</f>
        <v>0</v>
      </c>
      <c r="G77" s="73"/>
    </row>
    <row r="78" spans="1:7" ht="18.75" x14ac:dyDescent="0.3">
      <c r="A78" s="9"/>
      <c r="B78" s="55" t="s">
        <v>43</v>
      </c>
      <c r="C78" s="56" t="s">
        <v>116</v>
      </c>
      <c r="D78" s="74"/>
      <c r="E78" s="74"/>
      <c r="F78" s="76">
        <f>SUM(D78:E78)</f>
        <v>0</v>
      </c>
      <c r="G78" s="73"/>
    </row>
    <row r="79" spans="1:7" ht="18.75" x14ac:dyDescent="0.3">
      <c r="A79" s="9"/>
      <c r="B79" s="55" t="s">
        <v>45</v>
      </c>
      <c r="C79" s="56" t="s">
        <v>117</v>
      </c>
      <c r="D79" s="74"/>
      <c r="E79" s="74"/>
      <c r="F79" s="76">
        <f>SUM(D79:E79)</f>
        <v>0</v>
      </c>
      <c r="G79" s="73"/>
    </row>
    <row r="80" spans="1:7" ht="18.75" x14ac:dyDescent="0.3">
      <c r="A80" s="9"/>
      <c r="B80" s="55" t="s">
        <v>53</v>
      </c>
      <c r="C80" s="56" t="s">
        <v>118</v>
      </c>
      <c r="D80" s="74"/>
      <c r="E80" s="74"/>
      <c r="F80" s="76">
        <f>SUM(D80:E80)</f>
        <v>0</v>
      </c>
      <c r="G80" s="73"/>
    </row>
    <row r="81" spans="1:7" ht="18.75" x14ac:dyDescent="0.3">
      <c r="A81" s="9" t="s">
        <v>119</v>
      </c>
      <c r="B81" s="705"/>
      <c r="C81" s="706"/>
      <c r="D81" s="74"/>
      <c r="E81" s="74"/>
      <c r="F81" s="77"/>
      <c r="G81" s="73"/>
    </row>
    <row r="82" spans="1:7" ht="18.75" x14ac:dyDescent="0.3">
      <c r="A82" s="36" t="s">
        <v>120</v>
      </c>
      <c r="B82" s="704" t="s">
        <v>121</v>
      </c>
      <c r="C82" s="704"/>
      <c r="D82" s="66">
        <f>+D76+D77+D81</f>
        <v>0</v>
      </c>
      <c r="E82" s="66">
        <f>+E76+E77+E81</f>
        <v>0</v>
      </c>
      <c r="F82" s="71">
        <f>+F76+F77</f>
        <v>0</v>
      </c>
      <c r="G82" s="73"/>
    </row>
    <row r="83" spans="1:7" ht="18.75" x14ac:dyDescent="0.3">
      <c r="A83" s="78" t="s">
        <v>122</v>
      </c>
      <c r="B83" s="707" t="s">
        <v>123</v>
      </c>
      <c r="C83" s="707"/>
      <c r="D83" s="79">
        <f>+D30+D82</f>
        <v>766302718</v>
      </c>
      <c r="E83" s="79">
        <f>+E30+E82</f>
        <v>762866018</v>
      </c>
      <c r="F83" s="79">
        <f>F30+G30+F82</f>
        <v>3436700</v>
      </c>
      <c r="G83" s="80">
        <f>+G30+G82</f>
        <v>0</v>
      </c>
    </row>
    <row r="84" spans="1:7" ht="19.5" thickBot="1" x14ac:dyDescent="0.35">
      <c r="A84" s="81" t="s">
        <v>124</v>
      </c>
      <c r="B84" s="82" t="s">
        <v>125</v>
      </c>
      <c r="C84" s="82"/>
      <c r="D84" s="83">
        <f>+D61+D75+D63</f>
        <v>766302718</v>
      </c>
      <c r="E84" s="83">
        <f>+E61+E75+E63</f>
        <v>766302718</v>
      </c>
      <c r="F84" s="83">
        <f>+F61+F75+F63</f>
        <v>0</v>
      </c>
      <c r="G84" s="84">
        <f>+G61+G75</f>
        <v>0</v>
      </c>
    </row>
    <row r="85" spans="1:7" x14ac:dyDescent="0.25">
      <c r="B85" s="85"/>
      <c r="C85" s="85"/>
      <c r="D85" s="87">
        <f>D84-D83</f>
        <v>0</v>
      </c>
      <c r="E85" s="86"/>
      <c r="F85" s="86"/>
    </row>
    <row r="86" spans="1:7" hidden="1" x14ac:dyDescent="0.25">
      <c r="B86" s="85"/>
      <c r="C86" s="85"/>
      <c r="D86" s="87">
        <f>+D84-D83</f>
        <v>0</v>
      </c>
      <c r="E86" s="87">
        <f>+E84-E83</f>
        <v>3436700</v>
      </c>
      <c r="F86" s="87">
        <f>+F84-F83</f>
        <v>-3436700</v>
      </c>
      <c r="G86" s="87">
        <f>+G84-G83</f>
        <v>0</v>
      </c>
    </row>
    <row r="87" spans="1:7" x14ac:dyDescent="0.25">
      <c r="B87" s="85"/>
      <c r="C87" s="85"/>
      <c r="D87" s="86"/>
      <c r="E87" s="86"/>
      <c r="F87" s="86"/>
    </row>
    <row r="88" spans="1:7" x14ac:dyDescent="0.25">
      <c r="B88" s="85"/>
      <c r="C88" s="85"/>
      <c r="D88" s="86"/>
      <c r="E88" s="86"/>
      <c r="F88" s="86"/>
    </row>
    <row r="89" spans="1:7" x14ac:dyDescent="0.25">
      <c r="B89" s="85"/>
      <c r="C89" s="85"/>
      <c r="D89" s="86"/>
      <c r="E89" s="86"/>
      <c r="F89" s="86"/>
    </row>
    <row r="90" spans="1:7" x14ac:dyDescent="0.25">
      <c r="B90" s="85"/>
      <c r="C90" s="85"/>
      <c r="D90" s="86"/>
      <c r="E90" s="86"/>
      <c r="F90" s="86"/>
    </row>
    <row r="91" spans="1:7" x14ac:dyDescent="0.25">
      <c r="B91" s="85"/>
      <c r="C91" s="85"/>
      <c r="D91" s="86"/>
      <c r="E91" s="86"/>
      <c r="F91" s="86"/>
    </row>
    <row r="92" spans="1:7" x14ac:dyDescent="0.25">
      <c r="B92" s="85"/>
      <c r="C92" s="85"/>
      <c r="D92" s="86"/>
      <c r="E92" s="86"/>
      <c r="F92" s="86"/>
    </row>
    <row r="93" spans="1:7" x14ac:dyDescent="0.25">
      <c r="B93" s="85"/>
      <c r="C93" s="85"/>
      <c r="D93" s="86"/>
      <c r="E93" s="86"/>
      <c r="F93" s="86"/>
    </row>
    <row r="94" spans="1:7" x14ac:dyDescent="0.25">
      <c r="B94" s="85"/>
      <c r="C94" s="85"/>
      <c r="D94" s="86"/>
      <c r="E94" s="86"/>
      <c r="F94" s="86"/>
    </row>
    <row r="95" spans="1:7" x14ac:dyDescent="0.25">
      <c r="B95" s="85"/>
      <c r="C95" s="85"/>
      <c r="D95" s="86"/>
      <c r="E95" s="86"/>
      <c r="F95" s="86"/>
    </row>
    <row r="96" spans="1:7" x14ac:dyDescent="0.25">
      <c r="B96" s="85"/>
      <c r="C96" s="85"/>
      <c r="D96" s="86"/>
      <c r="E96" s="86"/>
      <c r="F96" s="86"/>
    </row>
    <row r="97" spans="2:6" x14ac:dyDescent="0.25">
      <c r="B97" s="85"/>
      <c r="C97" s="85"/>
      <c r="D97" s="86"/>
      <c r="E97" s="86"/>
      <c r="F97" s="86"/>
    </row>
    <row r="98" spans="2:6" x14ac:dyDescent="0.25">
      <c r="B98" s="85"/>
      <c r="C98" s="85"/>
      <c r="D98" s="86"/>
      <c r="E98" s="86"/>
      <c r="F98" s="86"/>
    </row>
    <row r="99" spans="2:6" x14ac:dyDescent="0.25">
      <c r="B99" s="85"/>
      <c r="C99" s="85"/>
      <c r="D99" s="86"/>
      <c r="E99" s="86"/>
      <c r="F99" s="86"/>
    </row>
    <row r="100" spans="2:6" x14ac:dyDescent="0.25">
      <c r="B100" s="85"/>
      <c r="C100" s="85"/>
      <c r="D100" s="86"/>
      <c r="E100" s="86"/>
      <c r="F100" s="86"/>
    </row>
    <row r="101" spans="2:6" x14ac:dyDescent="0.25">
      <c r="B101" s="85"/>
      <c r="C101" s="85"/>
      <c r="D101" s="86"/>
      <c r="E101" s="86"/>
      <c r="F101" s="86"/>
    </row>
    <row r="102" spans="2:6" x14ac:dyDescent="0.25">
      <c r="B102" s="85"/>
      <c r="C102" s="85"/>
      <c r="D102" s="86"/>
      <c r="E102" s="86"/>
      <c r="F102" s="86"/>
    </row>
    <row r="103" spans="2:6" x14ac:dyDescent="0.25">
      <c r="B103" s="85"/>
      <c r="C103" s="85"/>
      <c r="D103" s="86"/>
      <c r="E103" s="86"/>
      <c r="F103" s="86"/>
    </row>
    <row r="104" spans="2:6" x14ac:dyDescent="0.25">
      <c r="B104" s="85"/>
      <c r="C104" s="85"/>
      <c r="D104" s="86"/>
      <c r="E104" s="86"/>
      <c r="F104" s="86"/>
    </row>
    <row r="105" spans="2:6" x14ac:dyDescent="0.25">
      <c r="B105" s="85"/>
      <c r="C105" s="85"/>
      <c r="D105" s="86"/>
      <c r="E105" s="86"/>
      <c r="F105" s="86"/>
    </row>
    <row r="106" spans="2:6" x14ac:dyDescent="0.25">
      <c r="B106" s="85"/>
      <c r="C106" s="85"/>
      <c r="D106" s="86"/>
      <c r="E106" s="86"/>
      <c r="F106" s="86"/>
    </row>
  </sheetData>
  <mergeCells count="61">
    <mergeCell ref="B81:C81"/>
    <mergeCell ref="B82:C82"/>
    <mergeCell ref="B83:C83"/>
    <mergeCell ref="B68:C68"/>
    <mergeCell ref="B69:C69"/>
    <mergeCell ref="B74:C74"/>
    <mergeCell ref="B75:C75"/>
    <mergeCell ref="B76:C76"/>
    <mergeCell ref="B77:C77"/>
    <mergeCell ref="B67:C67"/>
    <mergeCell ref="B47:C47"/>
    <mergeCell ref="B48:C48"/>
    <mergeCell ref="B51:C51"/>
    <mergeCell ref="B54:C54"/>
    <mergeCell ref="B58:C58"/>
    <mergeCell ref="B59:C59"/>
    <mergeCell ref="B60:C60"/>
    <mergeCell ref="B61:C61"/>
    <mergeCell ref="B62:C62"/>
    <mergeCell ref="B63:C63"/>
    <mergeCell ref="B64:C64"/>
    <mergeCell ref="B42:C42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8:C38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G6:G7"/>
    <mergeCell ref="D8:F8"/>
    <mergeCell ref="B9:C9"/>
    <mergeCell ref="B10:C10"/>
    <mergeCell ref="B11:C11"/>
    <mergeCell ref="B12:C12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34" workbookViewId="0">
      <selection activeCell="L9" sqref="L9"/>
    </sheetView>
  </sheetViews>
  <sheetFormatPr defaultRowHeight="12.75" x14ac:dyDescent="0.2"/>
  <cols>
    <col min="1" max="4" width="9.140625" style="495"/>
    <col min="5" max="5" width="19.28515625" style="495" customWidth="1"/>
    <col min="6" max="6" width="14.42578125" style="592" customWidth="1"/>
    <col min="7" max="7" width="10.42578125" style="592" bestFit="1" customWidth="1"/>
    <col min="8" max="8" width="14" style="495" customWidth="1"/>
    <col min="9" max="9" width="13.85546875" style="592" customWidth="1"/>
    <col min="10" max="260" width="9.140625" style="495"/>
    <col min="261" max="261" width="13" style="495" customWidth="1"/>
    <col min="262" max="262" width="14.42578125" style="495" customWidth="1"/>
    <col min="263" max="263" width="10.42578125" style="495" bestFit="1" customWidth="1"/>
    <col min="264" max="264" width="15.85546875" style="495" bestFit="1" customWidth="1"/>
    <col min="265" max="265" width="13.7109375" style="495" bestFit="1" customWidth="1"/>
    <col min="266" max="516" width="9.140625" style="495"/>
    <col min="517" max="517" width="13" style="495" customWidth="1"/>
    <col min="518" max="518" width="14.42578125" style="495" customWidth="1"/>
    <col min="519" max="519" width="10.42578125" style="495" bestFit="1" customWidth="1"/>
    <col min="520" max="520" width="15.85546875" style="495" bestFit="1" customWidth="1"/>
    <col min="521" max="521" width="13.7109375" style="495" bestFit="1" customWidth="1"/>
    <col min="522" max="772" width="9.140625" style="495"/>
    <col min="773" max="773" width="13" style="495" customWidth="1"/>
    <col min="774" max="774" width="14.42578125" style="495" customWidth="1"/>
    <col min="775" max="775" width="10.42578125" style="495" bestFit="1" customWidth="1"/>
    <col min="776" max="776" width="15.85546875" style="495" bestFit="1" customWidth="1"/>
    <col min="777" max="777" width="13.7109375" style="495" bestFit="1" customWidth="1"/>
    <col min="778" max="1028" width="9.140625" style="495"/>
    <col min="1029" max="1029" width="13" style="495" customWidth="1"/>
    <col min="1030" max="1030" width="14.42578125" style="495" customWidth="1"/>
    <col min="1031" max="1031" width="10.42578125" style="495" bestFit="1" customWidth="1"/>
    <col min="1032" max="1032" width="15.85546875" style="495" bestFit="1" customWidth="1"/>
    <col min="1033" max="1033" width="13.7109375" style="495" bestFit="1" customWidth="1"/>
    <col min="1034" max="1284" width="9.140625" style="495"/>
    <col min="1285" max="1285" width="13" style="495" customWidth="1"/>
    <col min="1286" max="1286" width="14.42578125" style="495" customWidth="1"/>
    <col min="1287" max="1287" width="10.42578125" style="495" bestFit="1" customWidth="1"/>
    <col min="1288" max="1288" width="15.85546875" style="495" bestFit="1" customWidth="1"/>
    <col min="1289" max="1289" width="13.7109375" style="495" bestFit="1" customWidth="1"/>
    <col min="1290" max="1540" width="9.140625" style="495"/>
    <col min="1541" max="1541" width="13" style="495" customWidth="1"/>
    <col min="1542" max="1542" width="14.42578125" style="495" customWidth="1"/>
    <col min="1543" max="1543" width="10.42578125" style="495" bestFit="1" customWidth="1"/>
    <col min="1544" max="1544" width="15.85546875" style="495" bestFit="1" customWidth="1"/>
    <col min="1545" max="1545" width="13.7109375" style="495" bestFit="1" customWidth="1"/>
    <col min="1546" max="1796" width="9.140625" style="495"/>
    <col min="1797" max="1797" width="13" style="495" customWidth="1"/>
    <col min="1798" max="1798" width="14.42578125" style="495" customWidth="1"/>
    <col min="1799" max="1799" width="10.42578125" style="495" bestFit="1" customWidth="1"/>
    <col min="1800" max="1800" width="15.85546875" style="495" bestFit="1" customWidth="1"/>
    <col min="1801" max="1801" width="13.7109375" style="495" bestFit="1" customWidth="1"/>
    <col min="1802" max="2052" width="9.140625" style="495"/>
    <col min="2053" max="2053" width="13" style="495" customWidth="1"/>
    <col min="2054" max="2054" width="14.42578125" style="495" customWidth="1"/>
    <col min="2055" max="2055" width="10.42578125" style="495" bestFit="1" customWidth="1"/>
    <col min="2056" max="2056" width="15.85546875" style="495" bestFit="1" customWidth="1"/>
    <col min="2057" max="2057" width="13.7109375" style="495" bestFit="1" customWidth="1"/>
    <col min="2058" max="2308" width="9.140625" style="495"/>
    <col min="2309" max="2309" width="13" style="495" customWidth="1"/>
    <col min="2310" max="2310" width="14.42578125" style="495" customWidth="1"/>
    <col min="2311" max="2311" width="10.42578125" style="495" bestFit="1" customWidth="1"/>
    <col min="2312" max="2312" width="15.85546875" style="495" bestFit="1" customWidth="1"/>
    <col min="2313" max="2313" width="13.7109375" style="495" bestFit="1" customWidth="1"/>
    <col min="2314" max="2564" width="9.140625" style="495"/>
    <col min="2565" max="2565" width="13" style="495" customWidth="1"/>
    <col min="2566" max="2566" width="14.42578125" style="495" customWidth="1"/>
    <col min="2567" max="2567" width="10.42578125" style="495" bestFit="1" customWidth="1"/>
    <col min="2568" max="2568" width="15.85546875" style="495" bestFit="1" customWidth="1"/>
    <col min="2569" max="2569" width="13.7109375" style="495" bestFit="1" customWidth="1"/>
    <col min="2570" max="2820" width="9.140625" style="495"/>
    <col min="2821" max="2821" width="13" style="495" customWidth="1"/>
    <col min="2822" max="2822" width="14.42578125" style="495" customWidth="1"/>
    <col min="2823" max="2823" width="10.42578125" style="495" bestFit="1" customWidth="1"/>
    <col min="2824" max="2824" width="15.85546875" style="495" bestFit="1" customWidth="1"/>
    <col min="2825" max="2825" width="13.7109375" style="495" bestFit="1" customWidth="1"/>
    <col min="2826" max="3076" width="9.140625" style="495"/>
    <col min="3077" max="3077" width="13" style="495" customWidth="1"/>
    <col min="3078" max="3078" width="14.42578125" style="495" customWidth="1"/>
    <col min="3079" max="3079" width="10.42578125" style="495" bestFit="1" customWidth="1"/>
    <col min="3080" max="3080" width="15.85546875" style="495" bestFit="1" customWidth="1"/>
    <col min="3081" max="3081" width="13.7109375" style="495" bestFit="1" customWidth="1"/>
    <col min="3082" max="3332" width="9.140625" style="495"/>
    <col min="3333" max="3333" width="13" style="495" customWidth="1"/>
    <col min="3334" max="3334" width="14.42578125" style="495" customWidth="1"/>
    <col min="3335" max="3335" width="10.42578125" style="495" bestFit="1" customWidth="1"/>
    <col min="3336" max="3336" width="15.85546875" style="495" bestFit="1" customWidth="1"/>
    <col min="3337" max="3337" width="13.7109375" style="495" bestFit="1" customWidth="1"/>
    <col min="3338" max="3588" width="9.140625" style="495"/>
    <col min="3589" max="3589" width="13" style="495" customWidth="1"/>
    <col min="3590" max="3590" width="14.42578125" style="495" customWidth="1"/>
    <col min="3591" max="3591" width="10.42578125" style="495" bestFit="1" customWidth="1"/>
    <col min="3592" max="3592" width="15.85546875" style="495" bestFit="1" customWidth="1"/>
    <col min="3593" max="3593" width="13.7109375" style="495" bestFit="1" customWidth="1"/>
    <col min="3594" max="3844" width="9.140625" style="495"/>
    <col min="3845" max="3845" width="13" style="495" customWidth="1"/>
    <col min="3846" max="3846" width="14.42578125" style="495" customWidth="1"/>
    <col min="3847" max="3847" width="10.42578125" style="495" bestFit="1" customWidth="1"/>
    <col min="3848" max="3848" width="15.85546875" style="495" bestFit="1" customWidth="1"/>
    <col min="3849" max="3849" width="13.7109375" style="495" bestFit="1" customWidth="1"/>
    <col min="3850" max="4100" width="9.140625" style="495"/>
    <col min="4101" max="4101" width="13" style="495" customWidth="1"/>
    <col min="4102" max="4102" width="14.42578125" style="495" customWidth="1"/>
    <col min="4103" max="4103" width="10.42578125" style="495" bestFit="1" customWidth="1"/>
    <col min="4104" max="4104" width="15.85546875" style="495" bestFit="1" customWidth="1"/>
    <col min="4105" max="4105" width="13.7109375" style="495" bestFit="1" customWidth="1"/>
    <col min="4106" max="4356" width="9.140625" style="495"/>
    <col min="4357" max="4357" width="13" style="495" customWidth="1"/>
    <col min="4358" max="4358" width="14.42578125" style="495" customWidth="1"/>
    <col min="4359" max="4359" width="10.42578125" style="495" bestFit="1" customWidth="1"/>
    <col min="4360" max="4360" width="15.85546875" style="495" bestFit="1" customWidth="1"/>
    <col min="4361" max="4361" width="13.7109375" style="495" bestFit="1" customWidth="1"/>
    <col min="4362" max="4612" width="9.140625" style="495"/>
    <col min="4613" max="4613" width="13" style="495" customWidth="1"/>
    <col min="4614" max="4614" width="14.42578125" style="495" customWidth="1"/>
    <col min="4615" max="4615" width="10.42578125" style="495" bestFit="1" customWidth="1"/>
    <col min="4616" max="4616" width="15.85546875" style="495" bestFit="1" customWidth="1"/>
    <col min="4617" max="4617" width="13.7109375" style="495" bestFit="1" customWidth="1"/>
    <col min="4618" max="4868" width="9.140625" style="495"/>
    <col min="4869" max="4869" width="13" style="495" customWidth="1"/>
    <col min="4870" max="4870" width="14.42578125" style="495" customWidth="1"/>
    <col min="4871" max="4871" width="10.42578125" style="495" bestFit="1" customWidth="1"/>
    <col min="4872" max="4872" width="15.85546875" style="495" bestFit="1" customWidth="1"/>
    <col min="4873" max="4873" width="13.7109375" style="495" bestFit="1" customWidth="1"/>
    <col min="4874" max="5124" width="9.140625" style="495"/>
    <col min="5125" max="5125" width="13" style="495" customWidth="1"/>
    <col min="5126" max="5126" width="14.42578125" style="495" customWidth="1"/>
    <col min="5127" max="5127" width="10.42578125" style="495" bestFit="1" customWidth="1"/>
    <col min="5128" max="5128" width="15.85546875" style="495" bestFit="1" customWidth="1"/>
    <col min="5129" max="5129" width="13.7109375" style="495" bestFit="1" customWidth="1"/>
    <col min="5130" max="5380" width="9.140625" style="495"/>
    <col min="5381" max="5381" width="13" style="495" customWidth="1"/>
    <col min="5382" max="5382" width="14.42578125" style="495" customWidth="1"/>
    <col min="5383" max="5383" width="10.42578125" style="495" bestFit="1" customWidth="1"/>
    <col min="5384" max="5384" width="15.85546875" style="495" bestFit="1" customWidth="1"/>
    <col min="5385" max="5385" width="13.7109375" style="495" bestFit="1" customWidth="1"/>
    <col min="5386" max="5636" width="9.140625" style="495"/>
    <col min="5637" max="5637" width="13" style="495" customWidth="1"/>
    <col min="5638" max="5638" width="14.42578125" style="495" customWidth="1"/>
    <col min="5639" max="5639" width="10.42578125" style="495" bestFit="1" customWidth="1"/>
    <col min="5640" max="5640" width="15.85546875" style="495" bestFit="1" customWidth="1"/>
    <col min="5641" max="5641" width="13.7109375" style="495" bestFit="1" customWidth="1"/>
    <col min="5642" max="5892" width="9.140625" style="495"/>
    <col min="5893" max="5893" width="13" style="495" customWidth="1"/>
    <col min="5894" max="5894" width="14.42578125" style="495" customWidth="1"/>
    <col min="5895" max="5895" width="10.42578125" style="495" bestFit="1" customWidth="1"/>
    <col min="5896" max="5896" width="15.85546875" style="495" bestFit="1" customWidth="1"/>
    <col min="5897" max="5897" width="13.7109375" style="495" bestFit="1" customWidth="1"/>
    <col min="5898" max="6148" width="9.140625" style="495"/>
    <col min="6149" max="6149" width="13" style="495" customWidth="1"/>
    <col min="6150" max="6150" width="14.42578125" style="495" customWidth="1"/>
    <col min="6151" max="6151" width="10.42578125" style="495" bestFit="1" customWidth="1"/>
    <col min="6152" max="6152" width="15.85546875" style="495" bestFit="1" customWidth="1"/>
    <col min="6153" max="6153" width="13.7109375" style="495" bestFit="1" customWidth="1"/>
    <col min="6154" max="6404" width="9.140625" style="495"/>
    <col min="6405" max="6405" width="13" style="495" customWidth="1"/>
    <col min="6406" max="6406" width="14.42578125" style="495" customWidth="1"/>
    <col min="6407" max="6407" width="10.42578125" style="495" bestFit="1" customWidth="1"/>
    <col min="6408" max="6408" width="15.85546875" style="495" bestFit="1" customWidth="1"/>
    <col min="6409" max="6409" width="13.7109375" style="495" bestFit="1" customWidth="1"/>
    <col min="6410" max="6660" width="9.140625" style="495"/>
    <col min="6661" max="6661" width="13" style="495" customWidth="1"/>
    <col min="6662" max="6662" width="14.42578125" style="495" customWidth="1"/>
    <col min="6663" max="6663" width="10.42578125" style="495" bestFit="1" customWidth="1"/>
    <col min="6664" max="6664" width="15.85546875" style="495" bestFit="1" customWidth="1"/>
    <col min="6665" max="6665" width="13.7109375" style="495" bestFit="1" customWidth="1"/>
    <col min="6666" max="6916" width="9.140625" style="495"/>
    <col min="6917" max="6917" width="13" style="495" customWidth="1"/>
    <col min="6918" max="6918" width="14.42578125" style="495" customWidth="1"/>
    <col min="6919" max="6919" width="10.42578125" style="495" bestFit="1" customWidth="1"/>
    <col min="6920" max="6920" width="15.85546875" style="495" bestFit="1" customWidth="1"/>
    <col min="6921" max="6921" width="13.7109375" style="495" bestFit="1" customWidth="1"/>
    <col min="6922" max="7172" width="9.140625" style="495"/>
    <col min="7173" max="7173" width="13" style="495" customWidth="1"/>
    <col min="7174" max="7174" width="14.42578125" style="495" customWidth="1"/>
    <col min="7175" max="7175" width="10.42578125" style="495" bestFit="1" customWidth="1"/>
    <col min="7176" max="7176" width="15.85546875" style="495" bestFit="1" customWidth="1"/>
    <col min="7177" max="7177" width="13.7109375" style="495" bestFit="1" customWidth="1"/>
    <col min="7178" max="7428" width="9.140625" style="495"/>
    <col min="7429" max="7429" width="13" style="495" customWidth="1"/>
    <col min="7430" max="7430" width="14.42578125" style="495" customWidth="1"/>
    <col min="7431" max="7431" width="10.42578125" style="495" bestFit="1" customWidth="1"/>
    <col min="7432" max="7432" width="15.85546875" style="495" bestFit="1" customWidth="1"/>
    <col min="7433" max="7433" width="13.7109375" style="495" bestFit="1" customWidth="1"/>
    <col min="7434" max="7684" width="9.140625" style="495"/>
    <col min="7685" max="7685" width="13" style="495" customWidth="1"/>
    <col min="7686" max="7686" width="14.42578125" style="495" customWidth="1"/>
    <col min="7687" max="7687" width="10.42578125" style="495" bestFit="1" customWidth="1"/>
    <col min="7688" max="7688" width="15.85546875" style="495" bestFit="1" customWidth="1"/>
    <col min="7689" max="7689" width="13.7109375" style="495" bestFit="1" customWidth="1"/>
    <col min="7690" max="7940" width="9.140625" style="495"/>
    <col min="7941" max="7941" width="13" style="495" customWidth="1"/>
    <col min="7942" max="7942" width="14.42578125" style="495" customWidth="1"/>
    <col min="7943" max="7943" width="10.42578125" style="495" bestFit="1" customWidth="1"/>
    <col min="7944" max="7944" width="15.85546875" style="495" bestFit="1" customWidth="1"/>
    <col min="7945" max="7945" width="13.7109375" style="495" bestFit="1" customWidth="1"/>
    <col min="7946" max="8196" width="9.140625" style="495"/>
    <col min="8197" max="8197" width="13" style="495" customWidth="1"/>
    <col min="8198" max="8198" width="14.42578125" style="495" customWidth="1"/>
    <col min="8199" max="8199" width="10.42578125" style="495" bestFit="1" customWidth="1"/>
    <col min="8200" max="8200" width="15.85546875" style="495" bestFit="1" customWidth="1"/>
    <col min="8201" max="8201" width="13.7109375" style="495" bestFit="1" customWidth="1"/>
    <col min="8202" max="8452" width="9.140625" style="495"/>
    <col min="8453" max="8453" width="13" style="495" customWidth="1"/>
    <col min="8454" max="8454" width="14.42578125" style="495" customWidth="1"/>
    <col min="8455" max="8455" width="10.42578125" style="495" bestFit="1" customWidth="1"/>
    <col min="8456" max="8456" width="15.85546875" style="495" bestFit="1" customWidth="1"/>
    <col min="8457" max="8457" width="13.7109375" style="495" bestFit="1" customWidth="1"/>
    <col min="8458" max="8708" width="9.140625" style="495"/>
    <col min="8709" max="8709" width="13" style="495" customWidth="1"/>
    <col min="8710" max="8710" width="14.42578125" style="495" customWidth="1"/>
    <col min="8711" max="8711" width="10.42578125" style="495" bestFit="1" customWidth="1"/>
    <col min="8712" max="8712" width="15.85546875" style="495" bestFit="1" customWidth="1"/>
    <col min="8713" max="8713" width="13.7109375" style="495" bestFit="1" customWidth="1"/>
    <col min="8714" max="8964" width="9.140625" style="495"/>
    <col min="8965" max="8965" width="13" style="495" customWidth="1"/>
    <col min="8966" max="8966" width="14.42578125" style="495" customWidth="1"/>
    <col min="8967" max="8967" width="10.42578125" style="495" bestFit="1" customWidth="1"/>
    <col min="8968" max="8968" width="15.85546875" style="495" bestFit="1" customWidth="1"/>
    <col min="8969" max="8969" width="13.7109375" style="495" bestFit="1" customWidth="1"/>
    <col min="8970" max="9220" width="9.140625" style="495"/>
    <col min="9221" max="9221" width="13" style="495" customWidth="1"/>
    <col min="9222" max="9222" width="14.42578125" style="495" customWidth="1"/>
    <col min="9223" max="9223" width="10.42578125" style="495" bestFit="1" customWidth="1"/>
    <col min="9224" max="9224" width="15.85546875" style="495" bestFit="1" customWidth="1"/>
    <col min="9225" max="9225" width="13.7109375" style="495" bestFit="1" customWidth="1"/>
    <col min="9226" max="9476" width="9.140625" style="495"/>
    <col min="9477" max="9477" width="13" style="495" customWidth="1"/>
    <col min="9478" max="9478" width="14.42578125" style="495" customWidth="1"/>
    <col min="9479" max="9479" width="10.42578125" style="495" bestFit="1" customWidth="1"/>
    <col min="9480" max="9480" width="15.85546875" style="495" bestFit="1" customWidth="1"/>
    <col min="9481" max="9481" width="13.7109375" style="495" bestFit="1" customWidth="1"/>
    <col min="9482" max="9732" width="9.140625" style="495"/>
    <col min="9733" max="9733" width="13" style="495" customWidth="1"/>
    <col min="9734" max="9734" width="14.42578125" style="495" customWidth="1"/>
    <col min="9735" max="9735" width="10.42578125" style="495" bestFit="1" customWidth="1"/>
    <col min="9736" max="9736" width="15.85546875" style="495" bestFit="1" customWidth="1"/>
    <col min="9737" max="9737" width="13.7109375" style="495" bestFit="1" customWidth="1"/>
    <col min="9738" max="9988" width="9.140625" style="495"/>
    <col min="9989" max="9989" width="13" style="495" customWidth="1"/>
    <col min="9990" max="9990" width="14.42578125" style="495" customWidth="1"/>
    <col min="9991" max="9991" width="10.42578125" style="495" bestFit="1" customWidth="1"/>
    <col min="9992" max="9992" width="15.85546875" style="495" bestFit="1" customWidth="1"/>
    <col min="9993" max="9993" width="13.7109375" style="495" bestFit="1" customWidth="1"/>
    <col min="9994" max="10244" width="9.140625" style="495"/>
    <col min="10245" max="10245" width="13" style="495" customWidth="1"/>
    <col min="10246" max="10246" width="14.42578125" style="495" customWidth="1"/>
    <col min="10247" max="10247" width="10.42578125" style="495" bestFit="1" customWidth="1"/>
    <col min="10248" max="10248" width="15.85546875" style="495" bestFit="1" customWidth="1"/>
    <col min="10249" max="10249" width="13.7109375" style="495" bestFit="1" customWidth="1"/>
    <col min="10250" max="10500" width="9.140625" style="495"/>
    <col min="10501" max="10501" width="13" style="495" customWidth="1"/>
    <col min="10502" max="10502" width="14.42578125" style="495" customWidth="1"/>
    <col min="10503" max="10503" width="10.42578125" style="495" bestFit="1" customWidth="1"/>
    <col min="10504" max="10504" width="15.85546875" style="495" bestFit="1" customWidth="1"/>
    <col min="10505" max="10505" width="13.7109375" style="495" bestFit="1" customWidth="1"/>
    <col min="10506" max="10756" width="9.140625" style="495"/>
    <col min="10757" max="10757" width="13" style="495" customWidth="1"/>
    <col min="10758" max="10758" width="14.42578125" style="495" customWidth="1"/>
    <col min="10759" max="10759" width="10.42578125" style="495" bestFit="1" customWidth="1"/>
    <col min="10760" max="10760" width="15.85546875" style="495" bestFit="1" customWidth="1"/>
    <col min="10761" max="10761" width="13.7109375" style="495" bestFit="1" customWidth="1"/>
    <col min="10762" max="11012" width="9.140625" style="495"/>
    <col min="11013" max="11013" width="13" style="495" customWidth="1"/>
    <col min="11014" max="11014" width="14.42578125" style="495" customWidth="1"/>
    <col min="11015" max="11015" width="10.42578125" style="495" bestFit="1" customWidth="1"/>
    <col min="11016" max="11016" width="15.85546875" style="495" bestFit="1" customWidth="1"/>
    <col min="11017" max="11017" width="13.7109375" style="495" bestFit="1" customWidth="1"/>
    <col min="11018" max="11268" width="9.140625" style="495"/>
    <col min="11269" max="11269" width="13" style="495" customWidth="1"/>
    <col min="11270" max="11270" width="14.42578125" style="495" customWidth="1"/>
    <col min="11271" max="11271" width="10.42578125" style="495" bestFit="1" customWidth="1"/>
    <col min="11272" max="11272" width="15.85546875" style="495" bestFit="1" customWidth="1"/>
    <col min="11273" max="11273" width="13.7109375" style="495" bestFit="1" customWidth="1"/>
    <col min="11274" max="11524" width="9.140625" style="495"/>
    <col min="11525" max="11525" width="13" style="495" customWidth="1"/>
    <col min="11526" max="11526" width="14.42578125" style="495" customWidth="1"/>
    <col min="11527" max="11527" width="10.42578125" style="495" bestFit="1" customWidth="1"/>
    <col min="11528" max="11528" width="15.85546875" style="495" bestFit="1" customWidth="1"/>
    <col min="11529" max="11529" width="13.7109375" style="495" bestFit="1" customWidth="1"/>
    <col min="11530" max="11780" width="9.140625" style="495"/>
    <col min="11781" max="11781" width="13" style="495" customWidth="1"/>
    <col min="11782" max="11782" width="14.42578125" style="495" customWidth="1"/>
    <col min="11783" max="11783" width="10.42578125" style="495" bestFit="1" customWidth="1"/>
    <col min="11784" max="11784" width="15.85546875" style="495" bestFit="1" customWidth="1"/>
    <col min="11785" max="11785" width="13.7109375" style="495" bestFit="1" customWidth="1"/>
    <col min="11786" max="12036" width="9.140625" style="495"/>
    <col min="12037" max="12037" width="13" style="495" customWidth="1"/>
    <col min="12038" max="12038" width="14.42578125" style="495" customWidth="1"/>
    <col min="12039" max="12039" width="10.42578125" style="495" bestFit="1" customWidth="1"/>
    <col min="12040" max="12040" width="15.85546875" style="495" bestFit="1" customWidth="1"/>
    <col min="12041" max="12041" width="13.7109375" style="495" bestFit="1" customWidth="1"/>
    <col min="12042" max="12292" width="9.140625" style="495"/>
    <col min="12293" max="12293" width="13" style="495" customWidth="1"/>
    <col min="12294" max="12294" width="14.42578125" style="495" customWidth="1"/>
    <col min="12295" max="12295" width="10.42578125" style="495" bestFit="1" customWidth="1"/>
    <col min="12296" max="12296" width="15.85546875" style="495" bestFit="1" customWidth="1"/>
    <col min="12297" max="12297" width="13.7109375" style="495" bestFit="1" customWidth="1"/>
    <col min="12298" max="12548" width="9.140625" style="495"/>
    <col min="12549" max="12549" width="13" style="495" customWidth="1"/>
    <col min="12550" max="12550" width="14.42578125" style="495" customWidth="1"/>
    <col min="12551" max="12551" width="10.42578125" style="495" bestFit="1" customWidth="1"/>
    <col min="12552" max="12552" width="15.85546875" style="495" bestFit="1" customWidth="1"/>
    <col min="12553" max="12553" width="13.7109375" style="495" bestFit="1" customWidth="1"/>
    <col min="12554" max="12804" width="9.140625" style="495"/>
    <col min="12805" max="12805" width="13" style="495" customWidth="1"/>
    <col min="12806" max="12806" width="14.42578125" style="495" customWidth="1"/>
    <col min="12807" max="12807" width="10.42578125" style="495" bestFit="1" customWidth="1"/>
    <col min="12808" max="12808" width="15.85546875" style="495" bestFit="1" customWidth="1"/>
    <col min="12809" max="12809" width="13.7109375" style="495" bestFit="1" customWidth="1"/>
    <col min="12810" max="13060" width="9.140625" style="495"/>
    <col min="13061" max="13061" width="13" style="495" customWidth="1"/>
    <col min="13062" max="13062" width="14.42578125" style="495" customWidth="1"/>
    <col min="13063" max="13063" width="10.42578125" style="495" bestFit="1" customWidth="1"/>
    <col min="13064" max="13064" width="15.85546875" style="495" bestFit="1" customWidth="1"/>
    <col min="13065" max="13065" width="13.7109375" style="495" bestFit="1" customWidth="1"/>
    <col min="13066" max="13316" width="9.140625" style="495"/>
    <col min="13317" max="13317" width="13" style="495" customWidth="1"/>
    <col min="13318" max="13318" width="14.42578125" style="495" customWidth="1"/>
    <col min="13319" max="13319" width="10.42578125" style="495" bestFit="1" customWidth="1"/>
    <col min="13320" max="13320" width="15.85546875" style="495" bestFit="1" customWidth="1"/>
    <col min="13321" max="13321" width="13.7109375" style="495" bestFit="1" customWidth="1"/>
    <col min="13322" max="13572" width="9.140625" style="495"/>
    <col min="13573" max="13573" width="13" style="495" customWidth="1"/>
    <col min="13574" max="13574" width="14.42578125" style="495" customWidth="1"/>
    <col min="13575" max="13575" width="10.42578125" style="495" bestFit="1" customWidth="1"/>
    <col min="13576" max="13576" width="15.85546875" style="495" bestFit="1" customWidth="1"/>
    <col min="13577" max="13577" width="13.7109375" style="495" bestFit="1" customWidth="1"/>
    <col min="13578" max="13828" width="9.140625" style="495"/>
    <col min="13829" max="13829" width="13" style="495" customWidth="1"/>
    <col min="13830" max="13830" width="14.42578125" style="495" customWidth="1"/>
    <col min="13831" max="13831" width="10.42578125" style="495" bestFit="1" customWidth="1"/>
    <col min="13832" max="13832" width="15.85546875" style="495" bestFit="1" customWidth="1"/>
    <col min="13833" max="13833" width="13.7109375" style="495" bestFit="1" customWidth="1"/>
    <col min="13834" max="14084" width="9.140625" style="495"/>
    <col min="14085" max="14085" width="13" style="495" customWidth="1"/>
    <col min="14086" max="14086" width="14.42578125" style="495" customWidth="1"/>
    <col min="14087" max="14087" width="10.42578125" style="495" bestFit="1" customWidth="1"/>
    <col min="14088" max="14088" width="15.85546875" style="495" bestFit="1" customWidth="1"/>
    <col min="14089" max="14089" width="13.7109375" style="495" bestFit="1" customWidth="1"/>
    <col min="14090" max="14340" width="9.140625" style="495"/>
    <col min="14341" max="14341" width="13" style="495" customWidth="1"/>
    <col min="14342" max="14342" width="14.42578125" style="495" customWidth="1"/>
    <col min="14343" max="14343" width="10.42578125" style="495" bestFit="1" customWidth="1"/>
    <col min="14344" max="14344" width="15.85546875" style="495" bestFit="1" customWidth="1"/>
    <col min="14345" max="14345" width="13.7109375" style="495" bestFit="1" customWidth="1"/>
    <col min="14346" max="14596" width="9.140625" style="495"/>
    <col min="14597" max="14597" width="13" style="495" customWidth="1"/>
    <col min="14598" max="14598" width="14.42578125" style="495" customWidth="1"/>
    <col min="14599" max="14599" width="10.42578125" style="495" bestFit="1" customWidth="1"/>
    <col min="14600" max="14600" width="15.85546875" style="495" bestFit="1" customWidth="1"/>
    <col min="14601" max="14601" width="13.7109375" style="495" bestFit="1" customWidth="1"/>
    <col min="14602" max="14852" width="9.140625" style="495"/>
    <col min="14853" max="14853" width="13" style="495" customWidth="1"/>
    <col min="14854" max="14854" width="14.42578125" style="495" customWidth="1"/>
    <col min="14855" max="14855" width="10.42578125" style="495" bestFit="1" customWidth="1"/>
    <col min="14856" max="14856" width="15.85546875" style="495" bestFit="1" customWidth="1"/>
    <col min="14857" max="14857" width="13.7109375" style="495" bestFit="1" customWidth="1"/>
    <col min="14858" max="15108" width="9.140625" style="495"/>
    <col min="15109" max="15109" width="13" style="495" customWidth="1"/>
    <col min="15110" max="15110" width="14.42578125" style="495" customWidth="1"/>
    <col min="15111" max="15111" width="10.42578125" style="495" bestFit="1" customWidth="1"/>
    <col min="15112" max="15112" width="15.85546875" style="495" bestFit="1" customWidth="1"/>
    <col min="15113" max="15113" width="13.7109375" style="495" bestFit="1" customWidth="1"/>
    <col min="15114" max="15364" width="9.140625" style="495"/>
    <col min="15365" max="15365" width="13" style="495" customWidth="1"/>
    <col min="15366" max="15366" width="14.42578125" style="495" customWidth="1"/>
    <col min="15367" max="15367" width="10.42578125" style="495" bestFit="1" customWidth="1"/>
    <col min="15368" max="15368" width="15.85546875" style="495" bestFit="1" customWidth="1"/>
    <col min="15369" max="15369" width="13.7109375" style="495" bestFit="1" customWidth="1"/>
    <col min="15370" max="15620" width="9.140625" style="495"/>
    <col min="15621" max="15621" width="13" style="495" customWidth="1"/>
    <col min="15622" max="15622" width="14.42578125" style="495" customWidth="1"/>
    <col min="15623" max="15623" width="10.42578125" style="495" bestFit="1" customWidth="1"/>
    <col min="15624" max="15624" width="15.85546875" style="495" bestFit="1" customWidth="1"/>
    <col min="15625" max="15625" width="13.7109375" style="495" bestFit="1" customWidth="1"/>
    <col min="15626" max="15876" width="9.140625" style="495"/>
    <col min="15877" max="15877" width="13" style="495" customWidth="1"/>
    <col min="15878" max="15878" width="14.42578125" style="495" customWidth="1"/>
    <col min="15879" max="15879" width="10.42578125" style="495" bestFit="1" customWidth="1"/>
    <col min="15880" max="15880" width="15.85546875" style="495" bestFit="1" customWidth="1"/>
    <col min="15881" max="15881" width="13.7109375" style="495" bestFit="1" customWidth="1"/>
    <col min="15882" max="16132" width="9.140625" style="495"/>
    <col min="16133" max="16133" width="13" style="495" customWidth="1"/>
    <col min="16134" max="16134" width="14.42578125" style="495" customWidth="1"/>
    <col min="16135" max="16135" width="10.42578125" style="495" bestFit="1" customWidth="1"/>
    <col min="16136" max="16136" width="15.85546875" style="495" bestFit="1" customWidth="1"/>
    <col min="16137" max="16137" width="13.7109375" style="495" bestFit="1" customWidth="1"/>
    <col min="16138" max="16384" width="9.140625" style="495"/>
  </cols>
  <sheetData>
    <row r="1" spans="1:10" ht="13.5" thickBot="1" x14ac:dyDescent="0.25">
      <c r="B1" s="924" t="s">
        <v>749</v>
      </c>
      <c r="C1" s="925"/>
      <c r="D1" s="925"/>
      <c r="E1" s="925"/>
      <c r="F1" s="925"/>
      <c r="G1" s="926"/>
      <c r="I1" s="646" t="s">
        <v>820</v>
      </c>
      <c r="J1" s="591"/>
    </row>
    <row r="3" spans="1:10" ht="13.5" thickBot="1" x14ac:dyDescent="0.25"/>
    <row r="4" spans="1:10" ht="13.5" thickBot="1" x14ac:dyDescent="0.25">
      <c r="A4" s="927" t="s">
        <v>7</v>
      </c>
      <c r="B4" s="928"/>
      <c r="C4" s="928"/>
      <c r="D4" s="928"/>
      <c r="E4" s="929"/>
      <c r="F4" s="593" t="s">
        <v>316</v>
      </c>
      <c r="G4" s="593" t="s">
        <v>317</v>
      </c>
      <c r="H4" s="594" t="s">
        <v>189</v>
      </c>
      <c r="I4" s="595" t="s">
        <v>750</v>
      </c>
    </row>
    <row r="5" spans="1:10" ht="13.5" thickBot="1" x14ac:dyDescent="0.25">
      <c r="A5" s="883" t="s">
        <v>318</v>
      </c>
      <c r="B5" s="884"/>
      <c r="C5" s="884"/>
      <c r="D5" s="884"/>
      <c r="E5" s="885"/>
      <c r="F5" s="596">
        <f>'[6]bértábla+dologi'!$C$7</f>
        <v>31121100</v>
      </c>
      <c r="G5" s="596">
        <v>0</v>
      </c>
      <c r="H5" s="596">
        <f t="shared" ref="H5:H12" si="0">F5+G5</f>
        <v>31121100</v>
      </c>
      <c r="I5" s="596"/>
    </row>
    <row r="6" spans="1:10" ht="13.5" thickBot="1" x14ac:dyDescent="0.25">
      <c r="A6" s="883" t="s">
        <v>319</v>
      </c>
      <c r="B6" s="884"/>
      <c r="C6" s="884"/>
      <c r="D6" s="884"/>
      <c r="E6" s="885"/>
      <c r="F6" s="596">
        <f>'[6]bértábla+dologi'!$C$8</f>
        <v>800000</v>
      </c>
      <c r="G6" s="596">
        <v>0</v>
      </c>
      <c r="H6" s="596">
        <f t="shared" si="0"/>
        <v>800000</v>
      </c>
      <c r="I6" s="596"/>
    </row>
    <row r="7" spans="1:10" ht="13.5" thickBot="1" x14ac:dyDescent="0.25">
      <c r="A7" s="883" t="s">
        <v>320</v>
      </c>
      <c r="B7" s="884"/>
      <c r="C7" s="884"/>
      <c r="D7" s="884"/>
      <c r="E7" s="885"/>
      <c r="F7" s="596">
        <f>'[6]bértábla+dologi'!$C$9</f>
        <v>1509592</v>
      </c>
      <c r="G7" s="596">
        <v>0</v>
      </c>
      <c r="H7" s="596">
        <f t="shared" si="0"/>
        <v>1509592</v>
      </c>
      <c r="I7" s="596">
        <v>320000</v>
      </c>
    </row>
    <row r="8" spans="1:10" ht="13.5" thickBot="1" x14ac:dyDescent="0.25">
      <c r="A8" s="883" t="s">
        <v>321</v>
      </c>
      <c r="B8" s="884"/>
      <c r="C8" s="884"/>
      <c r="D8" s="884"/>
      <c r="E8" s="885"/>
      <c r="F8" s="596">
        <f>'[6]bértábla+dologi'!$C$10</f>
        <v>288960</v>
      </c>
      <c r="G8" s="596">
        <v>0</v>
      </c>
      <c r="H8" s="596">
        <f t="shared" si="0"/>
        <v>288960</v>
      </c>
      <c r="I8" s="596"/>
    </row>
    <row r="9" spans="1:10" ht="13.5" thickBot="1" x14ac:dyDescent="0.25">
      <c r="A9" s="883" t="s">
        <v>392</v>
      </c>
      <c r="B9" s="884"/>
      <c r="C9" s="884"/>
      <c r="D9" s="884"/>
      <c r="E9" s="885"/>
      <c r="F9" s="596">
        <f>'[6]bértábla+dologi'!$C$11</f>
        <v>150000</v>
      </c>
      <c r="G9" s="596">
        <v>0</v>
      </c>
      <c r="H9" s="596">
        <f t="shared" si="0"/>
        <v>150000</v>
      </c>
      <c r="I9" s="596"/>
    </row>
    <row r="10" spans="1:10" s="598" customFormat="1" ht="13.5" thickBot="1" x14ac:dyDescent="0.25">
      <c r="A10" s="930" t="s">
        <v>322</v>
      </c>
      <c r="B10" s="931"/>
      <c r="C10" s="931"/>
      <c r="D10" s="931"/>
      <c r="E10" s="932"/>
      <c r="F10" s="597">
        <f>F5+F6+F7+F8+F9</f>
        <v>33869652</v>
      </c>
      <c r="G10" s="597">
        <v>0</v>
      </c>
      <c r="H10" s="597">
        <f t="shared" si="0"/>
        <v>33869652</v>
      </c>
      <c r="I10" s="597"/>
    </row>
    <row r="11" spans="1:10" s="598" customFormat="1" ht="13.5" thickBot="1" x14ac:dyDescent="0.25">
      <c r="A11" s="883" t="s">
        <v>751</v>
      </c>
      <c r="B11" s="884"/>
      <c r="C11" s="884"/>
      <c r="D11" s="884"/>
      <c r="E11" s="885"/>
      <c r="F11" s="597">
        <f>'[6]bértábla+dologi'!$C$12</f>
        <v>700000</v>
      </c>
      <c r="G11" s="597">
        <v>0</v>
      </c>
      <c r="H11" s="596">
        <f t="shared" si="0"/>
        <v>700000</v>
      </c>
      <c r="I11" s="596">
        <f t="shared" ref="I11:I37" si="1">H11</f>
        <v>700000</v>
      </c>
    </row>
    <row r="12" spans="1:10" s="598" customFormat="1" ht="13.5" thickBot="1" x14ac:dyDescent="0.25">
      <c r="A12" s="883" t="s">
        <v>752</v>
      </c>
      <c r="B12" s="884"/>
      <c r="C12" s="884"/>
      <c r="D12" s="884"/>
      <c r="E12" s="885"/>
      <c r="F12" s="597">
        <f>'[6]bértábla+dologi'!$C$13</f>
        <v>20000</v>
      </c>
      <c r="G12" s="597">
        <v>0</v>
      </c>
      <c r="H12" s="596">
        <f t="shared" si="0"/>
        <v>20000</v>
      </c>
      <c r="I12" s="596"/>
    </row>
    <row r="13" spans="1:10" s="598" customFormat="1" ht="13.5" thickBot="1" x14ac:dyDescent="0.25">
      <c r="A13" s="930" t="s">
        <v>327</v>
      </c>
      <c r="B13" s="931"/>
      <c r="C13" s="931"/>
      <c r="D13" s="931"/>
      <c r="E13" s="932"/>
      <c r="F13" s="597">
        <f>F10+F11+F12</f>
        <v>34589652</v>
      </c>
      <c r="G13" s="597">
        <f>G10</f>
        <v>0</v>
      </c>
      <c r="H13" s="597">
        <f>F13</f>
        <v>34589652</v>
      </c>
      <c r="I13" s="597">
        <f>I11+I7</f>
        <v>1020000</v>
      </c>
    </row>
    <row r="14" spans="1:10" s="598" customFormat="1" ht="13.5" thickBot="1" x14ac:dyDescent="0.25">
      <c r="A14" s="921" t="s">
        <v>328</v>
      </c>
      <c r="B14" s="922"/>
      <c r="C14" s="922"/>
      <c r="D14" s="922"/>
      <c r="E14" s="923"/>
      <c r="F14" s="597">
        <f>'[6]bértábla+dologi'!$C$14</f>
        <v>6971420.9400000004</v>
      </c>
      <c r="G14" s="597">
        <f>'[3]bér+járulék'!E42</f>
        <v>0</v>
      </c>
      <c r="H14" s="597">
        <f>F14+G14</f>
        <v>6971420.9400000004</v>
      </c>
      <c r="I14" s="597">
        <f>I13*19.5%</f>
        <v>198900</v>
      </c>
    </row>
    <row r="15" spans="1:10" ht="13.5" thickBot="1" x14ac:dyDescent="0.25">
      <c r="A15" s="883" t="s">
        <v>393</v>
      </c>
      <c r="B15" s="884"/>
      <c r="C15" s="884"/>
      <c r="D15" s="884"/>
      <c r="E15" s="885"/>
      <c r="F15" s="596">
        <v>60686</v>
      </c>
      <c r="G15" s="596">
        <f>F15*5%</f>
        <v>3034.3</v>
      </c>
      <c r="H15" s="596">
        <f>F15+G15</f>
        <v>63720.3</v>
      </c>
      <c r="I15" s="596"/>
    </row>
    <row r="16" spans="1:10" ht="13.5" thickBot="1" x14ac:dyDescent="0.25">
      <c r="A16" s="930" t="s">
        <v>331</v>
      </c>
      <c r="B16" s="931"/>
      <c r="C16" s="931"/>
      <c r="D16" s="931"/>
      <c r="E16" s="932"/>
      <c r="F16" s="597">
        <f>F15</f>
        <v>60686</v>
      </c>
      <c r="G16" s="597">
        <f>G15</f>
        <v>3034.3</v>
      </c>
      <c r="H16" s="597">
        <f>H15</f>
        <v>63720.3</v>
      </c>
      <c r="I16" s="596"/>
    </row>
    <row r="17" spans="1:9" ht="13.5" thickBot="1" x14ac:dyDescent="0.25">
      <c r="A17" s="883" t="s">
        <v>332</v>
      </c>
      <c r="B17" s="884"/>
      <c r="C17" s="884"/>
      <c r="D17" s="884"/>
      <c r="E17" s="885"/>
      <c r="F17" s="596">
        <v>455000</v>
      </c>
      <c r="G17" s="596">
        <v>0</v>
      </c>
      <c r="H17" s="596">
        <f>F17+G17</f>
        <v>455000</v>
      </c>
      <c r="I17" s="596"/>
    </row>
    <row r="18" spans="1:9" ht="13.5" thickBot="1" x14ac:dyDescent="0.25">
      <c r="A18" s="883" t="s">
        <v>333</v>
      </c>
      <c r="B18" s="884"/>
      <c r="C18" s="884"/>
      <c r="D18" s="884"/>
      <c r="E18" s="885"/>
      <c r="F18" s="596">
        <v>300000</v>
      </c>
      <c r="G18" s="596">
        <f>F18*27%</f>
        <v>81000</v>
      </c>
      <c r="H18" s="596">
        <f>F18+G18</f>
        <v>381000</v>
      </c>
      <c r="I18" s="596"/>
    </row>
    <row r="19" spans="1:9" s="598" customFormat="1" ht="13.5" thickBot="1" x14ac:dyDescent="0.25">
      <c r="A19" s="930" t="s">
        <v>337</v>
      </c>
      <c r="B19" s="931"/>
      <c r="C19" s="931"/>
      <c r="D19" s="931"/>
      <c r="E19" s="932"/>
      <c r="F19" s="597">
        <f>F17+F18</f>
        <v>755000</v>
      </c>
      <c r="G19" s="597">
        <f t="shared" ref="G19:H19" si="2">G17+G18</f>
        <v>81000</v>
      </c>
      <c r="H19" s="597">
        <f t="shared" si="2"/>
        <v>836000</v>
      </c>
      <c r="I19" s="597"/>
    </row>
    <row r="20" spans="1:9" s="598" customFormat="1" ht="13.5" thickBot="1" x14ac:dyDescent="0.25">
      <c r="A20" s="930" t="s">
        <v>338</v>
      </c>
      <c r="B20" s="931"/>
      <c r="C20" s="931"/>
      <c r="D20" s="931"/>
      <c r="E20" s="932"/>
      <c r="F20" s="597">
        <f>F16+F19</f>
        <v>815686</v>
      </c>
      <c r="G20" s="597">
        <f>G16+G19</f>
        <v>84034.3</v>
      </c>
      <c r="H20" s="597">
        <f>H16+H19</f>
        <v>899720.3</v>
      </c>
      <c r="I20" s="596"/>
    </row>
    <row r="21" spans="1:9" ht="13.5" thickBot="1" x14ac:dyDescent="0.25">
      <c r="A21" s="883" t="s">
        <v>394</v>
      </c>
      <c r="B21" s="884"/>
      <c r="C21" s="884"/>
      <c r="D21" s="884"/>
      <c r="E21" s="885"/>
      <c r="F21" s="596">
        <v>84000</v>
      </c>
      <c r="G21" s="596">
        <f t="shared" ref="G21:G25" si="3">F21*27%</f>
        <v>22680</v>
      </c>
      <c r="H21" s="596">
        <f t="shared" ref="H21:H26" si="4">F21+G21</f>
        <v>106680</v>
      </c>
      <c r="I21" s="596"/>
    </row>
    <row r="22" spans="1:9" ht="13.5" thickBot="1" x14ac:dyDescent="0.25">
      <c r="A22" s="883" t="s">
        <v>395</v>
      </c>
      <c r="B22" s="884"/>
      <c r="C22" s="884"/>
      <c r="D22" s="884"/>
      <c r="E22" s="885"/>
      <c r="F22" s="596">
        <f>28000*12</f>
        <v>336000</v>
      </c>
      <c r="G22" s="596">
        <f t="shared" si="3"/>
        <v>90720</v>
      </c>
      <c r="H22" s="596">
        <f t="shared" si="4"/>
        <v>426720</v>
      </c>
      <c r="I22" s="596"/>
    </row>
    <row r="23" spans="1:9" ht="13.5" thickBot="1" x14ac:dyDescent="0.25">
      <c r="A23" s="883" t="s">
        <v>396</v>
      </c>
      <c r="B23" s="884"/>
      <c r="C23" s="884"/>
      <c r="D23" s="884"/>
      <c r="E23" s="885"/>
      <c r="F23" s="596">
        <f>15000*12</f>
        <v>180000</v>
      </c>
      <c r="G23" s="596">
        <f t="shared" si="3"/>
        <v>48600</v>
      </c>
      <c r="H23" s="596">
        <f t="shared" si="4"/>
        <v>228600</v>
      </c>
      <c r="I23" s="596"/>
    </row>
    <row r="24" spans="1:9" ht="13.5" thickBot="1" x14ac:dyDescent="0.25">
      <c r="A24" s="883" t="s">
        <v>753</v>
      </c>
      <c r="B24" s="884"/>
      <c r="C24" s="884"/>
      <c r="D24" s="884"/>
      <c r="E24" s="885"/>
      <c r="F24" s="596">
        <f>28000*12</f>
        <v>336000</v>
      </c>
      <c r="G24" s="596">
        <v>0</v>
      </c>
      <c r="H24" s="596">
        <f t="shared" si="4"/>
        <v>336000</v>
      </c>
      <c r="I24" s="596">
        <f t="shared" si="1"/>
        <v>336000</v>
      </c>
    </row>
    <row r="25" spans="1:9" ht="13.5" thickBot="1" x14ac:dyDescent="0.25">
      <c r="A25" s="883" t="s">
        <v>754</v>
      </c>
      <c r="B25" s="884"/>
      <c r="C25" s="884"/>
      <c r="D25" s="884"/>
      <c r="E25" s="885"/>
      <c r="F25" s="596">
        <f>9449*12</f>
        <v>113388</v>
      </c>
      <c r="G25" s="596">
        <f t="shared" si="3"/>
        <v>30614.760000000002</v>
      </c>
      <c r="H25" s="596">
        <f>F25+G25</f>
        <v>144002.76</v>
      </c>
      <c r="I25" s="596">
        <f t="shared" si="1"/>
        <v>144002.76</v>
      </c>
    </row>
    <row r="26" spans="1:9" s="598" customFormat="1" ht="13.5" thickBot="1" x14ac:dyDescent="0.25">
      <c r="A26" s="883" t="s">
        <v>339</v>
      </c>
      <c r="B26" s="884"/>
      <c r="C26" s="884"/>
      <c r="D26" s="884"/>
      <c r="E26" s="885"/>
      <c r="F26" s="596">
        <f>4087*12+6500*12</f>
        <v>127044</v>
      </c>
      <c r="G26" s="596">
        <f>F26*5%</f>
        <v>6352.2000000000007</v>
      </c>
      <c r="H26" s="596">
        <f t="shared" si="4"/>
        <v>133396.20000000001</v>
      </c>
      <c r="I26" s="596"/>
    </row>
    <row r="27" spans="1:9" ht="13.5" thickBot="1" x14ac:dyDescent="0.25">
      <c r="A27" s="930" t="s">
        <v>340</v>
      </c>
      <c r="B27" s="931"/>
      <c r="C27" s="931"/>
      <c r="D27" s="931"/>
      <c r="E27" s="932"/>
      <c r="F27" s="597">
        <f>F21+F22+F23+F24+F25+F26</f>
        <v>1176432</v>
      </c>
      <c r="G27" s="597">
        <f t="shared" ref="G27:I27" si="5">G21+G22+G23+G24+G25+G26</f>
        <v>198966.96000000002</v>
      </c>
      <c r="H27" s="597">
        <f t="shared" si="5"/>
        <v>1375398.96</v>
      </c>
      <c r="I27" s="597">
        <f t="shared" si="5"/>
        <v>480002.76</v>
      </c>
    </row>
    <row r="28" spans="1:9" s="598" customFormat="1" ht="13.5" thickBot="1" x14ac:dyDescent="0.25">
      <c r="A28" s="883" t="s">
        <v>341</v>
      </c>
      <c r="B28" s="884"/>
      <c r="C28" s="884"/>
      <c r="D28" s="884"/>
      <c r="E28" s="885"/>
      <c r="F28" s="596">
        <f>11152*12+4497*12</f>
        <v>187788</v>
      </c>
      <c r="G28" s="596">
        <f>F28*27%</f>
        <v>50702.76</v>
      </c>
      <c r="H28" s="596">
        <f>F28+G28</f>
        <v>238490.76</v>
      </c>
      <c r="I28" s="596"/>
    </row>
    <row r="29" spans="1:9" s="598" customFormat="1" ht="13.5" thickBot="1" x14ac:dyDescent="0.25">
      <c r="A29" s="930" t="s">
        <v>342</v>
      </c>
      <c r="B29" s="931"/>
      <c r="C29" s="931"/>
      <c r="D29" s="931"/>
      <c r="E29" s="932"/>
      <c r="F29" s="597">
        <f>F28</f>
        <v>187788</v>
      </c>
      <c r="G29" s="597">
        <f>G28</f>
        <v>50702.76</v>
      </c>
      <c r="H29" s="597">
        <f>H28</f>
        <v>238490.76</v>
      </c>
      <c r="I29" s="596"/>
    </row>
    <row r="30" spans="1:9" ht="13.5" thickBot="1" x14ac:dyDescent="0.25">
      <c r="A30" s="930" t="s">
        <v>343</v>
      </c>
      <c r="B30" s="931"/>
      <c r="C30" s="931"/>
      <c r="D30" s="931"/>
      <c r="E30" s="932"/>
      <c r="F30" s="597">
        <f>F29+F27</f>
        <v>1364220</v>
      </c>
      <c r="G30" s="597">
        <f>G29+G27</f>
        <v>249669.72000000003</v>
      </c>
      <c r="H30" s="597">
        <f>H29+H27</f>
        <v>1613889.72</v>
      </c>
      <c r="I30" s="599">
        <f>I27</f>
        <v>480002.76</v>
      </c>
    </row>
    <row r="31" spans="1:9" s="598" customFormat="1" ht="13.5" thickBot="1" x14ac:dyDescent="0.25">
      <c r="A31" s="933" t="s">
        <v>397</v>
      </c>
      <c r="B31" s="934"/>
      <c r="C31" s="934"/>
      <c r="D31" s="934"/>
      <c r="E31" s="935"/>
      <c r="F31" s="596">
        <f>1181*12</f>
        <v>14172</v>
      </c>
      <c r="G31" s="596">
        <v>3828</v>
      </c>
      <c r="H31" s="596">
        <f>F31+G31</f>
        <v>18000</v>
      </c>
      <c r="I31" s="596"/>
    </row>
    <row r="32" spans="1:9" ht="13.5" thickBot="1" x14ac:dyDescent="0.25">
      <c r="A32" s="927" t="s">
        <v>398</v>
      </c>
      <c r="B32" s="928"/>
      <c r="C32" s="928"/>
      <c r="D32" s="928"/>
      <c r="E32" s="929"/>
      <c r="F32" s="597">
        <f>F31</f>
        <v>14172</v>
      </c>
      <c r="G32" s="597">
        <f>G31</f>
        <v>3828</v>
      </c>
      <c r="H32" s="597">
        <f>H31</f>
        <v>18000</v>
      </c>
      <c r="I32" s="596"/>
    </row>
    <row r="33" spans="1:9" ht="13.5" thickBot="1" x14ac:dyDescent="0.25">
      <c r="A33" s="933" t="s">
        <v>345</v>
      </c>
      <c r="B33" s="934"/>
      <c r="C33" s="934"/>
      <c r="D33" s="934"/>
      <c r="E33" s="935"/>
      <c r="F33" s="596">
        <v>20000</v>
      </c>
      <c r="G33" s="596">
        <f>F33*27%</f>
        <v>5400</v>
      </c>
      <c r="H33" s="596">
        <f>F33+G33</f>
        <v>25400</v>
      </c>
      <c r="I33" s="596"/>
    </row>
    <row r="34" spans="1:9" ht="13.5" thickBot="1" x14ac:dyDescent="0.25">
      <c r="A34" s="933" t="s">
        <v>399</v>
      </c>
      <c r="B34" s="934"/>
      <c r="C34" s="934"/>
      <c r="D34" s="934"/>
      <c r="E34" s="935"/>
      <c r="F34" s="596">
        <f>8*8000</f>
        <v>64000</v>
      </c>
      <c r="G34" s="596">
        <v>0</v>
      </c>
      <c r="H34" s="596">
        <f>F34+G34</f>
        <v>64000</v>
      </c>
      <c r="I34" s="596"/>
    </row>
    <row r="35" spans="1:9" s="598" customFormat="1" ht="13.5" thickBot="1" x14ac:dyDescent="0.25">
      <c r="A35" s="933" t="s">
        <v>400</v>
      </c>
      <c r="B35" s="934"/>
      <c r="C35" s="934"/>
      <c r="D35" s="934"/>
      <c r="E35" s="935"/>
      <c r="F35" s="596">
        <f>250000+6496*4</f>
        <v>275984</v>
      </c>
      <c r="G35" s="596">
        <f>1754*4</f>
        <v>7016</v>
      </c>
      <c r="H35" s="596">
        <f>F35+G35</f>
        <v>283000</v>
      </c>
      <c r="I35" s="596"/>
    </row>
    <row r="36" spans="1:9" s="598" customFormat="1" ht="13.5" thickBot="1" x14ac:dyDescent="0.25">
      <c r="A36" s="933" t="s">
        <v>401</v>
      </c>
      <c r="B36" s="934"/>
      <c r="C36" s="934"/>
      <c r="D36" s="934"/>
      <c r="E36" s="935"/>
      <c r="F36" s="596">
        <f>20000*12</f>
        <v>240000</v>
      </c>
      <c r="G36" s="596">
        <v>0</v>
      </c>
      <c r="H36" s="596">
        <f>F36+G36</f>
        <v>240000</v>
      </c>
      <c r="I36" s="596"/>
    </row>
    <row r="37" spans="1:9" s="598" customFormat="1" ht="13.5" thickBot="1" x14ac:dyDescent="0.25">
      <c r="A37" s="781" t="s">
        <v>755</v>
      </c>
      <c r="B37" s="934"/>
      <c r="C37" s="934"/>
      <c r="D37" s="934"/>
      <c r="E37" s="935"/>
      <c r="F37" s="596">
        <v>228347</v>
      </c>
      <c r="G37" s="596">
        <f>F37*27%-1</f>
        <v>61652.69</v>
      </c>
      <c r="H37" s="596">
        <f>F37+G37</f>
        <v>289999.69</v>
      </c>
      <c r="I37" s="596">
        <f t="shared" si="1"/>
        <v>289999.69</v>
      </c>
    </row>
    <row r="38" spans="1:9" ht="13.5" thickBot="1" x14ac:dyDescent="0.25">
      <c r="A38" s="927" t="s">
        <v>353</v>
      </c>
      <c r="B38" s="928"/>
      <c r="C38" s="928"/>
      <c r="D38" s="928"/>
      <c r="E38" s="929"/>
      <c r="F38" s="597">
        <f>F35+F36+F37</f>
        <v>744331</v>
      </c>
      <c r="G38" s="597">
        <f t="shared" ref="G38:I38" si="6">G35+G36+G37</f>
        <v>68668.69</v>
      </c>
      <c r="H38" s="597">
        <f t="shared" si="6"/>
        <v>812999.69</v>
      </c>
      <c r="I38" s="597">
        <f t="shared" si="6"/>
        <v>289999.69</v>
      </c>
    </row>
    <row r="39" spans="1:9" s="598" customFormat="1" ht="13.5" thickBot="1" x14ac:dyDescent="0.25">
      <c r="A39" s="927" t="s">
        <v>354</v>
      </c>
      <c r="B39" s="928"/>
      <c r="C39" s="928"/>
      <c r="D39" s="928"/>
      <c r="E39" s="929"/>
      <c r="F39" s="597">
        <f>F32+F33+F34+F38</f>
        <v>842503</v>
      </c>
      <c r="G39" s="597">
        <f t="shared" ref="G39:I39" si="7">G32+G33+G34+G38</f>
        <v>77896.69</v>
      </c>
      <c r="H39" s="597">
        <f t="shared" si="7"/>
        <v>920399.69</v>
      </c>
      <c r="I39" s="597">
        <f t="shared" si="7"/>
        <v>289999.69</v>
      </c>
    </row>
    <row r="40" spans="1:9" ht="13.5" thickBot="1" x14ac:dyDescent="0.25">
      <c r="A40" s="933" t="s">
        <v>355</v>
      </c>
      <c r="B40" s="934"/>
      <c r="C40" s="934"/>
      <c r="D40" s="934"/>
      <c r="E40" s="935"/>
      <c r="F40" s="596">
        <v>70000</v>
      </c>
      <c r="G40" s="596">
        <v>0</v>
      </c>
      <c r="H40" s="596">
        <f>F40+G40</f>
        <v>70000</v>
      </c>
      <c r="I40" s="596"/>
    </row>
    <row r="41" spans="1:9" ht="13.5" thickBot="1" x14ac:dyDescent="0.25">
      <c r="A41" s="927" t="s">
        <v>357</v>
      </c>
      <c r="B41" s="928"/>
      <c r="C41" s="928"/>
      <c r="D41" s="928"/>
      <c r="E41" s="929"/>
      <c r="F41" s="597">
        <f>F40</f>
        <v>70000</v>
      </c>
      <c r="G41" s="597">
        <f>G40</f>
        <v>0</v>
      </c>
      <c r="H41" s="597">
        <f>H40</f>
        <v>70000</v>
      </c>
      <c r="I41" s="596"/>
    </row>
    <row r="42" spans="1:9" s="598" customFormat="1" ht="13.5" thickBot="1" x14ac:dyDescent="0.25">
      <c r="A42" s="933" t="s">
        <v>358</v>
      </c>
      <c r="B42" s="934"/>
      <c r="C42" s="934"/>
      <c r="D42" s="934"/>
      <c r="E42" s="935"/>
      <c r="F42" s="596">
        <v>0</v>
      </c>
      <c r="G42" s="596">
        <f>G41+G39+G30+G20</f>
        <v>411600.71</v>
      </c>
      <c r="H42" s="596">
        <f>G42</f>
        <v>411600.71</v>
      </c>
      <c r="I42" s="596">
        <f>G25+G37</f>
        <v>92267.450000000012</v>
      </c>
    </row>
    <row r="43" spans="1:9" s="598" customFormat="1" ht="13.5" thickBot="1" x14ac:dyDescent="0.25">
      <c r="A43" s="933" t="s">
        <v>361</v>
      </c>
      <c r="B43" s="934"/>
      <c r="C43" s="934"/>
      <c r="D43" s="934"/>
      <c r="E43" s="935"/>
      <c r="F43" s="596">
        <v>20000</v>
      </c>
      <c r="G43" s="596">
        <v>0</v>
      </c>
      <c r="H43" s="596">
        <f>F43+G43</f>
        <v>20000</v>
      </c>
      <c r="I43" s="596"/>
    </row>
    <row r="44" spans="1:9" s="598" customFormat="1" ht="13.5" thickBot="1" x14ac:dyDescent="0.25">
      <c r="A44" s="927" t="s">
        <v>359</v>
      </c>
      <c r="B44" s="928"/>
      <c r="C44" s="928"/>
      <c r="D44" s="928"/>
      <c r="E44" s="929"/>
      <c r="F44" s="597">
        <f>F42+F43</f>
        <v>20000</v>
      </c>
      <c r="G44" s="597">
        <f>G42</f>
        <v>411600.71</v>
      </c>
      <c r="H44" s="597">
        <f>H42+H43</f>
        <v>431600.71</v>
      </c>
      <c r="I44" s="599">
        <f>I42</f>
        <v>92267.450000000012</v>
      </c>
    </row>
    <row r="45" spans="1:9" ht="13.5" thickBot="1" x14ac:dyDescent="0.25">
      <c r="A45" s="927" t="s">
        <v>360</v>
      </c>
      <c r="B45" s="928"/>
      <c r="C45" s="928"/>
      <c r="D45" s="928"/>
      <c r="E45" s="929"/>
      <c r="F45" s="597">
        <f>F20+F30+F39+F41+F44</f>
        <v>3112409</v>
      </c>
      <c r="G45" s="597">
        <f>G44</f>
        <v>411600.71</v>
      </c>
      <c r="H45" s="597">
        <f>H20+H30+H39+H41+H42+H43-H42</f>
        <v>3524009.71</v>
      </c>
      <c r="I45" s="597">
        <f>I27+I3+I44+I39</f>
        <v>862269.89999999991</v>
      </c>
    </row>
    <row r="46" spans="1:9" ht="13.5" thickBot="1" x14ac:dyDescent="0.25">
      <c r="A46" s="933" t="s">
        <v>648</v>
      </c>
      <c r="B46" s="934"/>
      <c r="C46" s="934"/>
      <c r="D46" s="934"/>
      <c r="E46" s="935"/>
      <c r="F46" s="596">
        <f>8425*8</f>
        <v>67400</v>
      </c>
      <c r="G46" s="596">
        <f>2275*8</f>
        <v>18200</v>
      </c>
      <c r="H46" s="596">
        <f>F46+G46</f>
        <v>85600</v>
      </c>
      <c r="I46" s="596">
        <f>H46</f>
        <v>85600</v>
      </c>
    </row>
    <row r="47" spans="1:9" ht="13.5" thickBot="1" x14ac:dyDescent="0.25">
      <c r="A47" s="933" t="s">
        <v>756</v>
      </c>
      <c r="B47" s="934"/>
      <c r="C47" s="934"/>
      <c r="D47" s="934"/>
      <c r="E47" s="935"/>
      <c r="F47" s="596">
        <v>229134</v>
      </c>
      <c r="G47" s="596">
        <v>61866</v>
      </c>
      <c r="H47" s="596">
        <f>F47+G47</f>
        <v>291000</v>
      </c>
      <c r="I47" s="596">
        <f>H47</f>
        <v>291000</v>
      </c>
    </row>
    <row r="48" spans="1:9" s="598" customFormat="1" ht="13.5" thickBot="1" x14ac:dyDescent="0.25">
      <c r="A48" s="927" t="s">
        <v>757</v>
      </c>
      <c r="B48" s="928"/>
      <c r="C48" s="928"/>
      <c r="D48" s="928"/>
      <c r="E48" s="929"/>
      <c r="F48" s="597">
        <f>F46+F47</f>
        <v>296534</v>
      </c>
      <c r="G48" s="597">
        <f t="shared" ref="G48:I48" si="8">G46+G47</f>
        <v>80066</v>
      </c>
      <c r="H48" s="597">
        <f t="shared" si="8"/>
        <v>376600</v>
      </c>
      <c r="I48" s="597">
        <f t="shared" si="8"/>
        <v>376600</v>
      </c>
    </row>
    <row r="49" spans="1:9" s="459" customFormat="1" ht="13.5" thickBot="1" x14ac:dyDescent="0.25">
      <c r="A49" s="927" t="s">
        <v>402</v>
      </c>
      <c r="B49" s="928"/>
      <c r="C49" s="928"/>
      <c r="D49" s="928"/>
      <c r="E49" s="929"/>
      <c r="F49" s="597">
        <f>F45+F14+F13+F48</f>
        <v>44970015.939999998</v>
      </c>
      <c r="G49" s="597">
        <f>G45+G14+G13+G48</f>
        <v>491666.71</v>
      </c>
      <c r="H49" s="597">
        <f>H13+H14+H45+H48</f>
        <v>45461682.649999999</v>
      </c>
      <c r="I49" s="597">
        <f>I13+I14+I45+I48</f>
        <v>2457769.9</v>
      </c>
    </row>
    <row r="50" spans="1:9" x14ac:dyDescent="0.2">
      <c r="H50" s="592"/>
    </row>
  </sheetData>
  <mergeCells count="47">
    <mergeCell ref="A45:E45"/>
    <mergeCell ref="A46:E46"/>
    <mergeCell ref="A47:E47"/>
    <mergeCell ref="A48:E48"/>
    <mergeCell ref="A49:E49"/>
    <mergeCell ref="A40:E40"/>
    <mergeCell ref="A41:E41"/>
    <mergeCell ref="A42:E42"/>
    <mergeCell ref="A43:E43"/>
    <mergeCell ref="A44:E44"/>
    <mergeCell ref="A39:E39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27:E27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5:E25"/>
    <mergeCell ref="A26:E26"/>
    <mergeCell ref="A24:E24"/>
    <mergeCell ref="A14:E14"/>
    <mergeCell ref="B1:G1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workbookViewId="0">
      <selection activeCell="G3" sqref="G3"/>
    </sheetView>
  </sheetViews>
  <sheetFormatPr defaultRowHeight="12.75" x14ac:dyDescent="0.2"/>
  <cols>
    <col min="1" max="3" width="9.140625" style="559"/>
    <col min="4" max="4" width="19.5703125" style="559" customWidth="1"/>
    <col min="5" max="5" width="14" style="559" bestFit="1" customWidth="1"/>
    <col min="6" max="6" width="9.140625" style="559"/>
    <col min="7" max="7" width="15.5703125" style="559" customWidth="1"/>
    <col min="8" max="9" width="9.140625" style="559"/>
    <col min="10" max="10" width="11.140625" style="559" bestFit="1" customWidth="1"/>
    <col min="11" max="11" width="14" style="559" bestFit="1" customWidth="1"/>
    <col min="12" max="16384" width="9.140625" style="559"/>
  </cols>
  <sheetData>
    <row r="2" spans="1:11" x14ac:dyDescent="0.2">
      <c r="B2" s="936" t="s">
        <v>744</v>
      </c>
      <c r="C2" s="937"/>
      <c r="D2" s="937"/>
      <c r="E2" s="937"/>
      <c r="G2" s="559" t="s">
        <v>821</v>
      </c>
    </row>
    <row r="4" spans="1:11" ht="13.5" thickBot="1" x14ac:dyDescent="0.25"/>
    <row r="5" spans="1:11" ht="13.5" thickBot="1" x14ac:dyDescent="0.25">
      <c r="C5" s="938" t="s">
        <v>745</v>
      </c>
      <c r="D5" s="939"/>
      <c r="H5" s="938" t="s">
        <v>746</v>
      </c>
      <c r="I5" s="940"/>
      <c r="J5" s="939"/>
    </row>
    <row r="6" spans="1:11" ht="15.75" thickBot="1" x14ac:dyDescent="0.3">
      <c r="A6" s="868" t="s">
        <v>619</v>
      </c>
      <c r="B6" s="869"/>
      <c r="C6" s="869"/>
      <c r="D6" s="870"/>
      <c r="E6" s="507" t="s">
        <v>316</v>
      </c>
      <c r="G6" s="868" t="s">
        <v>619</v>
      </c>
      <c r="H6" s="869"/>
      <c r="I6" s="869"/>
      <c r="J6" s="870"/>
      <c r="K6" s="507" t="s">
        <v>316</v>
      </c>
    </row>
    <row r="7" spans="1:11" ht="15.75" thickBot="1" x14ac:dyDescent="0.3">
      <c r="A7" s="868" t="s">
        <v>620</v>
      </c>
      <c r="B7" s="869"/>
      <c r="C7" s="869"/>
      <c r="D7" s="870"/>
      <c r="E7" s="370">
        <v>32884400</v>
      </c>
      <c r="G7" s="868" t="s">
        <v>620</v>
      </c>
      <c r="H7" s="869"/>
      <c r="I7" s="869"/>
      <c r="J7" s="870"/>
      <c r="K7" s="370">
        <v>32334800</v>
      </c>
    </row>
    <row r="8" spans="1:11" ht="15.75" thickBot="1" x14ac:dyDescent="0.3">
      <c r="A8" s="781" t="s">
        <v>747</v>
      </c>
      <c r="B8" s="869"/>
      <c r="C8" s="869"/>
      <c r="D8" s="870"/>
      <c r="E8" s="370">
        <v>5744000</v>
      </c>
      <c r="G8" s="868" t="s">
        <v>621</v>
      </c>
      <c r="H8" s="869"/>
      <c r="I8" s="869"/>
      <c r="J8" s="870"/>
      <c r="K8" s="370">
        <f>K9+K10</f>
        <v>575944</v>
      </c>
    </row>
    <row r="9" spans="1:11" ht="15.75" thickBot="1" x14ac:dyDescent="0.3">
      <c r="A9" s="868" t="s">
        <v>748</v>
      </c>
      <c r="B9" s="869"/>
      <c r="C9" s="869"/>
      <c r="D9" s="870"/>
      <c r="E9" s="370">
        <f>E11+E10</f>
        <v>269381</v>
      </c>
      <c r="G9" s="868" t="s">
        <v>622</v>
      </c>
      <c r="H9" s="869"/>
      <c r="I9" s="869"/>
      <c r="J9" s="870"/>
      <c r="K9" s="508">
        <v>45750</v>
      </c>
    </row>
    <row r="10" spans="1:11" ht="15.75" thickBot="1" x14ac:dyDescent="0.3">
      <c r="A10" s="868" t="s">
        <v>622</v>
      </c>
      <c r="B10" s="869"/>
      <c r="C10" s="869"/>
      <c r="D10" s="870"/>
      <c r="E10" s="508">
        <v>915</v>
      </c>
      <c r="G10" s="868" t="s">
        <v>623</v>
      </c>
      <c r="H10" s="869"/>
      <c r="I10" s="869"/>
      <c r="J10" s="870"/>
      <c r="K10" s="508">
        <v>530194</v>
      </c>
    </row>
    <row r="11" spans="1:11" ht="19.5" thickBot="1" x14ac:dyDescent="0.35">
      <c r="A11" s="868" t="s">
        <v>623</v>
      </c>
      <c r="B11" s="869"/>
      <c r="C11" s="869"/>
      <c r="D11" s="870"/>
      <c r="E11" s="508">
        <v>268466</v>
      </c>
      <c r="G11" s="895" t="s">
        <v>624</v>
      </c>
      <c r="H11" s="896"/>
      <c r="I11" s="896"/>
      <c r="J11" s="897"/>
      <c r="K11" s="373">
        <f>K7+K8</f>
        <v>32910744</v>
      </c>
    </row>
    <row r="12" spans="1:11" ht="19.5" thickBot="1" x14ac:dyDescent="0.35">
      <c r="A12" s="895" t="s">
        <v>624</v>
      </c>
      <c r="B12" s="896"/>
      <c r="C12" s="896"/>
      <c r="D12" s="897"/>
      <c r="E12" s="373">
        <f>SUM(E7:E9)</f>
        <v>38897781</v>
      </c>
      <c r="G12" s="509"/>
      <c r="H12" s="509"/>
      <c r="I12" s="509"/>
      <c r="J12" s="509"/>
      <c r="K12" s="364"/>
    </row>
    <row r="13" spans="1:11" ht="15" x14ac:dyDescent="0.25">
      <c r="A13" s="509"/>
      <c r="B13" s="509"/>
      <c r="C13" s="509"/>
      <c r="D13" s="509"/>
      <c r="E13" s="364"/>
      <c r="G13"/>
      <c r="H13"/>
      <c r="I13"/>
      <c r="J13"/>
      <c r="K13" s="364"/>
    </row>
    <row r="14" spans="1:11" ht="15.75" thickBot="1" x14ac:dyDescent="0.3">
      <c r="A14"/>
      <c r="B14"/>
      <c r="C14"/>
      <c r="D14"/>
      <c r="E14" s="364"/>
      <c r="G14"/>
      <c r="H14"/>
      <c r="I14"/>
    </row>
    <row r="15" spans="1:11" ht="16.5" thickBot="1" x14ac:dyDescent="0.3">
      <c r="A15"/>
      <c r="B15"/>
      <c r="C15"/>
      <c r="D15" s="498" t="s">
        <v>625</v>
      </c>
      <c r="E15" s="371">
        <v>45461683</v>
      </c>
      <c r="G15"/>
      <c r="H15"/>
      <c r="I15"/>
      <c r="J15" s="498" t="s">
        <v>625</v>
      </c>
      <c r="K15" s="371">
        <v>39414315</v>
      </c>
    </row>
    <row r="16" spans="1:11" ht="15" x14ac:dyDescent="0.25">
      <c r="A16"/>
      <c r="B16"/>
      <c r="C16"/>
      <c r="D16"/>
      <c r="E16" s="364"/>
      <c r="G16"/>
      <c r="H16"/>
      <c r="I16"/>
      <c r="J16"/>
      <c r="K16" s="364"/>
    </row>
    <row r="17" spans="1:11" ht="15.75" thickBot="1" x14ac:dyDescent="0.3">
      <c r="A17"/>
      <c r="B17"/>
      <c r="C17"/>
      <c r="D17"/>
      <c r="E17" s="364"/>
      <c r="G17"/>
      <c r="H17"/>
      <c r="I17"/>
      <c r="J17"/>
      <c r="K17" s="364"/>
    </row>
    <row r="18" spans="1:11" ht="16.5" thickBot="1" x14ac:dyDescent="0.3">
      <c r="A18"/>
      <c r="B18"/>
      <c r="C18"/>
      <c r="D18" s="498" t="s">
        <v>626</v>
      </c>
      <c r="E18" s="371">
        <f>E12-E15</f>
        <v>-6563902</v>
      </c>
      <c r="J18" s="498" t="s">
        <v>626</v>
      </c>
      <c r="K18" s="371">
        <f>K11-K15</f>
        <v>-6503571</v>
      </c>
    </row>
    <row r="19" spans="1:11" ht="15" x14ac:dyDescent="0.25">
      <c r="A19"/>
      <c r="B19"/>
      <c r="C19"/>
      <c r="D19"/>
      <c r="E19" s="364"/>
    </row>
  </sheetData>
  <mergeCells count="16">
    <mergeCell ref="A11:D11"/>
    <mergeCell ref="G11:J11"/>
    <mergeCell ref="A12:D12"/>
    <mergeCell ref="G8:J8"/>
    <mergeCell ref="A9:D9"/>
    <mergeCell ref="G9:J9"/>
    <mergeCell ref="A10:D10"/>
    <mergeCell ref="G10:J10"/>
    <mergeCell ref="A8:D8"/>
    <mergeCell ref="B2:E2"/>
    <mergeCell ref="C5:D5"/>
    <mergeCell ref="H5:J5"/>
    <mergeCell ref="G6:J6"/>
    <mergeCell ref="G7:J7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O1" sqref="O1:O1048576"/>
    </sheetView>
  </sheetViews>
  <sheetFormatPr defaultRowHeight="15" x14ac:dyDescent="0.25"/>
  <cols>
    <col min="1" max="1" width="39" bestFit="1" customWidth="1"/>
    <col min="2" max="2" width="12" bestFit="1" customWidth="1"/>
    <col min="3" max="13" width="9.85546875" bestFit="1" customWidth="1"/>
    <col min="14" max="14" width="11.85546875" bestFit="1" customWidth="1"/>
    <col min="15" max="15" width="10.7109375" hidden="1" customWidth="1"/>
  </cols>
  <sheetData>
    <row r="1" spans="1:15" ht="15.75" x14ac:dyDescent="0.25">
      <c r="A1" s="919" t="s">
        <v>676</v>
      </c>
      <c r="B1" s="919"/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</row>
    <row r="2" spans="1:15" ht="15.75" x14ac:dyDescent="0.25">
      <c r="A2" s="919" t="s">
        <v>280</v>
      </c>
      <c r="B2" s="919"/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</row>
    <row r="3" spans="1:15" ht="15" customHeight="1" x14ac:dyDescent="0.25">
      <c r="A3" s="920" t="s">
        <v>758</v>
      </c>
      <c r="B3" s="920"/>
      <c r="C3" s="920"/>
      <c r="D3" s="920"/>
      <c r="E3" s="920"/>
      <c r="F3" s="920"/>
      <c r="G3" s="920"/>
      <c r="H3" s="920"/>
      <c r="I3" s="920"/>
      <c r="J3" s="920"/>
      <c r="K3" s="920"/>
      <c r="L3" s="920"/>
      <c r="M3" s="920"/>
      <c r="N3" s="920"/>
    </row>
    <row r="4" spans="1:15" ht="15" customHeight="1" x14ac:dyDescent="0.25">
      <c r="A4" s="920"/>
      <c r="B4" s="920"/>
      <c r="C4" s="920"/>
      <c r="D4" s="920"/>
      <c r="E4" s="920"/>
      <c r="F4" s="920"/>
      <c r="G4" s="920"/>
      <c r="H4" s="920"/>
      <c r="I4" s="920"/>
      <c r="J4" s="920"/>
      <c r="K4" s="920"/>
      <c r="L4" s="920"/>
      <c r="M4" s="920"/>
      <c r="N4" s="920"/>
    </row>
    <row r="5" spans="1:15" ht="15.75" x14ac:dyDescent="0.25">
      <c r="A5" s="569"/>
      <c r="B5" s="569"/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920" t="s">
        <v>368</v>
      </c>
      <c r="N5" s="920"/>
    </row>
    <row r="6" spans="1:15" ht="15.75" x14ac:dyDescent="0.25">
      <c r="A6" s="376" t="s">
        <v>7</v>
      </c>
      <c r="B6" s="377" t="s">
        <v>369</v>
      </c>
      <c r="C6" s="377" t="s">
        <v>370</v>
      </c>
      <c r="D6" s="377" t="s">
        <v>371</v>
      </c>
      <c r="E6" s="377" t="s">
        <v>372</v>
      </c>
      <c r="F6" s="377" t="s">
        <v>373</v>
      </c>
      <c r="G6" s="377" t="s">
        <v>374</v>
      </c>
      <c r="H6" s="377" t="s">
        <v>375</v>
      </c>
      <c r="I6" s="377" t="s">
        <v>376</v>
      </c>
      <c r="J6" s="377" t="s">
        <v>377</v>
      </c>
      <c r="K6" s="377" t="s">
        <v>378</v>
      </c>
      <c r="L6" s="377" t="s">
        <v>379</v>
      </c>
      <c r="M6" s="377" t="s">
        <v>380</v>
      </c>
      <c r="N6" s="376" t="s">
        <v>381</v>
      </c>
    </row>
    <row r="7" spans="1:15" x14ac:dyDescent="0.25">
      <c r="A7" s="378" t="s">
        <v>13</v>
      </c>
      <c r="B7" s="379">
        <v>2882</v>
      </c>
      <c r="C7" s="379">
        <v>2882</v>
      </c>
      <c r="D7" s="379">
        <v>2882</v>
      </c>
      <c r="E7" s="379">
        <v>2882</v>
      </c>
      <c r="F7" s="379">
        <v>2882</v>
      </c>
      <c r="G7" s="379">
        <v>2882</v>
      </c>
      <c r="H7" s="379">
        <v>2883</v>
      </c>
      <c r="I7" s="379">
        <v>2883</v>
      </c>
      <c r="J7" s="379">
        <v>2883</v>
      </c>
      <c r="K7" s="379">
        <v>2883</v>
      </c>
      <c r="L7" s="379">
        <v>2883</v>
      </c>
      <c r="M7" s="379">
        <v>2883</v>
      </c>
      <c r="N7" s="381">
        <f t="shared" ref="N7:N12" si="0">SUM(B7:M7)</f>
        <v>34590</v>
      </c>
      <c r="O7">
        <v>34590</v>
      </c>
    </row>
    <row r="8" spans="1:15" x14ac:dyDescent="0.25">
      <c r="A8" s="378" t="s">
        <v>382</v>
      </c>
      <c r="B8" s="379">
        <v>581</v>
      </c>
      <c r="C8" s="379">
        <v>581</v>
      </c>
      <c r="D8" s="379">
        <v>581</v>
      </c>
      <c r="E8" s="379">
        <v>581</v>
      </c>
      <c r="F8" s="379">
        <v>581</v>
      </c>
      <c r="G8" s="379">
        <v>581</v>
      </c>
      <c r="H8" s="379">
        <v>581</v>
      </c>
      <c r="I8" s="379">
        <v>581</v>
      </c>
      <c r="J8" s="379">
        <v>581</v>
      </c>
      <c r="K8" s="379">
        <v>581</v>
      </c>
      <c r="L8" s="379">
        <v>581</v>
      </c>
      <c r="M8" s="379">
        <v>580</v>
      </c>
      <c r="N8" s="381">
        <f t="shared" si="0"/>
        <v>6971</v>
      </c>
      <c r="O8">
        <v>6971</v>
      </c>
    </row>
    <row r="9" spans="1:15" x14ac:dyDescent="0.25">
      <c r="A9" s="378" t="s">
        <v>15</v>
      </c>
      <c r="B9" s="379">
        <v>294</v>
      </c>
      <c r="C9" s="379">
        <v>294</v>
      </c>
      <c r="D9" s="379">
        <v>294</v>
      </c>
      <c r="E9" s="379">
        <v>294</v>
      </c>
      <c r="F9" s="379">
        <v>294</v>
      </c>
      <c r="G9" s="379">
        <v>294</v>
      </c>
      <c r="H9" s="379">
        <v>294</v>
      </c>
      <c r="I9" s="379">
        <v>294</v>
      </c>
      <c r="J9" s="379">
        <v>293</v>
      </c>
      <c r="K9" s="379">
        <v>293</v>
      </c>
      <c r="L9" s="379">
        <v>293</v>
      </c>
      <c r="M9" s="379">
        <v>293</v>
      </c>
      <c r="N9" s="381">
        <f t="shared" si="0"/>
        <v>3524</v>
      </c>
      <c r="O9">
        <v>3524</v>
      </c>
    </row>
    <row r="10" spans="1:15" x14ac:dyDescent="0.25">
      <c r="A10" s="378" t="s">
        <v>383</v>
      </c>
      <c r="B10" s="380"/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1">
        <f t="shared" si="0"/>
        <v>0</v>
      </c>
    </row>
    <row r="11" spans="1:15" x14ac:dyDescent="0.25">
      <c r="A11" s="378" t="s">
        <v>384</v>
      </c>
      <c r="B11" s="38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1">
        <f t="shared" si="0"/>
        <v>0</v>
      </c>
    </row>
    <row r="12" spans="1:15" x14ac:dyDescent="0.25">
      <c r="A12" s="378" t="s">
        <v>385</v>
      </c>
      <c r="B12" s="380"/>
      <c r="C12" s="380"/>
      <c r="D12" s="380"/>
      <c r="E12" s="380">
        <v>377</v>
      </c>
      <c r="F12" s="380"/>
      <c r="G12" s="380"/>
      <c r="H12" s="380"/>
      <c r="I12" s="380"/>
      <c r="J12" s="380"/>
      <c r="K12" s="380"/>
      <c r="L12" s="380"/>
      <c r="M12" s="380"/>
      <c r="N12" s="381">
        <f t="shared" si="0"/>
        <v>377</v>
      </c>
      <c r="O12">
        <v>377</v>
      </c>
    </row>
    <row r="13" spans="1:15" x14ac:dyDescent="0.25">
      <c r="A13" s="378" t="s">
        <v>229</v>
      </c>
      <c r="B13" s="380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1"/>
    </row>
    <row r="14" spans="1:15" s="29" customFormat="1" ht="12.75" x14ac:dyDescent="0.2">
      <c r="A14" s="382" t="s">
        <v>386</v>
      </c>
      <c r="B14" s="388">
        <f>SUM(B7:B13)</f>
        <v>3757</v>
      </c>
      <c r="C14" s="388">
        <f t="shared" ref="C14:M14" si="1">SUM(C7:C13)</f>
        <v>3757</v>
      </c>
      <c r="D14" s="388">
        <f t="shared" si="1"/>
        <v>3757</v>
      </c>
      <c r="E14" s="388">
        <f t="shared" si="1"/>
        <v>4134</v>
      </c>
      <c r="F14" s="388">
        <f t="shared" si="1"/>
        <v>3757</v>
      </c>
      <c r="G14" s="388">
        <f t="shared" si="1"/>
        <v>3757</v>
      </c>
      <c r="H14" s="388">
        <f t="shared" si="1"/>
        <v>3758</v>
      </c>
      <c r="I14" s="388">
        <f t="shared" si="1"/>
        <v>3758</v>
      </c>
      <c r="J14" s="388">
        <f t="shared" si="1"/>
        <v>3757</v>
      </c>
      <c r="K14" s="388">
        <f t="shared" si="1"/>
        <v>3757</v>
      </c>
      <c r="L14" s="388">
        <f t="shared" si="1"/>
        <v>3757</v>
      </c>
      <c r="M14" s="388">
        <f t="shared" si="1"/>
        <v>3756</v>
      </c>
      <c r="N14" s="381">
        <f>SUM(N7:N13)</f>
        <v>45462</v>
      </c>
      <c r="O14" s="390">
        <f>SUM(O7:O13)</f>
        <v>45462</v>
      </c>
    </row>
    <row r="15" spans="1:15" x14ac:dyDescent="0.25">
      <c r="A15" s="383"/>
      <c r="B15" s="384"/>
      <c r="C15" s="384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5"/>
    </row>
    <row r="16" spans="1:15" x14ac:dyDescent="0.25">
      <c r="A16" s="378" t="s">
        <v>387</v>
      </c>
      <c r="B16" s="380">
        <f>+O16/12</f>
        <v>0</v>
      </c>
      <c r="C16" s="380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1">
        <f t="shared" ref="N16:N22" si="2">SUM(B16:M16)</f>
        <v>0</v>
      </c>
    </row>
    <row r="17" spans="1:15" x14ac:dyDescent="0.25">
      <c r="A17" s="378" t="s">
        <v>46</v>
      </c>
      <c r="B17" s="380">
        <f>+O17/12</f>
        <v>0</v>
      </c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1">
        <f t="shared" si="2"/>
        <v>0</v>
      </c>
    </row>
    <row r="18" spans="1:15" x14ac:dyDescent="0.25">
      <c r="A18" s="386" t="s">
        <v>388</v>
      </c>
      <c r="B18" s="379">
        <v>3766</v>
      </c>
      <c r="C18" s="379">
        <v>3766</v>
      </c>
      <c r="D18" s="379">
        <v>3766</v>
      </c>
      <c r="E18" s="379">
        <v>3766</v>
      </c>
      <c r="F18" s="379">
        <v>3766</v>
      </c>
      <c r="G18" s="379">
        <v>3766</v>
      </c>
      <c r="H18" s="379">
        <v>3766</v>
      </c>
      <c r="I18" s="379">
        <v>3766</v>
      </c>
      <c r="J18" s="379">
        <v>3766</v>
      </c>
      <c r="K18" s="379">
        <v>3766</v>
      </c>
      <c r="L18" s="379">
        <v>3766</v>
      </c>
      <c r="M18" s="379">
        <v>3767</v>
      </c>
      <c r="N18" s="381">
        <f t="shared" si="2"/>
        <v>45193</v>
      </c>
      <c r="O18">
        <v>45193</v>
      </c>
    </row>
    <row r="19" spans="1:15" x14ac:dyDescent="0.25">
      <c r="A19" s="378" t="s">
        <v>389</v>
      </c>
      <c r="B19" s="380"/>
      <c r="C19" s="380"/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1">
        <f t="shared" si="2"/>
        <v>0</v>
      </c>
    </row>
    <row r="20" spans="1:15" x14ac:dyDescent="0.25">
      <c r="A20" s="378" t="s">
        <v>71</v>
      </c>
      <c r="B20" s="380">
        <f>+O20/12</f>
        <v>0</v>
      </c>
      <c r="C20" s="380"/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1">
        <f t="shared" si="2"/>
        <v>0</v>
      </c>
    </row>
    <row r="21" spans="1:15" x14ac:dyDescent="0.25">
      <c r="A21" s="378" t="s">
        <v>95</v>
      </c>
      <c r="B21" s="380">
        <v>269</v>
      </c>
      <c r="C21" s="380"/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91">
        <f t="shared" si="2"/>
        <v>269</v>
      </c>
      <c r="O21">
        <v>269</v>
      </c>
    </row>
    <row r="22" spans="1:15" s="29" customFormat="1" ht="14.25" x14ac:dyDescent="0.2">
      <c r="A22" s="387" t="s">
        <v>390</v>
      </c>
      <c r="B22" s="388">
        <f>+B16+B17+B18+B19+B20+B21</f>
        <v>4035</v>
      </c>
      <c r="C22" s="388">
        <f>+C16+C17+C18+C19+C20+C21</f>
        <v>3766</v>
      </c>
      <c r="D22" s="388">
        <f t="shared" ref="D22:L22" si="3">+D16+D17+D18+D19+D20+D21</f>
        <v>3766</v>
      </c>
      <c r="E22" s="388">
        <f t="shared" si="3"/>
        <v>3766</v>
      </c>
      <c r="F22" s="388">
        <f t="shared" si="3"/>
        <v>3766</v>
      </c>
      <c r="G22" s="388">
        <f t="shared" si="3"/>
        <v>3766</v>
      </c>
      <c r="H22" s="388">
        <f t="shared" si="3"/>
        <v>3766</v>
      </c>
      <c r="I22" s="388">
        <f t="shared" si="3"/>
        <v>3766</v>
      </c>
      <c r="J22" s="388">
        <f t="shared" si="3"/>
        <v>3766</v>
      </c>
      <c r="K22" s="388">
        <f t="shared" si="3"/>
        <v>3766</v>
      </c>
      <c r="L22" s="388">
        <f t="shared" si="3"/>
        <v>3766</v>
      </c>
      <c r="M22" s="388">
        <f>SUM(M16:M20)+M21</f>
        <v>3767</v>
      </c>
      <c r="N22" s="381">
        <f t="shared" si="2"/>
        <v>45462</v>
      </c>
      <c r="O22" s="29">
        <f>O16+O17+O18+O19+O20+O21</f>
        <v>45462</v>
      </c>
    </row>
  </sheetData>
  <mergeCells count="4">
    <mergeCell ref="A1:N1"/>
    <mergeCell ref="A2:N2"/>
    <mergeCell ref="A3:N4"/>
    <mergeCell ref="M5:N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opLeftCell="A76" workbookViewId="0">
      <selection activeCell="D30" sqref="D30"/>
    </sheetView>
  </sheetViews>
  <sheetFormatPr defaultRowHeight="15" x14ac:dyDescent="0.25"/>
  <cols>
    <col min="3" max="3" width="60.7109375" bestFit="1" customWidth="1"/>
    <col min="4" max="4" width="30.28515625" bestFit="1" customWidth="1"/>
    <col min="5" max="7" width="19.140625" hidden="1" customWidth="1"/>
    <col min="9" max="9" width="14" bestFit="1" customWidth="1"/>
    <col min="10" max="10" width="12.42578125" bestFit="1" customWidth="1"/>
  </cols>
  <sheetData>
    <row r="1" spans="1:9" ht="18.75" x14ac:dyDescent="0.3">
      <c r="A1" s="667" t="s">
        <v>631</v>
      </c>
      <c r="B1" s="668"/>
      <c r="C1" s="668"/>
      <c r="D1" s="668"/>
      <c r="E1" s="668"/>
      <c r="F1" s="668"/>
    </row>
    <row r="2" spans="1:9" ht="15.75" x14ac:dyDescent="0.25">
      <c r="A2" s="660"/>
      <c r="B2" s="660"/>
      <c r="C2" s="660"/>
      <c r="D2" s="660"/>
      <c r="E2" s="660"/>
      <c r="F2" s="660"/>
    </row>
    <row r="3" spans="1:9" ht="15.75" x14ac:dyDescent="0.25">
      <c r="A3" s="669" t="s">
        <v>3</v>
      </c>
      <c r="B3" s="669"/>
      <c r="C3" s="669"/>
      <c r="D3" s="669"/>
      <c r="E3" s="669"/>
      <c r="F3" s="669"/>
    </row>
    <row r="4" spans="1:9" ht="15.75" x14ac:dyDescent="0.25">
      <c r="A4" s="660" t="s">
        <v>808</v>
      </c>
      <c r="B4" s="660"/>
      <c r="C4" s="660"/>
      <c r="D4" s="660"/>
      <c r="E4" s="660"/>
      <c r="F4" s="660"/>
    </row>
    <row r="5" spans="1:9" ht="16.5" thickBot="1" x14ac:dyDescent="0.3">
      <c r="A5" s="670" t="s">
        <v>822</v>
      </c>
      <c r="B5" s="670"/>
      <c r="C5" s="670"/>
      <c r="D5" s="670"/>
      <c r="E5" s="670"/>
      <c r="F5" s="670"/>
    </row>
    <row r="6" spans="1:9" ht="12.75" customHeight="1" x14ac:dyDescent="0.25">
      <c r="A6" s="671" t="s">
        <v>6</v>
      </c>
      <c r="B6" s="674" t="s">
        <v>7</v>
      </c>
      <c r="C6" s="674"/>
      <c r="D6" s="941" t="s">
        <v>830</v>
      </c>
      <c r="E6" s="679" t="s">
        <v>831</v>
      </c>
      <c r="F6" s="681" t="s">
        <v>832</v>
      </c>
      <c r="G6" s="681" t="s">
        <v>833</v>
      </c>
    </row>
    <row r="7" spans="1:9" ht="35.25" customHeight="1" thickBot="1" x14ac:dyDescent="0.3">
      <c r="A7" s="672"/>
      <c r="B7" s="675"/>
      <c r="C7" s="675"/>
      <c r="D7" s="942"/>
      <c r="E7" s="680"/>
      <c r="F7" s="682"/>
      <c r="G7" s="943"/>
    </row>
    <row r="8" spans="1:9" ht="21" customHeight="1" thickBot="1" x14ac:dyDescent="0.3">
      <c r="A8" s="850"/>
      <c r="B8" s="851"/>
      <c r="C8" s="851"/>
      <c r="D8" s="852" t="s">
        <v>511</v>
      </c>
      <c r="E8" s="678"/>
      <c r="F8" s="944"/>
      <c r="G8" s="578"/>
    </row>
    <row r="9" spans="1:9" ht="15.75" x14ac:dyDescent="0.25">
      <c r="A9" s="642"/>
      <c r="B9" s="674" t="s">
        <v>12</v>
      </c>
      <c r="C9" s="674"/>
      <c r="D9" s="345"/>
      <c r="E9" s="345"/>
      <c r="F9" s="415"/>
      <c r="G9" s="655"/>
    </row>
    <row r="10" spans="1:9" ht="15.75" x14ac:dyDescent="0.25">
      <c r="A10" s="9">
        <v>1</v>
      </c>
      <c r="B10" s="666" t="s">
        <v>13</v>
      </c>
      <c r="C10" s="666"/>
      <c r="D10" s="23">
        <f>[7]bér_jár_Cofogszerint!Y15</f>
        <v>71038925</v>
      </c>
      <c r="E10" s="23">
        <v>102333664</v>
      </c>
      <c r="F10" s="23">
        <v>102333664</v>
      </c>
      <c r="G10" s="23">
        <v>102333664</v>
      </c>
    </row>
    <row r="11" spans="1:9" ht="15.75" x14ac:dyDescent="0.25">
      <c r="A11" s="9">
        <v>2</v>
      </c>
      <c r="B11" s="666" t="s">
        <v>14</v>
      </c>
      <c r="C11" s="666"/>
      <c r="D11" s="23">
        <f>[7]bér_jár_Cofogszerint!Y18</f>
        <v>14121345.225</v>
      </c>
      <c r="E11" s="23">
        <v>25490024</v>
      </c>
      <c r="F11" s="23">
        <v>25490024</v>
      </c>
      <c r="G11" s="23">
        <v>25490024</v>
      </c>
    </row>
    <row r="12" spans="1:9" ht="15.75" x14ac:dyDescent="0.25">
      <c r="A12" s="9">
        <v>3</v>
      </c>
      <c r="B12" s="666" t="s">
        <v>15</v>
      </c>
      <c r="C12" s="666"/>
      <c r="D12" s="23">
        <v>133766236</v>
      </c>
      <c r="E12" s="23">
        <v>88165850</v>
      </c>
      <c r="F12" s="23">
        <v>88165850</v>
      </c>
      <c r="G12" s="23">
        <v>88165850</v>
      </c>
      <c r="I12" s="364"/>
    </row>
    <row r="13" spans="1:9" ht="15.75" x14ac:dyDescent="0.25">
      <c r="A13" s="9" t="s">
        <v>16</v>
      </c>
      <c r="B13" s="666" t="s">
        <v>17</v>
      </c>
      <c r="C13" s="666"/>
      <c r="D13" s="23"/>
      <c r="E13" s="23"/>
      <c r="F13" s="23"/>
      <c r="G13" s="23"/>
    </row>
    <row r="14" spans="1:9" ht="15.75" x14ac:dyDescent="0.25">
      <c r="A14" s="9" t="s">
        <v>18</v>
      </c>
      <c r="B14" s="685" t="s">
        <v>19</v>
      </c>
      <c r="C14" s="685"/>
      <c r="D14" s="23">
        <f>D15+D16+D17+D18</f>
        <v>18280262</v>
      </c>
      <c r="E14" s="23">
        <f>+E15+E16+E17+E18+E19</f>
        <v>16759214</v>
      </c>
      <c r="F14" s="23">
        <f>+F15+F16+F17+F18+F19</f>
        <v>16759214</v>
      </c>
      <c r="G14" s="23">
        <f>+G15+G16+G17+G18+G19</f>
        <v>16759214</v>
      </c>
    </row>
    <row r="15" spans="1:9" ht="15.75" x14ac:dyDescent="0.25">
      <c r="A15" s="9" t="s">
        <v>20</v>
      </c>
      <c r="B15" s="686" t="s">
        <v>130</v>
      </c>
      <c r="C15" s="686"/>
      <c r="D15" s="23"/>
      <c r="E15" s="23"/>
      <c r="F15" s="23"/>
      <c r="G15" s="23"/>
    </row>
    <row r="16" spans="1:9" ht="15.75" x14ac:dyDescent="0.25">
      <c r="A16" s="9" t="s">
        <v>21</v>
      </c>
      <c r="B16" s="686" t="s">
        <v>22</v>
      </c>
      <c r="C16" s="686"/>
      <c r="D16" s="23">
        <v>8161962</v>
      </c>
      <c r="E16" s="23">
        <v>5617214</v>
      </c>
      <c r="F16" s="23">
        <v>5617214</v>
      </c>
      <c r="G16" s="23">
        <v>5617214</v>
      </c>
    </row>
    <row r="17" spans="1:7" ht="15.75" x14ac:dyDescent="0.25">
      <c r="A17" s="9"/>
      <c r="B17" s="687"/>
      <c r="C17" s="688"/>
      <c r="D17" s="23"/>
      <c r="E17" s="23"/>
      <c r="F17" s="23"/>
      <c r="G17" s="23"/>
    </row>
    <row r="18" spans="1:7" ht="15.75" x14ac:dyDescent="0.25">
      <c r="A18" s="9" t="s">
        <v>23</v>
      </c>
      <c r="B18" s="689" t="s">
        <v>24</v>
      </c>
      <c r="C18" s="689"/>
      <c r="D18" s="23">
        <v>10118300</v>
      </c>
      <c r="E18" s="23">
        <v>11142000</v>
      </c>
      <c r="F18" s="23">
        <v>11142000</v>
      </c>
      <c r="G18" s="23">
        <v>11142000</v>
      </c>
    </row>
    <row r="19" spans="1:7" ht="15.75" x14ac:dyDescent="0.25">
      <c r="A19" s="9" t="s">
        <v>25</v>
      </c>
      <c r="B19" s="689" t="s">
        <v>132</v>
      </c>
      <c r="C19" s="854"/>
      <c r="D19" s="637">
        <v>1136830</v>
      </c>
      <c r="E19" s="23"/>
      <c r="F19" s="23"/>
      <c r="G19" s="23"/>
    </row>
    <row r="20" spans="1:7" ht="15.75" x14ac:dyDescent="0.25">
      <c r="A20" s="9"/>
      <c r="B20" s="666" t="s">
        <v>512</v>
      </c>
      <c r="C20" s="666"/>
      <c r="D20" s="23">
        <v>0</v>
      </c>
      <c r="E20" s="23">
        <f>25796636+2805940</f>
        <v>28602576</v>
      </c>
      <c r="F20" s="23">
        <f>25796636+2805940</f>
        <v>28602576</v>
      </c>
      <c r="G20" s="23">
        <f>25796636+2805940</f>
        <v>28602576</v>
      </c>
    </row>
    <row r="21" spans="1:7" ht="15.75" x14ac:dyDescent="0.25">
      <c r="A21" s="9"/>
      <c r="B21" s="666" t="s">
        <v>513</v>
      </c>
      <c r="C21" s="666"/>
      <c r="D21" s="25">
        <v>28456625</v>
      </c>
      <c r="E21" s="25">
        <v>32404950</v>
      </c>
      <c r="F21" s="25">
        <v>32404950</v>
      </c>
      <c r="G21" s="25">
        <v>32404950</v>
      </c>
    </row>
    <row r="22" spans="1:7" ht="15.75" x14ac:dyDescent="0.25">
      <c r="A22" s="9" t="s">
        <v>1</v>
      </c>
      <c r="B22" s="641" t="s">
        <v>28</v>
      </c>
      <c r="C22" s="350"/>
      <c r="D22" s="23">
        <f>D10+D11+D12+D14+D19+D21</f>
        <v>266800223.22499999</v>
      </c>
      <c r="E22" s="23">
        <f>+E10+E11+E12+E13+E14+E21+E20</f>
        <v>293756278</v>
      </c>
      <c r="F22" s="23">
        <f>+F10+F11+F12+F13+F14+F21+F20</f>
        <v>293756278</v>
      </c>
      <c r="G22" s="23">
        <f>+G10+G11+G12+G13+G14+G21+G20</f>
        <v>293756278</v>
      </c>
    </row>
    <row r="23" spans="1:7" ht="15.75" x14ac:dyDescent="0.25">
      <c r="A23" s="9" t="s">
        <v>29</v>
      </c>
      <c r="B23" s="666" t="s">
        <v>30</v>
      </c>
      <c r="C23" s="666"/>
      <c r="D23" s="32">
        <f>[7]beruházások!B14+[7]beruházások!B21</f>
        <v>396996930</v>
      </c>
      <c r="E23" s="32">
        <v>292599594</v>
      </c>
      <c r="F23" s="32">
        <v>292599594</v>
      </c>
      <c r="G23" s="32">
        <v>292599594</v>
      </c>
    </row>
    <row r="24" spans="1:7" ht="15.75" x14ac:dyDescent="0.25">
      <c r="A24" s="9" t="s">
        <v>31</v>
      </c>
      <c r="B24" s="666" t="s">
        <v>32</v>
      </c>
      <c r="C24" s="666"/>
      <c r="D24" s="32">
        <f>[7]beruházások!B25</f>
        <v>850000</v>
      </c>
      <c r="E24" s="32">
        <v>11609589</v>
      </c>
      <c r="F24" s="32">
        <v>11609589</v>
      </c>
      <c r="G24" s="32">
        <v>11609589</v>
      </c>
    </row>
    <row r="25" spans="1:7" ht="15.75" x14ac:dyDescent="0.25">
      <c r="A25" s="9" t="s">
        <v>33</v>
      </c>
      <c r="B25" s="666" t="s">
        <v>34</v>
      </c>
      <c r="C25" s="666"/>
      <c r="D25" s="32"/>
      <c r="E25" s="32"/>
      <c r="F25" s="32"/>
      <c r="G25" s="32"/>
    </row>
    <row r="26" spans="1:7" ht="15.75" x14ac:dyDescent="0.25">
      <c r="A26" s="9" t="s">
        <v>35</v>
      </c>
      <c r="B26" s="666" t="s">
        <v>36</v>
      </c>
      <c r="C26" s="666"/>
      <c r="D26" s="32">
        <f>SUM(D23:D25)</f>
        <v>397846930</v>
      </c>
      <c r="E26" s="32">
        <f>SUM(E23:E25)</f>
        <v>304209183</v>
      </c>
      <c r="F26" s="32">
        <f>SUM(F23:F25)</f>
        <v>304209183</v>
      </c>
      <c r="G26" s="32">
        <f>SUM(G23:G25)</f>
        <v>304209183</v>
      </c>
    </row>
    <row r="27" spans="1:7" ht="15.75" x14ac:dyDescent="0.25">
      <c r="A27" s="9" t="s">
        <v>37</v>
      </c>
      <c r="B27" s="666"/>
      <c r="C27" s="666"/>
      <c r="D27" s="32"/>
      <c r="E27" s="32"/>
      <c r="F27" s="32"/>
      <c r="G27" s="32"/>
    </row>
    <row r="28" spans="1:7" ht="15.75" x14ac:dyDescent="0.25">
      <c r="A28" s="9" t="s">
        <v>38</v>
      </c>
      <c r="B28" s="696"/>
      <c r="C28" s="696"/>
      <c r="D28" s="34"/>
      <c r="E28" s="34"/>
      <c r="F28" s="34"/>
      <c r="G28" s="34"/>
    </row>
    <row r="29" spans="1:7" ht="15.75" x14ac:dyDescent="0.25">
      <c r="A29" s="9" t="s">
        <v>39</v>
      </c>
      <c r="B29" s="696"/>
      <c r="C29" s="696"/>
      <c r="D29" s="35"/>
      <c r="E29" s="35"/>
      <c r="F29" s="35"/>
      <c r="G29" s="35"/>
    </row>
    <row r="30" spans="1:7" ht="19.5" x14ac:dyDescent="0.3">
      <c r="A30" s="36" t="s">
        <v>40</v>
      </c>
      <c r="B30" s="700" t="s">
        <v>309</v>
      </c>
      <c r="C30" s="700"/>
      <c r="D30" s="66">
        <f>+D22+D26+D27+D28+D29</f>
        <v>664647153.22500002</v>
      </c>
      <c r="E30" s="66">
        <f>+E22+E26+E27+E28+E29</f>
        <v>597965461</v>
      </c>
      <c r="F30" s="66">
        <f>+F22+F26+F27+F28+F29</f>
        <v>597965461</v>
      </c>
      <c r="G30" s="66">
        <f>+G22+G26+G27+G28+G29</f>
        <v>597965461</v>
      </c>
    </row>
    <row r="31" spans="1:7" ht="15.75" x14ac:dyDescent="0.25">
      <c r="A31" s="40"/>
      <c r="B31" s="750"/>
      <c r="C31" s="750"/>
      <c r="D31" s="392"/>
      <c r="E31" s="392"/>
      <c r="F31" s="392"/>
      <c r="G31" s="392"/>
    </row>
    <row r="32" spans="1:7" ht="15.75" x14ac:dyDescent="0.25">
      <c r="A32" s="9"/>
      <c r="B32" s="719" t="s">
        <v>42</v>
      </c>
      <c r="C32" s="719"/>
      <c r="D32" s="25"/>
      <c r="E32" s="25"/>
      <c r="F32" s="25"/>
      <c r="G32" s="25"/>
    </row>
    <row r="33" spans="1:7" ht="15.75" x14ac:dyDescent="0.25">
      <c r="A33" s="9" t="s">
        <v>43</v>
      </c>
      <c r="B33" s="694" t="s">
        <v>44</v>
      </c>
      <c r="C33" s="694"/>
      <c r="D33" s="48">
        <v>14451020</v>
      </c>
      <c r="E33" s="48">
        <v>11135174</v>
      </c>
      <c r="F33" s="48">
        <v>11135174</v>
      </c>
      <c r="G33" s="48">
        <v>11135174</v>
      </c>
    </row>
    <row r="34" spans="1:7" ht="15.75" x14ac:dyDescent="0.25">
      <c r="A34" s="9" t="s">
        <v>45</v>
      </c>
      <c r="B34" s="694" t="s">
        <v>46</v>
      </c>
      <c r="C34" s="694"/>
      <c r="D34" s="48">
        <f>SUM(D35:D37)</f>
        <v>40830000</v>
      </c>
      <c r="E34" s="48">
        <f>SUM(E35:E37)</f>
        <v>39316000</v>
      </c>
      <c r="F34" s="48">
        <f>SUM(F35:F37)</f>
        <v>39316000</v>
      </c>
      <c r="G34" s="48">
        <f>SUM(G35:G37)</f>
        <v>39316000</v>
      </c>
    </row>
    <row r="35" spans="1:7" ht="15.75" x14ac:dyDescent="0.25">
      <c r="A35" s="9"/>
      <c r="B35" s="51" t="s">
        <v>47</v>
      </c>
      <c r="C35" s="52" t="s">
        <v>48</v>
      </c>
      <c r="D35" s="48">
        <v>35825000</v>
      </c>
      <c r="E35" s="48">
        <v>34616000</v>
      </c>
      <c r="F35" s="48">
        <v>34616000</v>
      </c>
      <c r="G35" s="48">
        <v>34616000</v>
      </c>
    </row>
    <row r="36" spans="1:7" ht="15.75" x14ac:dyDescent="0.25">
      <c r="A36" s="9"/>
      <c r="B36" s="51" t="s">
        <v>49</v>
      </c>
      <c r="C36" s="52" t="s">
        <v>50</v>
      </c>
      <c r="D36" s="48">
        <v>4500000</v>
      </c>
      <c r="E36" s="48">
        <v>4500000</v>
      </c>
      <c r="F36" s="48">
        <v>4500000</v>
      </c>
      <c r="G36" s="48">
        <v>4500000</v>
      </c>
    </row>
    <row r="37" spans="1:7" ht="15.75" x14ac:dyDescent="0.25">
      <c r="A37" s="9"/>
      <c r="B37" s="51" t="s">
        <v>51</v>
      </c>
      <c r="C37" s="52" t="s">
        <v>52</v>
      </c>
      <c r="D37" s="48">
        <v>505000</v>
      </c>
      <c r="E37" s="48">
        <v>200000</v>
      </c>
      <c r="F37" s="48">
        <v>200000</v>
      </c>
      <c r="G37" s="48">
        <v>200000</v>
      </c>
    </row>
    <row r="38" spans="1:7" ht="15.75" x14ac:dyDescent="0.25">
      <c r="A38" s="9" t="s">
        <v>53</v>
      </c>
      <c r="B38" s="694" t="s">
        <v>54</v>
      </c>
      <c r="C38" s="694"/>
      <c r="D38" s="53">
        <f>SUM(D39:D41)</f>
        <v>152161604</v>
      </c>
      <c r="E38" s="53">
        <f>SUM(E39:E41)</f>
        <v>139240232</v>
      </c>
      <c r="F38" s="53">
        <f>SUM(F39:F41)</f>
        <v>139240232</v>
      </c>
      <c r="G38" s="53">
        <f>SUM(G39:G41)</f>
        <v>139240232</v>
      </c>
    </row>
    <row r="39" spans="1:7" ht="15.75" x14ac:dyDescent="0.25">
      <c r="A39" s="9"/>
      <c r="B39" s="55" t="s">
        <v>55</v>
      </c>
      <c r="C39" s="640" t="s">
        <v>56</v>
      </c>
      <c r="D39" s="53">
        <v>145525259</v>
      </c>
      <c r="E39" s="53">
        <v>137815897</v>
      </c>
      <c r="F39" s="53">
        <v>137815897</v>
      </c>
      <c r="G39" s="53">
        <v>137815897</v>
      </c>
    </row>
    <row r="40" spans="1:7" ht="15.75" x14ac:dyDescent="0.25">
      <c r="A40" s="9"/>
      <c r="B40" s="55" t="s">
        <v>57</v>
      </c>
      <c r="C40" s="640" t="s">
        <v>58</v>
      </c>
      <c r="D40" s="53">
        <f>SUM(E40:F40)</f>
        <v>0</v>
      </c>
      <c r="E40" s="53">
        <f>SUM(F40:G40)</f>
        <v>0</v>
      </c>
      <c r="F40" s="53">
        <f>SUM(G40:H40)</f>
        <v>0</v>
      </c>
      <c r="G40" s="53">
        <f>SUM(H40:I40)</f>
        <v>0</v>
      </c>
    </row>
    <row r="41" spans="1:7" ht="15.75" x14ac:dyDescent="0.25">
      <c r="A41" s="9"/>
      <c r="B41" s="55" t="s">
        <v>59</v>
      </c>
      <c r="C41" s="640" t="s">
        <v>60</v>
      </c>
      <c r="D41" s="53">
        <v>6636345</v>
      </c>
      <c r="E41" s="53">
        <v>1424335</v>
      </c>
      <c r="F41" s="53">
        <v>1424335</v>
      </c>
      <c r="G41" s="53">
        <v>1424335</v>
      </c>
    </row>
    <row r="42" spans="1:7" ht="15.75" x14ac:dyDescent="0.25">
      <c r="A42" s="9" t="s">
        <v>16</v>
      </c>
      <c r="B42" s="694" t="s">
        <v>61</v>
      </c>
      <c r="C42" s="694"/>
      <c r="D42" s="49">
        <f>D44+D43+D45</f>
        <v>14483373</v>
      </c>
      <c r="E42" s="49">
        <f>E44+E43+E45</f>
        <v>13631885</v>
      </c>
      <c r="F42" s="49">
        <f>F44+F43+F45</f>
        <v>13631885</v>
      </c>
      <c r="G42" s="49">
        <f>G44+G43+G45</f>
        <v>13631885</v>
      </c>
    </row>
    <row r="43" spans="1:7" ht="15.75" x14ac:dyDescent="0.25">
      <c r="A43" s="9"/>
      <c r="B43" s="55" t="s">
        <v>62</v>
      </c>
      <c r="C43" s="640" t="s">
        <v>63</v>
      </c>
      <c r="D43" s="53">
        <v>13483373</v>
      </c>
      <c r="E43" s="53">
        <v>11932622</v>
      </c>
      <c r="F43" s="53">
        <v>11932622</v>
      </c>
      <c r="G43" s="53">
        <v>11932622</v>
      </c>
    </row>
    <row r="44" spans="1:7" ht="15.75" x14ac:dyDescent="0.25">
      <c r="A44" s="9"/>
      <c r="B44" s="55" t="s">
        <v>64</v>
      </c>
      <c r="C44" s="640" t="s">
        <v>65</v>
      </c>
      <c r="D44" s="53"/>
      <c r="E44" s="53"/>
      <c r="F44" s="53"/>
      <c r="G44" s="53"/>
    </row>
    <row r="45" spans="1:7" ht="15.75" x14ac:dyDescent="0.25">
      <c r="A45" s="9"/>
      <c r="B45" s="55" t="s">
        <v>66</v>
      </c>
      <c r="C45" s="640" t="s">
        <v>67</v>
      </c>
      <c r="D45" s="53">
        <v>1000000</v>
      </c>
      <c r="E45" s="53">
        <v>1699263</v>
      </c>
      <c r="F45" s="53">
        <v>1699263</v>
      </c>
      <c r="G45" s="53">
        <v>1699263</v>
      </c>
    </row>
    <row r="46" spans="1:7" ht="15.75" x14ac:dyDescent="0.25">
      <c r="A46" s="9"/>
      <c r="B46" s="55" t="s">
        <v>68</v>
      </c>
      <c r="C46" s="640" t="s">
        <v>69</v>
      </c>
      <c r="D46" s="53"/>
      <c r="E46" s="53"/>
      <c r="F46" s="53"/>
      <c r="G46" s="53"/>
    </row>
    <row r="47" spans="1:7" s="29" customFormat="1" ht="15.75" x14ac:dyDescent="0.25">
      <c r="A47" s="26" t="s">
        <v>1</v>
      </c>
      <c r="B47" s="702" t="s">
        <v>70</v>
      </c>
      <c r="C47" s="702"/>
      <c r="D47" s="60">
        <f>D33+D34+D38+D42</f>
        <v>221925997</v>
      </c>
      <c r="E47" s="60">
        <f>+E33+E34+E38+E42</f>
        <v>203323291</v>
      </c>
      <c r="F47" s="60">
        <f>+F33+F34+F38+F42</f>
        <v>203323291</v>
      </c>
      <c r="G47" s="60">
        <f>+G33+G34+G38+G42</f>
        <v>203323291</v>
      </c>
    </row>
    <row r="48" spans="1:7" ht="15.75" x14ac:dyDescent="0.25">
      <c r="A48" s="9" t="s">
        <v>18</v>
      </c>
      <c r="B48" s="694" t="s">
        <v>71</v>
      </c>
      <c r="C48" s="694"/>
      <c r="D48" s="49">
        <f>D49+D50</f>
        <v>7867898</v>
      </c>
      <c r="E48" s="49">
        <f>E49+E50</f>
        <v>7061948</v>
      </c>
      <c r="F48" s="49">
        <f>F49+F50</f>
        <v>7061948</v>
      </c>
      <c r="G48" s="49">
        <f>G49+G50</f>
        <v>7061948</v>
      </c>
    </row>
    <row r="49" spans="1:7" ht="15.75" x14ac:dyDescent="0.25">
      <c r="A49" s="9"/>
      <c r="B49" s="55" t="s">
        <v>72</v>
      </c>
      <c r="C49" s="640" t="s">
        <v>73</v>
      </c>
      <c r="D49" s="53">
        <v>3518600</v>
      </c>
      <c r="E49" s="53">
        <v>2712650</v>
      </c>
      <c r="F49" s="53">
        <v>2712650</v>
      </c>
      <c r="G49" s="53">
        <v>2712650</v>
      </c>
    </row>
    <row r="50" spans="1:7" ht="15.75" x14ac:dyDescent="0.25">
      <c r="A50" s="9"/>
      <c r="B50" s="55" t="s">
        <v>74</v>
      </c>
      <c r="C50" s="640" t="s">
        <v>75</v>
      </c>
      <c r="D50" s="53">
        <v>4349298</v>
      </c>
      <c r="E50" s="53">
        <v>4349298</v>
      </c>
      <c r="F50" s="53">
        <v>4349298</v>
      </c>
      <c r="G50" s="53">
        <v>4349298</v>
      </c>
    </row>
    <row r="51" spans="1:7" ht="15.75" x14ac:dyDescent="0.25">
      <c r="A51" s="9" t="s">
        <v>29</v>
      </c>
      <c r="B51" s="694" t="s">
        <v>76</v>
      </c>
      <c r="C51" s="694"/>
      <c r="D51" s="53">
        <f>SUM(D52:D53)</f>
        <v>0</v>
      </c>
      <c r="E51" s="53">
        <f>SUM(E52:E53)</f>
        <v>0</v>
      </c>
      <c r="F51" s="53">
        <f>SUM(F52:F53)</f>
        <v>0</v>
      </c>
      <c r="G51" s="53">
        <f>SUM(G52:G53)</f>
        <v>0</v>
      </c>
    </row>
    <row r="52" spans="1:7" ht="15.75" x14ac:dyDescent="0.25">
      <c r="A52" s="9"/>
      <c r="B52" s="55" t="s">
        <v>77</v>
      </c>
      <c r="C52" s="640" t="s">
        <v>78</v>
      </c>
      <c r="D52" s="53"/>
      <c r="E52" s="53"/>
      <c r="F52" s="53"/>
      <c r="G52" s="53"/>
    </row>
    <row r="53" spans="1:7" ht="15.75" x14ac:dyDescent="0.25">
      <c r="A53" s="9"/>
      <c r="B53" s="55" t="s">
        <v>79</v>
      </c>
      <c r="C53" s="640" t="s">
        <v>80</v>
      </c>
      <c r="D53" s="53">
        <v>0</v>
      </c>
      <c r="E53" s="53">
        <v>0</v>
      </c>
      <c r="F53" s="53">
        <v>0</v>
      </c>
      <c r="G53" s="53">
        <v>0</v>
      </c>
    </row>
    <row r="54" spans="1:7" ht="15.75" x14ac:dyDescent="0.25">
      <c r="A54" s="9" t="s">
        <v>31</v>
      </c>
      <c r="B54" s="694" t="s">
        <v>81</v>
      </c>
      <c r="C54" s="694"/>
      <c r="D54" s="53">
        <f>SUM(D55:D57)</f>
        <v>269478267</v>
      </c>
      <c r="E54" s="53">
        <f>SUM(E55:E57)</f>
        <v>134947610</v>
      </c>
      <c r="F54" s="53">
        <f>SUM(F55:F57)</f>
        <v>134947610</v>
      </c>
      <c r="G54" s="53">
        <f>SUM(G55:G57)</f>
        <v>134947610</v>
      </c>
    </row>
    <row r="55" spans="1:7" ht="15.75" x14ac:dyDescent="0.25">
      <c r="A55" s="9"/>
      <c r="B55" s="55" t="s">
        <v>82</v>
      </c>
      <c r="C55" s="640" t="s">
        <v>83</v>
      </c>
      <c r="D55" s="53">
        <v>0</v>
      </c>
      <c r="E55" s="53">
        <v>0</v>
      </c>
      <c r="F55" s="53">
        <v>0</v>
      </c>
      <c r="G55" s="53">
        <v>0</v>
      </c>
    </row>
    <row r="56" spans="1:7" ht="15.75" x14ac:dyDescent="0.25">
      <c r="A56" s="9"/>
      <c r="B56" s="55" t="s">
        <v>84</v>
      </c>
      <c r="C56" s="640" t="s">
        <v>85</v>
      </c>
      <c r="D56" s="53">
        <v>269478267</v>
      </c>
      <c r="E56" s="53">
        <v>134947610</v>
      </c>
      <c r="F56" s="53">
        <v>134947610</v>
      </c>
      <c r="G56" s="53">
        <v>134947610</v>
      </c>
    </row>
    <row r="57" spans="1:7" ht="15.75" x14ac:dyDescent="0.25">
      <c r="A57" s="9"/>
      <c r="B57" s="55" t="s">
        <v>86</v>
      </c>
      <c r="C57" s="640" t="s">
        <v>87</v>
      </c>
      <c r="D57" s="53"/>
      <c r="E57" s="53"/>
      <c r="F57" s="53"/>
      <c r="G57" s="53"/>
    </row>
    <row r="58" spans="1:7" ht="15.75" x14ac:dyDescent="0.25">
      <c r="A58" s="26" t="s">
        <v>35</v>
      </c>
      <c r="B58" s="702" t="s">
        <v>88</v>
      </c>
      <c r="C58" s="702"/>
      <c r="D58" s="53">
        <f>+D48+D51+D54</f>
        <v>277346165</v>
      </c>
      <c r="E58" s="53">
        <f>+E48+E51+E54</f>
        <v>142009558</v>
      </c>
      <c r="F58" s="53">
        <f>+F48+F51+F54</f>
        <v>142009558</v>
      </c>
      <c r="G58" s="53">
        <f>+G48+G51+G54</f>
        <v>142009558</v>
      </c>
    </row>
    <row r="59" spans="1:7" ht="15.75" x14ac:dyDescent="0.25">
      <c r="A59" s="26" t="s">
        <v>37</v>
      </c>
      <c r="B59" s="702" t="s">
        <v>89</v>
      </c>
      <c r="C59" s="702"/>
      <c r="D59" s="60"/>
      <c r="E59" s="60"/>
      <c r="F59" s="60"/>
      <c r="G59" s="60"/>
    </row>
    <row r="60" spans="1:7" ht="15.75" x14ac:dyDescent="0.25">
      <c r="A60" s="26" t="s">
        <v>38</v>
      </c>
      <c r="B60" s="702" t="s">
        <v>90</v>
      </c>
      <c r="C60" s="702"/>
      <c r="D60" s="60"/>
      <c r="E60" s="60"/>
      <c r="F60" s="60"/>
      <c r="G60" s="60"/>
    </row>
    <row r="61" spans="1:7" ht="18.75" x14ac:dyDescent="0.3">
      <c r="A61" s="36" t="s">
        <v>91</v>
      </c>
      <c r="B61" s="704" t="s">
        <v>92</v>
      </c>
      <c r="C61" s="704"/>
      <c r="D61" s="394">
        <f>D47+D58</f>
        <v>499272162</v>
      </c>
      <c r="E61" s="394">
        <f>+E47+E58+E59+E60</f>
        <v>345332849</v>
      </c>
      <c r="F61" s="394">
        <f>+F47+F58+F59+F60</f>
        <v>345332849</v>
      </c>
      <c r="G61" s="394">
        <f>+G47+G58+G59+G60</f>
        <v>345332849</v>
      </c>
    </row>
    <row r="62" spans="1:7" ht="18.75" x14ac:dyDescent="0.3">
      <c r="A62" s="36"/>
      <c r="B62" s="704" t="s">
        <v>93</v>
      </c>
      <c r="C62" s="704"/>
      <c r="D62" s="66">
        <f>+D30-D61</f>
        <v>165374991.22500002</v>
      </c>
      <c r="E62" s="66">
        <f>+E30-E61</f>
        <v>252632612</v>
      </c>
      <c r="F62" s="66">
        <f>+F30-F61</f>
        <v>252632612</v>
      </c>
      <c r="G62" s="66">
        <f>+G30-G61</f>
        <v>252632612</v>
      </c>
    </row>
    <row r="63" spans="1:7" ht="18.75" x14ac:dyDescent="0.3">
      <c r="A63" s="36"/>
      <c r="B63" s="694" t="s">
        <v>94</v>
      </c>
      <c r="C63" s="694"/>
      <c r="D63" s="66"/>
      <c r="E63" s="74">
        <v>94373628</v>
      </c>
      <c r="F63" s="74">
        <v>94373628</v>
      </c>
      <c r="G63" s="74">
        <v>94373628</v>
      </c>
    </row>
    <row r="64" spans="1:7" ht="15.75" x14ac:dyDescent="0.25">
      <c r="A64" s="26" t="s">
        <v>39</v>
      </c>
      <c r="B64" s="694" t="s">
        <v>95</v>
      </c>
      <c r="C64" s="694"/>
      <c r="D64" s="33">
        <f>SUM(D65:D66)</f>
        <v>265311227</v>
      </c>
      <c r="E64" s="25">
        <f>SUM(E65:E66)</f>
        <v>252632612</v>
      </c>
      <c r="F64" s="25">
        <f>SUM(F65:F66)</f>
        <v>252632612</v>
      </c>
      <c r="G64" s="25">
        <f>SUM(G65:G66)</f>
        <v>252632612</v>
      </c>
    </row>
    <row r="65" spans="1:7" ht="18.75" x14ac:dyDescent="0.25">
      <c r="A65" s="36"/>
      <c r="B65" s="68" t="s">
        <v>43</v>
      </c>
      <c r="C65" s="640" t="s">
        <v>96</v>
      </c>
      <c r="D65" s="25">
        <v>29532605</v>
      </c>
      <c r="E65" s="25">
        <v>14347040</v>
      </c>
      <c r="F65" s="25">
        <v>14347040</v>
      </c>
      <c r="G65" s="25">
        <v>14347040</v>
      </c>
    </row>
    <row r="66" spans="1:7" ht="18.75" x14ac:dyDescent="0.3">
      <c r="A66" s="36"/>
      <c r="B66" s="68" t="s">
        <v>45</v>
      </c>
      <c r="C66" s="640" t="s">
        <v>97</v>
      </c>
      <c r="D66" s="638">
        <v>235778622</v>
      </c>
      <c r="E66" s="74">
        <v>238285572</v>
      </c>
      <c r="F66" s="74">
        <v>238285572</v>
      </c>
      <c r="G66" s="74">
        <v>238285572</v>
      </c>
    </row>
    <row r="67" spans="1:7" ht="40.5" customHeight="1" x14ac:dyDescent="0.3">
      <c r="A67" s="36" t="s">
        <v>98</v>
      </c>
      <c r="B67" s="700" t="s">
        <v>99</v>
      </c>
      <c r="C67" s="753"/>
      <c r="D67" s="66">
        <f>D64</f>
        <v>265311227</v>
      </c>
      <c r="E67" s="70">
        <f>E64</f>
        <v>252632612</v>
      </c>
      <c r="F67" s="70">
        <f>F64</f>
        <v>252632612</v>
      </c>
      <c r="G67" s="70">
        <f>G64</f>
        <v>252632612</v>
      </c>
    </row>
    <row r="68" spans="1:7" ht="18.75" x14ac:dyDescent="0.3">
      <c r="A68" s="9" t="s">
        <v>100</v>
      </c>
      <c r="B68" s="694" t="s">
        <v>101</v>
      </c>
      <c r="C68" s="694"/>
      <c r="D68" s="639"/>
      <c r="E68" s="66"/>
      <c r="F68" s="66"/>
      <c r="G68" s="66"/>
    </row>
    <row r="69" spans="1:7" ht="18.75" x14ac:dyDescent="0.3">
      <c r="A69" s="9" t="s">
        <v>102</v>
      </c>
      <c r="B69" s="694" t="s">
        <v>103</v>
      </c>
      <c r="C69" s="694"/>
      <c r="D69" s="66">
        <f>SUM(D70:D73)</f>
        <v>0</v>
      </c>
      <c r="E69" s="66">
        <f>SUM(E70:E73)</f>
        <v>0</v>
      </c>
      <c r="F69" s="66">
        <f>SUM(F70:F73)</f>
        <v>0</v>
      </c>
      <c r="G69" s="66">
        <f>SUM(G70:G73)</f>
        <v>0</v>
      </c>
    </row>
    <row r="70" spans="1:7" ht="18.75" x14ac:dyDescent="0.3">
      <c r="A70" s="9"/>
      <c r="B70" s="55" t="s">
        <v>43</v>
      </c>
      <c r="C70" s="640" t="s">
        <v>311</v>
      </c>
      <c r="D70" s="74"/>
      <c r="E70" s="74"/>
      <c r="F70" s="74"/>
      <c r="G70" s="74"/>
    </row>
    <row r="71" spans="1:7" ht="18.75" x14ac:dyDescent="0.3">
      <c r="A71" s="9"/>
      <c r="B71" s="55" t="s">
        <v>45</v>
      </c>
      <c r="C71" s="640" t="s">
        <v>105</v>
      </c>
      <c r="D71" s="66"/>
      <c r="E71" s="66"/>
      <c r="F71" s="66"/>
      <c r="G71" s="66"/>
    </row>
    <row r="72" spans="1:7" ht="18.75" x14ac:dyDescent="0.3">
      <c r="A72" s="9"/>
      <c r="B72" s="55" t="s">
        <v>53</v>
      </c>
      <c r="C72" s="640" t="s">
        <v>106</v>
      </c>
      <c r="D72" s="74"/>
      <c r="E72" s="74"/>
      <c r="F72" s="74"/>
      <c r="G72" s="74"/>
    </row>
    <row r="73" spans="1:7" ht="18.75" x14ac:dyDescent="0.3">
      <c r="A73" s="9"/>
      <c r="B73" s="55" t="s">
        <v>16</v>
      </c>
      <c r="C73" s="640" t="s">
        <v>107</v>
      </c>
      <c r="D73" s="74"/>
      <c r="E73" s="74"/>
      <c r="F73" s="74"/>
      <c r="G73" s="74"/>
    </row>
    <row r="74" spans="1:7" ht="42" customHeight="1" x14ac:dyDescent="0.3">
      <c r="A74" s="36" t="s">
        <v>108</v>
      </c>
      <c r="B74" s="709" t="s">
        <v>109</v>
      </c>
      <c r="C74" s="709"/>
      <c r="D74" s="66">
        <f>+D68+D69</f>
        <v>0</v>
      </c>
      <c r="E74" s="66">
        <f>+E68+E69</f>
        <v>0</v>
      </c>
      <c r="F74" s="66">
        <f>+F68+F69</f>
        <v>0</v>
      </c>
      <c r="G74" s="66">
        <f>+G68+G69</f>
        <v>0</v>
      </c>
    </row>
    <row r="75" spans="1:7" ht="18.75" x14ac:dyDescent="0.3">
      <c r="A75" s="36" t="s">
        <v>110</v>
      </c>
      <c r="B75" s="704" t="s">
        <v>111</v>
      </c>
      <c r="C75" s="704"/>
      <c r="D75" s="66">
        <f>+D67+D74</f>
        <v>265311227</v>
      </c>
      <c r="E75" s="66">
        <f>+E67+E74</f>
        <v>252632612</v>
      </c>
      <c r="F75" s="66">
        <f>+F67+F74</f>
        <v>252632612</v>
      </c>
      <c r="G75" s="66">
        <f>+G67+G74</f>
        <v>252632612</v>
      </c>
    </row>
    <row r="76" spans="1:7" ht="18.75" x14ac:dyDescent="0.3">
      <c r="A76" s="9" t="s">
        <v>112</v>
      </c>
      <c r="B76" s="694" t="s">
        <v>113</v>
      </c>
      <c r="C76" s="694"/>
      <c r="D76" s="66">
        <v>99936236</v>
      </c>
      <c r="E76" s="66">
        <v>94373628</v>
      </c>
      <c r="F76" s="66">
        <v>94373628</v>
      </c>
      <c r="G76" s="66">
        <v>94373628</v>
      </c>
    </row>
    <row r="77" spans="1:7" ht="18.75" x14ac:dyDescent="0.3">
      <c r="A77" s="9" t="s">
        <v>114</v>
      </c>
      <c r="B77" s="694" t="s">
        <v>115</v>
      </c>
      <c r="C77" s="694"/>
      <c r="D77" s="74">
        <f>E77+F77</f>
        <v>0</v>
      </c>
      <c r="E77" s="74">
        <f>F77+G77</f>
        <v>0</v>
      </c>
      <c r="F77" s="74">
        <f>G77+H77</f>
        <v>0</v>
      </c>
      <c r="G77" s="74">
        <f>H77+I77</f>
        <v>0</v>
      </c>
    </row>
    <row r="78" spans="1:7" ht="18.75" x14ac:dyDescent="0.3">
      <c r="A78" s="9"/>
      <c r="B78" s="55" t="s">
        <v>43</v>
      </c>
      <c r="C78" s="640" t="s">
        <v>313</v>
      </c>
      <c r="D78" s="74"/>
      <c r="E78" s="74"/>
      <c r="F78" s="74"/>
      <c r="G78" s="74"/>
    </row>
    <row r="79" spans="1:7" ht="18.75" x14ac:dyDescent="0.3">
      <c r="A79" s="9"/>
      <c r="B79" s="55" t="s">
        <v>45</v>
      </c>
      <c r="C79" s="640" t="s">
        <v>314</v>
      </c>
      <c r="D79" s="74"/>
      <c r="E79" s="74"/>
      <c r="F79" s="74"/>
      <c r="G79" s="74"/>
    </row>
    <row r="80" spans="1:7" ht="18.75" x14ac:dyDescent="0.3">
      <c r="A80" s="9" t="s">
        <v>119</v>
      </c>
      <c r="B80" s="705"/>
      <c r="C80" s="706"/>
      <c r="D80" s="74"/>
      <c r="E80" s="74">
        <v>0</v>
      </c>
      <c r="F80" s="74">
        <v>0</v>
      </c>
      <c r="G80" s="74">
        <v>0</v>
      </c>
    </row>
    <row r="81" spans="1:7" ht="18.75" x14ac:dyDescent="0.3">
      <c r="A81" s="36" t="s">
        <v>120</v>
      </c>
      <c r="B81" s="704" t="s">
        <v>315</v>
      </c>
      <c r="C81" s="704"/>
      <c r="D81" s="66">
        <f>D76+D77</f>
        <v>99936236</v>
      </c>
      <c r="E81" s="66">
        <f>+E76+E77+E80</f>
        <v>94373628</v>
      </c>
      <c r="F81" s="66">
        <f>+F76+F77+F80</f>
        <v>94373628</v>
      </c>
      <c r="G81" s="66">
        <f>+G76+G77+G80</f>
        <v>94373628</v>
      </c>
    </row>
    <row r="82" spans="1:7" ht="18.75" x14ac:dyDescent="0.3">
      <c r="A82" s="36" t="s">
        <v>122</v>
      </c>
      <c r="B82" s="704" t="s">
        <v>123</v>
      </c>
      <c r="C82" s="704"/>
      <c r="D82" s="396">
        <f>+D30+D81</f>
        <v>764583389.22500002</v>
      </c>
      <c r="E82" s="396">
        <f>+E30+E81</f>
        <v>692339089</v>
      </c>
      <c r="F82" s="396">
        <f>+F30+F81</f>
        <v>692339089</v>
      </c>
      <c r="G82" s="396">
        <f>+G30+G81</f>
        <v>692339089</v>
      </c>
    </row>
    <row r="83" spans="1:7" ht="19.5" thickBot="1" x14ac:dyDescent="0.35">
      <c r="A83" s="361" t="s">
        <v>124</v>
      </c>
      <c r="B83" s="362" t="s">
        <v>125</v>
      </c>
      <c r="C83" s="362"/>
      <c r="D83" s="363">
        <f>D61+D75</f>
        <v>764583389</v>
      </c>
      <c r="E83" s="363">
        <f>+E61+E75+E63</f>
        <v>692339089</v>
      </c>
      <c r="F83" s="363">
        <f>+F61+F75+F63</f>
        <v>692339089</v>
      </c>
      <c r="G83" s="363">
        <f>+G61+G75+G63</f>
        <v>692339089</v>
      </c>
    </row>
    <row r="84" spans="1:7" ht="15.75" x14ac:dyDescent="0.25">
      <c r="A84" s="2"/>
      <c r="B84" s="85"/>
      <c r="C84" s="85"/>
      <c r="D84" s="86"/>
      <c r="E84" s="86"/>
      <c r="F84" s="86"/>
      <c r="G84" s="86"/>
    </row>
    <row r="85" spans="1:7" ht="15.75" x14ac:dyDescent="0.25">
      <c r="A85" s="2"/>
      <c r="B85" s="85"/>
      <c r="C85" s="85"/>
      <c r="D85" s="87">
        <f>+D83-D82</f>
        <v>-0.22500002384185791</v>
      </c>
      <c r="E85" s="87">
        <f>+E83-E82</f>
        <v>0</v>
      </c>
      <c r="F85" s="87">
        <f>+F83-F82</f>
        <v>0</v>
      </c>
      <c r="G85" s="87">
        <f>+G83-G82</f>
        <v>0</v>
      </c>
    </row>
  </sheetData>
  <mergeCells count="60">
    <mergeCell ref="G6:G7"/>
    <mergeCell ref="D8:F8"/>
    <mergeCell ref="B81:C81"/>
    <mergeCell ref="B82:C82"/>
    <mergeCell ref="B69:C69"/>
    <mergeCell ref="B75:C75"/>
    <mergeCell ref="B76:C76"/>
    <mergeCell ref="B77:C77"/>
    <mergeCell ref="B74:C74"/>
    <mergeCell ref="B80:C80"/>
    <mergeCell ref="B42:C42"/>
    <mergeCell ref="B68:C68"/>
    <mergeCell ref="B48:C48"/>
    <mergeCell ref="B59:C59"/>
    <mergeCell ref="B60:C60"/>
    <mergeCell ref="B61:C61"/>
    <mergeCell ref="B62:C62"/>
    <mergeCell ref="B63:C63"/>
    <mergeCell ref="B64:C64"/>
    <mergeCell ref="B47:C47"/>
    <mergeCell ref="B51:C51"/>
    <mergeCell ref="B54:C54"/>
    <mergeCell ref="B58:C58"/>
    <mergeCell ref="B67:C67"/>
    <mergeCell ref="B31:C31"/>
    <mergeCell ref="B32:C32"/>
    <mergeCell ref="B33:C33"/>
    <mergeCell ref="B34:C34"/>
    <mergeCell ref="B38:C38"/>
    <mergeCell ref="B26:C26"/>
    <mergeCell ref="B27:C27"/>
    <mergeCell ref="B28:C28"/>
    <mergeCell ref="B29:C29"/>
    <mergeCell ref="B30:C30"/>
    <mergeCell ref="B25:C2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4:C24"/>
    <mergeCell ref="B23:C23"/>
    <mergeCell ref="A1:F1"/>
    <mergeCell ref="A2:F2"/>
    <mergeCell ref="A3:F3"/>
    <mergeCell ref="A4:F4"/>
    <mergeCell ref="B12:C12"/>
    <mergeCell ref="A6:A8"/>
    <mergeCell ref="B6:C8"/>
    <mergeCell ref="D6:D7"/>
    <mergeCell ref="B9:C9"/>
    <mergeCell ref="B10:C10"/>
    <mergeCell ref="B11:C11"/>
    <mergeCell ref="A5:F5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workbookViewId="0">
      <selection activeCell="O4" sqref="O1:O1048576"/>
    </sheetView>
  </sheetViews>
  <sheetFormatPr defaultColWidth="9.140625" defaultRowHeight="15.75" x14ac:dyDescent="0.25"/>
  <cols>
    <col min="1" max="1" width="38.42578125" style="406" customWidth="1"/>
    <col min="2" max="2" width="10.42578125" style="406" customWidth="1"/>
    <col min="3" max="5" width="9.7109375" style="406" customWidth="1"/>
    <col min="6" max="6" width="10.28515625" style="406" customWidth="1"/>
    <col min="7" max="7" width="10.140625" style="406" customWidth="1"/>
    <col min="8" max="8" width="9.140625" style="406" customWidth="1"/>
    <col min="9" max="9" width="8.85546875" style="406" bestFit="1" customWidth="1"/>
    <col min="10" max="10" width="12.28515625" style="406" bestFit="1" customWidth="1"/>
    <col min="11" max="11" width="8.140625" style="406" customWidth="1"/>
    <col min="12" max="12" width="8.5703125" style="406" bestFit="1" customWidth="1"/>
    <col min="13" max="13" width="8.28515625" style="406" bestFit="1" customWidth="1"/>
    <col min="14" max="14" width="9.42578125" style="406" bestFit="1" customWidth="1"/>
    <col min="15" max="15" width="11.28515625" style="397" hidden="1" customWidth="1"/>
    <col min="16" max="16384" width="9.140625" style="398"/>
  </cols>
  <sheetData>
    <row r="1" spans="1:15" x14ac:dyDescent="0.25">
      <c r="A1" s="919" t="s">
        <v>676</v>
      </c>
      <c r="B1" s="919"/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  <c r="N1" s="919"/>
    </row>
    <row r="2" spans="1:15" x14ac:dyDescent="0.25">
      <c r="A2" s="919" t="s">
        <v>403</v>
      </c>
      <c r="B2" s="919"/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</row>
    <row r="3" spans="1:15" ht="11.25" x14ac:dyDescent="0.25">
      <c r="A3" s="920" t="s">
        <v>404</v>
      </c>
      <c r="B3" s="920"/>
      <c r="C3" s="920"/>
      <c r="D3" s="920"/>
      <c r="E3" s="920"/>
      <c r="F3" s="920"/>
      <c r="G3" s="920"/>
      <c r="H3" s="920"/>
      <c r="I3" s="920"/>
      <c r="J3" s="920"/>
      <c r="K3" s="920"/>
      <c r="L3" s="920"/>
      <c r="M3" s="920"/>
      <c r="N3" s="920"/>
    </row>
    <row r="4" spans="1:15" ht="11.25" x14ac:dyDescent="0.25">
      <c r="A4" s="920"/>
      <c r="B4" s="920"/>
      <c r="C4" s="920"/>
      <c r="D4" s="920"/>
      <c r="E4" s="920"/>
      <c r="F4" s="920"/>
      <c r="G4" s="920"/>
      <c r="H4" s="920"/>
      <c r="I4" s="920"/>
      <c r="J4" s="920"/>
      <c r="K4" s="920"/>
      <c r="L4" s="920"/>
      <c r="M4" s="920"/>
      <c r="N4" s="920"/>
    </row>
    <row r="5" spans="1:15" x14ac:dyDescent="0.25">
      <c r="A5" s="375"/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920" t="s">
        <v>368</v>
      </c>
      <c r="N5" s="920"/>
    </row>
    <row r="6" spans="1:15" x14ac:dyDescent="0.25">
      <c r="A6" s="376" t="s">
        <v>7</v>
      </c>
      <c r="B6" s="377" t="s">
        <v>369</v>
      </c>
      <c r="C6" s="377" t="s">
        <v>370</v>
      </c>
      <c r="D6" s="377" t="s">
        <v>371</v>
      </c>
      <c r="E6" s="377" t="s">
        <v>372</v>
      </c>
      <c r="F6" s="377" t="s">
        <v>373</v>
      </c>
      <c r="G6" s="377" t="s">
        <v>374</v>
      </c>
      <c r="H6" s="377" t="s">
        <v>375</v>
      </c>
      <c r="I6" s="377" t="s">
        <v>376</v>
      </c>
      <c r="J6" s="377" t="s">
        <v>377</v>
      </c>
      <c r="K6" s="377" t="s">
        <v>378</v>
      </c>
      <c r="L6" s="377" t="s">
        <v>379</v>
      </c>
      <c r="M6" s="377" t="s">
        <v>380</v>
      </c>
      <c r="N6" s="376" t="s">
        <v>381</v>
      </c>
    </row>
    <row r="7" spans="1:15" ht="12.75" x14ac:dyDescent="0.25">
      <c r="A7" s="378" t="s">
        <v>13</v>
      </c>
      <c r="B7" s="379">
        <v>5920</v>
      </c>
      <c r="C7" s="379">
        <v>5920</v>
      </c>
      <c r="D7" s="379">
        <v>5920</v>
      </c>
      <c r="E7" s="379">
        <v>5920</v>
      </c>
      <c r="F7" s="379">
        <v>5920</v>
      </c>
      <c r="G7" s="379">
        <v>5920</v>
      </c>
      <c r="H7" s="379">
        <v>5920</v>
      </c>
      <c r="I7" s="379">
        <v>5920</v>
      </c>
      <c r="J7" s="379">
        <v>5920</v>
      </c>
      <c r="K7" s="379">
        <v>5920</v>
      </c>
      <c r="L7" s="379">
        <v>5920</v>
      </c>
      <c r="M7" s="379">
        <v>5919</v>
      </c>
      <c r="N7" s="381">
        <f>B7+C7+D7+E7+F7+G7+H7+I7+J7+K7+M7+L7</f>
        <v>71039</v>
      </c>
      <c r="O7" s="399">
        <v>71039</v>
      </c>
    </row>
    <row r="8" spans="1:15" ht="12.75" x14ac:dyDescent="0.25">
      <c r="A8" s="378" t="s">
        <v>382</v>
      </c>
      <c r="B8" s="379">
        <v>1177</v>
      </c>
      <c r="C8" s="379">
        <v>1177</v>
      </c>
      <c r="D8" s="379">
        <v>1177</v>
      </c>
      <c r="E8" s="379">
        <v>1177</v>
      </c>
      <c r="F8" s="379">
        <v>1177</v>
      </c>
      <c r="G8" s="379">
        <v>1177</v>
      </c>
      <c r="H8" s="379">
        <v>1177</v>
      </c>
      <c r="I8" s="379">
        <v>1177</v>
      </c>
      <c r="J8" s="379">
        <v>1177</v>
      </c>
      <c r="K8" s="379">
        <v>1176</v>
      </c>
      <c r="L8" s="379">
        <v>1176</v>
      </c>
      <c r="M8" s="379">
        <v>1176</v>
      </c>
      <c r="N8" s="381">
        <f t="shared" ref="N8:N17" si="0">B8+C8+D8+E8+F8+G8+H8+I8+J8+K8+M8+L8</f>
        <v>14121</v>
      </c>
      <c r="O8" s="399">
        <v>14121</v>
      </c>
    </row>
    <row r="9" spans="1:15" ht="12.75" x14ac:dyDescent="0.25">
      <c r="A9" s="378" t="s">
        <v>15</v>
      </c>
      <c r="B9" s="379">
        <v>11147</v>
      </c>
      <c r="C9" s="379">
        <v>11147</v>
      </c>
      <c r="D9" s="379">
        <v>11147</v>
      </c>
      <c r="E9" s="379">
        <v>11147</v>
      </c>
      <c r="F9" s="379">
        <v>11147</v>
      </c>
      <c r="G9" s="379">
        <v>11147</v>
      </c>
      <c r="H9" s="379">
        <v>11147</v>
      </c>
      <c r="I9" s="379">
        <v>11147</v>
      </c>
      <c r="J9" s="379">
        <v>11147</v>
      </c>
      <c r="K9" s="379">
        <v>11147</v>
      </c>
      <c r="L9" s="379">
        <v>11148</v>
      </c>
      <c r="M9" s="379">
        <v>11148</v>
      </c>
      <c r="N9" s="381">
        <f t="shared" si="0"/>
        <v>133766</v>
      </c>
      <c r="O9" s="399">
        <v>133766</v>
      </c>
    </row>
    <row r="10" spans="1:15" ht="12.75" x14ac:dyDescent="0.25">
      <c r="A10" s="378" t="s">
        <v>383</v>
      </c>
      <c r="B10" s="379">
        <v>680</v>
      </c>
      <c r="C10" s="379">
        <v>680</v>
      </c>
      <c r="D10" s="379">
        <v>680</v>
      </c>
      <c r="E10" s="379">
        <v>680</v>
      </c>
      <c r="F10" s="379">
        <v>680</v>
      </c>
      <c r="G10" s="379">
        <v>680</v>
      </c>
      <c r="H10" s="379">
        <v>680</v>
      </c>
      <c r="I10" s="379">
        <v>680</v>
      </c>
      <c r="J10" s="379">
        <v>680</v>
      </c>
      <c r="K10" s="379">
        <v>680</v>
      </c>
      <c r="L10" s="379">
        <v>681</v>
      </c>
      <c r="M10" s="379">
        <v>681</v>
      </c>
      <c r="N10" s="381">
        <f t="shared" si="0"/>
        <v>8162</v>
      </c>
      <c r="O10" s="399">
        <v>8162</v>
      </c>
    </row>
    <row r="11" spans="1:15" ht="12.75" x14ac:dyDescent="0.25">
      <c r="A11" s="378" t="s">
        <v>384</v>
      </c>
      <c r="B11" s="379">
        <v>843</v>
      </c>
      <c r="C11" s="379">
        <v>843</v>
      </c>
      <c r="D11" s="379">
        <v>843</v>
      </c>
      <c r="E11" s="379">
        <v>843</v>
      </c>
      <c r="F11" s="379">
        <v>843</v>
      </c>
      <c r="G11" s="379">
        <v>843</v>
      </c>
      <c r="H11" s="379">
        <v>843</v>
      </c>
      <c r="I11" s="379">
        <v>843</v>
      </c>
      <c r="J11" s="379">
        <v>843</v>
      </c>
      <c r="K11" s="379">
        <v>843</v>
      </c>
      <c r="L11" s="379">
        <v>844</v>
      </c>
      <c r="M11" s="379">
        <v>844</v>
      </c>
      <c r="N11" s="381">
        <f t="shared" si="0"/>
        <v>10118</v>
      </c>
      <c r="O11" s="399">
        <v>10118</v>
      </c>
    </row>
    <row r="12" spans="1:15" ht="12.75" x14ac:dyDescent="0.25">
      <c r="A12" s="378" t="s">
        <v>405</v>
      </c>
      <c r="B12" s="379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1">
        <f t="shared" si="0"/>
        <v>0</v>
      </c>
      <c r="O12" s="399"/>
    </row>
    <row r="13" spans="1:15" ht="12.75" x14ac:dyDescent="0.25">
      <c r="A13" s="378" t="s">
        <v>385</v>
      </c>
      <c r="B13" s="379">
        <v>33154</v>
      </c>
      <c r="C13" s="379">
        <v>33154</v>
      </c>
      <c r="D13" s="379">
        <v>33154</v>
      </c>
      <c r="E13" s="379">
        <v>33154</v>
      </c>
      <c r="F13" s="379">
        <v>33154</v>
      </c>
      <c r="G13" s="379">
        <v>33154</v>
      </c>
      <c r="H13" s="379">
        <v>33154</v>
      </c>
      <c r="I13" s="379">
        <v>33154</v>
      </c>
      <c r="J13" s="379">
        <v>33154</v>
      </c>
      <c r="K13" s="379">
        <v>33154</v>
      </c>
      <c r="L13" s="379">
        <v>33154</v>
      </c>
      <c r="M13" s="379">
        <v>33153</v>
      </c>
      <c r="N13" s="381">
        <f t="shared" si="0"/>
        <v>397847</v>
      </c>
      <c r="O13" s="399">
        <v>397847</v>
      </c>
    </row>
    <row r="14" spans="1:15" ht="12.75" x14ac:dyDescent="0.25">
      <c r="A14" s="378" t="s">
        <v>810</v>
      </c>
      <c r="B14" s="379">
        <v>2371</v>
      </c>
      <c r="C14" s="379">
        <v>2371</v>
      </c>
      <c r="D14" s="379">
        <v>2371</v>
      </c>
      <c r="E14" s="379">
        <v>2371</v>
      </c>
      <c r="F14" s="379">
        <v>2371</v>
      </c>
      <c r="G14" s="379">
        <v>2371</v>
      </c>
      <c r="H14" s="379">
        <v>2371</v>
      </c>
      <c r="I14" s="379">
        <v>2372</v>
      </c>
      <c r="J14" s="379">
        <v>2372</v>
      </c>
      <c r="K14" s="379">
        <v>2372</v>
      </c>
      <c r="L14" s="379">
        <v>2372</v>
      </c>
      <c r="M14" s="379">
        <v>2372</v>
      </c>
      <c r="N14" s="381">
        <f t="shared" si="0"/>
        <v>28457</v>
      </c>
      <c r="O14" s="399">
        <v>28457</v>
      </c>
    </row>
    <row r="15" spans="1:15" ht="12.75" x14ac:dyDescent="0.2">
      <c r="A15" s="400" t="s">
        <v>809</v>
      </c>
      <c r="B15" s="379">
        <v>1137</v>
      </c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1">
        <f t="shared" si="0"/>
        <v>1137</v>
      </c>
      <c r="O15" s="399">
        <v>1137</v>
      </c>
    </row>
    <row r="16" spans="1:15" ht="12.75" x14ac:dyDescent="0.25">
      <c r="A16" s="378" t="s">
        <v>406</v>
      </c>
      <c r="B16" s="379">
        <v>8328</v>
      </c>
      <c r="C16" s="379">
        <v>8328</v>
      </c>
      <c r="D16" s="379">
        <v>8328</v>
      </c>
      <c r="E16" s="379">
        <v>8328</v>
      </c>
      <c r="F16" s="379">
        <v>8328</v>
      </c>
      <c r="G16" s="379">
        <v>8328</v>
      </c>
      <c r="H16" s="379">
        <v>8328</v>
      </c>
      <c r="I16" s="379">
        <v>8328</v>
      </c>
      <c r="J16" s="379">
        <v>8328</v>
      </c>
      <c r="K16" s="379">
        <v>8328</v>
      </c>
      <c r="L16" s="379">
        <v>8328</v>
      </c>
      <c r="M16" s="379">
        <v>8328</v>
      </c>
      <c r="N16" s="381">
        <f t="shared" si="0"/>
        <v>99936</v>
      </c>
      <c r="O16" s="399">
        <v>99936</v>
      </c>
    </row>
    <row r="17" spans="1:16" ht="12.75" x14ac:dyDescent="0.25">
      <c r="A17" s="378" t="s">
        <v>407</v>
      </c>
      <c r="B17" s="379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1">
        <f t="shared" si="0"/>
        <v>0</v>
      </c>
      <c r="O17" s="399"/>
    </row>
    <row r="18" spans="1:16" ht="12.75" x14ac:dyDescent="0.25">
      <c r="A18" s="382" t="s">
        <v>386</v>
      </c>
      <c r="B18" s="379">
        <f>SUM(B7:B17)</f>
        <v>64757</v>
      </c>
      <c r="C18" s="380">
        <f t="shared" ref="C18:K18" si="1">SUM(C7:C16)</f>
        <v>63620</v>
      </c>
      <c r="D18" s="380">
        <f t="shared" si="1"/>
        <v>63620</v>
      </c>
      <c r="E18" s="380">
        <f t="shared" si="1"/>
        <v>63620</v>
      </c>
      <c r="F18" s="380">
        <f t="shared" si="1"/>
        <v>63620</v>
      </c>
      <c r="G18" s="380">
        <f t="shared" si="1"/>
        <v>63620</v>
      </c>
      <c r="H18" s="380">
        <f>SUM(H7:H17)</f>
        <v>63620</v>
      </c>
      <c r="I18" s="380">
        <f t="shared" si="1"/>
        <v>63621</v>
      </c>
      <c r="J18" s="380">
        <f t="shared" si="1"/>
        <v>63621</v>
      </c>
      <c r="K18" s="380">
        <f t="shared" si="1"/>
        <v>63620</v>
      </c>
      <c r="L18" s="380">
        <f>SUM(L7:L16)</f>
        <v>63623</v>
      </c>
      <c r="M18" s="380">
        <f>SUM(M7:M16)</f>
        <v>63621</v>
      </c>
      <c r="N18" s="381">
        <f>SUM(N7:N17)</f>
        <v>764583</v>
      </c>
      <c r="O18" s="401">
        <f>SUM(O7:O17)</f>
        <v>764583</v>
      </c>
    </row>
    <row r="19" spans="1:16" ht="15" x14ac:dyDescent="0.25">
      <c r="A19" s="383"/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5"/>
    </row>
    <row r="20" spans="1:16" ht="12.75" x14ac:dyDescent="0.25">
      <c r="A20" s="378" t="s">
        <v>387</v>
      </c>
      <c r="B20" s="380">
        <v>1204</v>
      </c>
      <c r="C20" s="380">
        <v>1204</v>
      </c>
      <c r="D20" s="380">
        <v>1204</v>
      </c>
      <c r="E20" s="380">
        <v>1204</v>
      </c>
      <c r="F20" s="380">
        <v>1204</v>
      </c>
      <c r="G20" s="380">
        <v>1204</v>
      </c>
      <c r="H20" s="380">
        <v>1204</v>
      </c>
      <c r="I20" s="380">
        <v>1204</v>
      </c>
      <c r="J20" s="380">
        <v>1204</v>
      </c>
      <c r="K20" s="380">
        <v>1205</v>
      </c>
      <c r="L20" s="380">
        <v>1205</v>
      </c>
      <c r="M20" s="380">
        <v>1205</v>
      </c>
      <c r="N20" s="381">
        <f t="shared" ref="N20:N26" si="2">SUM(B20:M20)</f>
        <v>14451</v>
      </c>
      <c r="O20" s="397">
        <v>14451</v>
      </c>
    </row>
    <row r="21" spans="1:16" ht="12.75" x14ac:dyDescent="0.25">
      <c r="A21" s="378" t="s">
        <v>46</v>
      </c>
      <c r="B21" s="380">
        <v>3402</v>
      </c>
      <c r="C21" s="380">
        <v>3402</v>
      </c>
      <c r="D21" s="380">
        <v>3402</v>
      </c>
      <c r="E21" s="380">
        <v>3402</v>
      </c>
      <c r="F21" s="380">
        <v>3402</v>
      </c>
      <c r="G21" s="380">
        <v>3402</v>
      </c>
      <c r="H21" s="380">
        <v>3403</v>
      </c>
      <c r="I21" s="380">
        <v>3403</v>
      </c>
      <c r="J21" s="380">
        <v>3403</v>
      </c>
      <c r="K21" s="380">
        <v>3403</v>
      </c>
      <c r="L21" s="380">
        <v>3403</v>
      </c>
      <c r="M21" s="380">
        <v>3403</v>
      </c>
      <c r="N21" s="381">
        <f t="shared" si="2"/>
        <v>40830</v>
      </c>
      <c r="O21" s="397">
        <v>40830</v>
      </c>
    </row>
    <row r="22" spans="1:16" ht="12.75" x14ac:dyDescent="0.25">
      <c r="A22" s="386" t="s">
        <v>54</v>
      </c>
      <c r="B22" s="379">
        <v>12680</v>
      </c>
      <c r="C22" s="379">
        <v>12680</v>
      </c>
      <c r="D22" s="379">
        <v>12680</v>
      </c>
      <c r="E22" s="379">
        <v>12680</v>
      </c>
      <c r="F22" s="379">
        <v>12680</v>
      </c>
      <c r="G22" s="379">
        <v>12680</v>
      </c>
      <c r="H22" s="379">
        <v>12680</v>
      </c>
      <c r="I22" s="379">
        <v>12680</v>
      </c>
      <c r="J22" s="379">
        <v>12680</v>
      </c>
      <c r="K22" s="379">
        <v>12680</v>
      </c>
      <c r="L22" s="379">
        <v>12681</v>
      </c>
      <c r="M22" s="379">
        <v>12681</v>
      </c>
      <c r="N22" s="381">
        <f t="shared" si="2"/>
        <v>152162</v>
      </c>
      <c r="O22" s="397">
        <v>152162</v>
      </c>
    </row>
    <row r="23" spans="1:16" ht="12.75" x14ac:dyDescent="0.25">
      <c r="A23" s="378" t="s">
        <v>389</v>
      </c>
      <c r="B23" s="379">
        <v>1207</v>
      </c>
      <c r="C23" s="379">
        <v>1207</v>
      </c>
      <c r="D23" s="379">
        <v>1207</v>
      </c>
      <c r="E23" s="379">
        <v>1207</v>
      </c>
      <c r="F23" s="379">
        <v>1207</v>
      </c>
      <c r="G23" s="379">
        <v>1207</v>
      </c>
      <c r="H23" s="379">
        <v>1207</v>
      </c>
      <c r="I23" s="379">
        <v>1207</v>
      </c>
      <c r="J23" s="379">
        <v>1207</v>
      </c>
      <c r="K23" s="379">
        <v>1207</v>
      </c>
      <c r="L23" s="379">
        <v>1207</v>
      </c>
      <c r="M23" s="379">
        <v>1206</v>
      </c>
      <c r="N23" s="381">
        <f t="shared" si="2"/>
        <v>14483</v>
      </c>
      <c r="O23" s="397">
        <v>14483</v>
      </c>
      <c r="P23" s="402"/>
    </row>
    <row r="24" spans="1:16" ht="12.75" x14ac:dyDescent="0.25">
      <c r="A24" s="378" t="s">
        <v>71</v>
      </c>
      <c r="B24" s="379">
        <v>656</v>
      </c>
      <c r="C24" s="379">
        <v>656</v>
      </c>
      <c r="D24" s="379">
        <v>656</v>
      </c>
      <c r="E24" s="379">
        <v>656</v>
      </c>
      <c r="F24" s="379">
        <v>656</v>
      </c>
      <c r="G24" s="379">
        <v>656</v>
      </c>
      <c r="H24" s="379">
        <v>656</v>
      </c>
      <c r="I24" s="379">
        <v>656</v>
      </c>
      <c r="J24" s="379">
        <v>655</v>
      </c>
      <c r="K24" s="379">
        <v>655</v>
      </c>
      <c r="L24" s="379">
        <v>655</v>
      </c>
      <c r="M24" s="379">
        <v>655</v>
      </c>
      <c r="N24" s="381">
        <f t="shared" si="2"/>
        <v>7868</v>
      </c>
      <c r="O24" s="397">
        <v>7868</v>
      </c>
    </row>
    <row r="25" spans="1:16" ht="12.75" x14ac:dyDescent="0.25">
      <c r="A25" s="378" t="s">
        <v>81</v>
      </c>
      <c r="B25" s="379"/>
      <c r="C25" s="379"/>
      <c r="D25" s="379"/>
      <c r="E25" s="379"/>
      <c r="F25" s="379">
        <v>33685</v>
      </c>
      <c r="G25" s="379">
        <v>33685</v>
      </c>
      <c r="H25" s="379">
        <v>33685</v>
      </c>
      <c r="I25" s="379">
        <v>33685</v>
      </c>
      <c r="J25" s="379">
        <v>33685</v>
      </c>
      <c r="K25" s="379">
        <v>33685</v>
      </c>
      <c r="L25" s="379">
        <v>33684</v>
      </c>
      <c r="M25" s="379">
        <v>33684</v>
      </c>
      <c r="N25" s="381">
        <f t="shared" si="2"/>
        <v>269478</v>
      </c>
      <c r="O25" s="397">
        <v>269478</v>
      </c>
    </row>
    <row r="26" spans="1:16" ht="12.75" x14ac:dyDescent="0.25">
      <c r="A26" s="378" t="s">
        <v>95</v>
      </c>
      <c r="B26" s="379">
        <v>22109</v>
      </c>
      <c r="C26" s="379">
        <v>22109</v>
      </c>
      <c r="D26" s="379">
        <v>22109</v>
      </c>
      <c r="E26" s="379">
        <v>22109</v>
      </c>
      <c r="F26" s="379">
        <v>22110</v>
      </c>
      <c r="G26" s="379">
        <v>22110</v>
      </c>
      <c r="H26" s="379">
        <v>22110</v>
      </c>
      <c r="I26" s="379">
        <v>22109</v>
      </c>
      <c r="J26" s="379">
        <v>22109</v>
      </c>
      <c r="K26" s="379">
        <v>22109</v>
      </c>
      <c r="L26" s="379">
        <v>22109</v>
      </c>
      <c r="M26" s="379">
        <v>22109</v>
      </c>
      <c r="N26" s="381">
        <f t="shared" si="2"/>
        <v>265311</v>
      </c>
      <c r="O26" s="397">
        <v>265311</v>
      </c>
    </row>
    <row r="27" spans="1:16" ht="12.75" x14ac:dyDescent="0.25">
      <c r="A27" s="378" t="s">
        <v>407</v>
      </c>
      <c r="B27" s="379"/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1">
        <v>0</v>
      </c>
    </row>
    <row r="28" spans="1:16" ht="14.25" x14ac:dyDescent="0.25">
      <c r="A28" s="387" t="s">
        <v>390</v>
      </c>
      <c r="B28" s="388">
        <f>+B20+B21+B22+B23+B24+B26+B25</f>
        <v>41258</v>
      </c>
      <c r="C28" s="388">
        <f t="shared" ref="C28:L28" si="3">+C20+C21+C22+C23+C24+C26+C25</f>
        <v>41258</v>
      </c>
      <c r="D28" s="388">
        <f t="shared" si="3"/>
        <v>41258</v>
      </c>
      <c r="E28" s="388">
        <f t="shared" si="3"/>
        <v>41258</v>
      </c>
      <c r="F28" s="388">
        <f t="shared" si="3"/>
        <v>74944</v>
      </c>
      <c r="G28" s="388">
        <f t="shared" si="3"/>
        <v>74944</v>
      </c>
      <c r="H28" s="388">
        <f t="shared" si="3"/>
        <v>74945</v>
      </c>
      <c r="I28" s="388">
        <f t="shared" si="3"/>
        <v>74944</v>
      </c>
      <c r="J28" s="388">
        <f t="shared" si="3"/>
        <v>74943</v>
      </c>
      <c r="K28" s="388">
        <f t="shared" si="3"/>
        <v>74944</v>
      </c>
      <c r="L28" s="388">
        <f t="shared" si="3"/>
        <v>74944</v>
      </c>
      <c r="M28" s="388">
        <f>+M20+M21+M22+M23+M24+M26+M25+M27</f>
        <v>74943</v>
      </c>
      <c r="N28" s="381">
        <f>N20+N21+N22+N23+N24+N25+N26+N27</f>
        <v>764583</v>
      </c>
      <c r="O28" s="381">
        <f>O20+O21+O22+O23+O24+O25+O26+O27</f>
        <v>764583</v>
      </c>
    </row>
    <row r="29" spans="1:16" ht="14.25" hidden="1" x14ac:dyDescent="0.25">
      <c r="A29" s="403"/>
      <c r="B29" s="404">
        <f t="shared" ref="B29:M29" si="4">+B18-B28</f>
        <v>23499</v>
      </c>
      <c r="C29" s="404">
        <f t="shared" si="4"/>
        <v>22362</v>
      </c>
      <c r="D29" s="404">
        <f t="shared" si="4"/>
        <v>22362</v>
      </c>
      <c r="E29" s="404">
        <f t="shared" si="4"/>
        <v>22362</v>
      </c>
      <c r="F29" s="404">
        <f t="shared" si="4"/>
        <v>-11324</v>
      </c>
      <c r="G29" s="404">
        <f t="shared" si="4"/>
        <v>-11324</v>
      </c>
      <c r="H29" s="404">
        <f t="shared" si="4"/>
        <v>-11325</v>
      </c>
      <c r="I29" s="404">
        <f t="shared" si="4"/>
        <v>-11323</v>
      </c>
      <c r="J29" s="404">
        <f t="shared" si="4"/>
        <v>-11322</v>
      </c>
      <c r="K29" s="404">
        <f t="shared" si="4"/>
        <v>-11324</v>
      </c>
      <c r="L29" s="404">
        <f t="shared" si="4"/>
        <v>-11321</v>
      </c>
      <c r="M29" s="404">
        <f t="shared" si="4"/>
        <v>-11322</v>
      </c>
      <c r="N29" s="405">
        <f>SUM(N20:N27)</f>
        <v>764583</v>
      </c>
    </row>
    <row r="30" spans="1:16" ht="14.25" x14ac:dyDescent="0.25">
      <c r="A30" s="403"/>
      <c r="B30" s="404"/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5"/>
    </row>
    <row r="31" spans="1:16" ht="14.25" x14ac:dyDescent="0.25">
      <c r="A31" s="403"/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5"/>
    </row>
    <row r="32" spans="1:16" ht="14.25" x14ac:dyDescent="0.25">
      <c r="A32" s="403"/>
      <c r="B32" s="404"/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5"/>
    </row>
    <row r="33" spans="1:14" ht="14.25" x14ac:dyDescent="0.25">
      <c r="A33" s="403"/>
      <c r="B33" s="404"/>
      <c r="C33" s="404"/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5"/>
    </row>
    <row r="34" spans="1:14" ht="14.25" x14ac:dyDescent="0.25">
      <c r="A34" s="403"/>
      <c r="B34" s="404"/>
      <c r="C34" s="404"/>
      <c r="D34" s="404"/>
      <c r="E34" s="404"/>
      <c r="F34" s="404"/>
      <c r="G34" s="404"/>
      <c r="H34" s="404"/>
      <c r="I34" s="404"/>
      <c r="J34" s="404"/>
      <c r="K34" s="404"/>
      <c r="L34" s="404"/>
      <c r="M34" s="404"/>
      <c r="N34" s="405"/>
    </row>
    <row r="35" spans="1:14" ht="14.25" x14ac:dyDescent="0.25">
      <c r="A35" s="403"/>
      <c r="B35" s="404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5"/>
    </row>
    <row r="36" spans="1:14" ht="14.25" x14ac:dyDescent="0.25">
      <c r="A36" s="403"/>
      <c r="B36" s="404"/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405"/>
    </row>
    <row r="37" spans="1:14" ht="14.25" x14ac:dyDescent="0.25">
      <c r="A37" s="403"/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5"/>
    </row>
    <row r="38" spans="1:14" x14ac:dyDescent="0.25"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</row>
    <row r="44" spans="1:14" x14ac:dyDescent="0.25">
      <c r="A44" s="408"/>
    </row>
    <row r="45" spans="1:14" x14ac:dyDescent="0.25">
      <c r="A45" s="408"/>
    </row>
    <row r="46" spans="1:14" x14ac:dyDescent="0.25">
      <c r="A46" s="408"/>
    </row>
    <row r="47" spans="1:14" x14ac:dyDescent="0.25">
      <c r="A47" s="408"/>
    </row>
    <row r="48" spans="1:14" x14ac:dyDescent="0.25">
      <c r="A48" s="408"/>
    </row>
    <row r="49" spans="1:17" x14ac:dyDescent="0.25">
      <c r="A49" s="408"/>
    </row>
    <row r="50" spans="1:17" x14ac:dyDescent="0.25">
      <c r="A50" s="408"/>
    </row>
    <row r="51" spans="1:17" x14ac:dyDescent="0.25">
      <c r="A51" s="408"/>
    </row>
    <row r="52" spans="1:17" x14ac:dyDescent="0.25">
      <c r="A52" s="408"/>
    </row>
    <row r="53" spans="1:17" x14ac:dyDescent="0.25">
      <c r="A53" s="408"/>
    </row>
    <row r="54" spans="1:17" x14ac:dyDescent="0.25">
      <c r="A54" s="408"/>
    </row>
    <row r="55" spans="1:17" x14ac:dyDescent="0.25">
      <c r="A55" s="408"/>
      <c r="Q55" s="398">
        <f>+O55+O45</f>
        <v>0</v>
      </c>
    </row>
    <row r="56" spans="1:17" x14ac:dyDescent="0.25">
      <c r="A56" s="408"/>
    </row>
    <row r="57" spans="1:17" x14ac:dyDescent="0.25">
      <c r="A57" s="408"/>
    </row>
    <row r="58" spans="1:17" x14ac:dyDescent="0.25">
      <c r="A58" s="408"/>
    </row>
    <row r="59" spans="1:17" x14ac:dyDescent="0.25">
      <c r="A59" s="408"/>
    </row>
    <row r="60" spans="1:17" x14ac:dyDescent="0.25">
      <c r="A60" s="408"/>
    </row>
    <row r="61" spans="1:17" x14ac:dyDescent="0.25">
      <c r="A61" s="408"/>
    </row>
    <row r="62" spans="1:17" x14ac:dyDescent="0.25">
      <c r="A62" s="408"/>
    </row>
    <row r="63" spans="1:17" x14ac:dyDescent="0.25">
      <c r="A63" s="408"/>
    </row>
    <row r="64" spans="1:17" x14ac:dyDescent="0.25">
      <c r="A64" s="408"/>
    </row>
    <row r="68" spans="12:12" x14ac:dyDescent="0.25">
      <c r="L68" s="409"/>
    </row>
  </sheetData>
  <mergeCells count="4">
    <mergeCell ref="A1:N1"/>
    <mergeCell ref="A2:N2"/>
    <mergeCell ref="A3:N4"/>
    <mergeCell ref="M5:N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9"/>
  <sheetViews>
    <sheetView tabSelected="1" topLeftCell="A25" workbookViewId="0">
      <selection activeCell="V42" sqref="V42"/>
    </sheetView>
  </sheetViews>
  <sheetFormatPr defaultRowHeight="15" x14ac:dyDescent="0.25"/>
  <cols>
    <col min="1" max="17" width="3.140625" customWidth="1"/>
    <col min="18" max="18" width="2.140625" customWidth="1"/>
    <col min="19" max="19" width="9.7109375" customWidth="1"/>
    <col min="20" max="21" width="3.140625" customWidth="1"/>
    <col min="22" max="22" width="10.42578125" customWidth="1"/>
    <col min="23" max="23" width="8.85546875" customWidth="1"/>
    <col min="24" max="24" width="14.85546875" customWidth="1"/>
    <col min="25" max="25" width="11" customWidth="1"/>
    <col min="26" max="26" width="13.140625" style="139" customWidth="1"/>
    <col min="27" max="27" width="14.28515625" style="139" customWidth="1"/>
    <col min="28" max="29" width="13.28515625" style="1038" customWidth="1"/>
    <col min="30" max="33" width="14.28515625" style="1038" customWidth="1"/>
    <col min="34" max="34" width="13.5703125" style="1038" customWidth="1"/>
    <col min="35" max="35" width="15.140625" style="559" customWidth="1"/>
    <col min="36" max="36" width="13.42578125" style="559" bestFit="1" customWidth="1"/>
    <col min="37" max="37" width="15.28515625" style="559" bestFit="1" customWidth="1"/>
    <col min="38" max="38" width="14" style="559" customWidth="1"/>
    <col min="39" max="39" width="13.42578125" style="559" bestFit="1" customWidth="1"/>
    <col min="40" max="41" width="13" style="559" customWidth="1"/>
    <col min="42" max="42" width="11.7109375" style="559" bestFit="1" customWidth="1"/>
    <col min="43" max="43" width="14" style="559" customWidth="1"/>
    <col min="44" max="44" width="14.5703125" style="559" bestFit="1" customWidth="1"/>
    <col min="45" max="46" width="14.28515625" style="559" customWidth="1"/>
    <col min="47" max="47" width="12.140625" style="559" customWidth="1"/>
    <col min="48" max="48" width="13" style="559" customWidth="1"/>
    <col min="49" max="49" width="12.85546875" style="559" customWidth="1"/>
    <col min="50" max="50" width="12.140625" style="559" customWidth="1"/>
    <col min="51" max="51" width="12.5703125" style="559" bestFit="1" customWidth="1"/>
    <col min="52" max="16384" width="9.140625" style="559"/>
  </cols>
  <sheetData>
    <row r="1" spans="1:51" ht="18.75" x14ac:dyDescent="0.25">
      <c r="A1" s="410"/>
      <c r="B1" s="411"/>
      <c r="C1" s="451" t="s">
        <v>663</v>
      </c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</row>
    <row r="2" spans="1:51" ht="18.75" x14ac:dyDescent="0.25">
      <c r="A2" s="411"/>
      <c r="B2" s="411"/>
      <c r="C2" s="451" t="s">
        <v>3</v>
      </c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</row>
    <row r="3" spans="1:51" ht="16.5" thickBot="1" x14ac:dyDescent="0.3">
      <c r="A3" s="411"/>
      <c r="B3" s="411"/>
      <c r="C3" s="412" t="s">
        <v>408</v>
      </c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</row>
    <row r="4" spans="1:51" ht="30" x14ac:dyDescent="0.25">
      <c r="A4" s="411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4" t="s">
        <v>823</v>
      </c>
      <c r="W4" s="1039"/>
      <c r="X4" s="1040"/>
      <c r="Y4" s="1040"/>
      <c r="AB4" s="1041"/>
      <c r="AC4" s="1041"/>
      <c r="AD4" s="1041"/>
      <c r="AE4" s="1041"/>
      <c r="AF4" s="1041"/>
      <c r="AG4" s="1041"/>
      <c r="AH4" s="1041"/>
    </row>
    <row r="5" spans="1:51" x14ac:dyDescent="0.25">
      <c r="A5" s="946" t="s">
        <v>7</v>
      </c>
      <c r="B5" s="947"/>
      <c r="C5" s="947"/>
      <c r="D5" s="947"/>
      <c r="E5" s="947"/>
      <c r="F5" s="947"/>
      <c r="G5" s="947"/>
      <c r="H5" s="947"/>
      <c r="I5" s="947"/>
      <c r="J5" s="947"/>
      <c r="K5" s="947"/>
      <c r="L5" s="947"/>
      <c r="M5" s="947"/>
      <c r="N5" s="947"/>
      <c r="O5" s="947"/>
      <c r="P5" s="947"/>
      <c r="Q5" s="947"/>
      <c r="R5" s="947"/>
      <c r="S5" s="948"/>
      <c r="T5" s="952" t="s">
        <v>6</v>
      </c>
      <c r="U5" s="953"/>
      <c r="V5" s="92" t="s">
        <v>409</v>
      </c>
    </row>
    <row r="6" spans="1:51" ht="78" customHeight="1" x14ac:dyDescent="0.25">
      <c r="A6" s="949"/>
      <c r="B6" s="950"/>
      <c r="C6" s="950"/>
      <c r="D6" s="950"/>
      <c r="E6" s="950"/>
      <c r="F6" s="950"/>
      <c r="G6" s="950"/>
      <c r="H6" s="950"/>
      <c r="I6" s="950"/>
      <c r="J6" s="950"/>
      <c r="K6" s="950"/>
      <c r="L6" s="950"/>
      <c r="M6" s="950"/>
      <c r="N6" s="950"/>
      <c r="O6" s="950"/>
      <c r="P6" s="950"/>
      <c r="Q6" s="950"/>
      <c r="R6" s="950"/>
      <c r="S6" s="951"/>
      <c r="T6" s="954"/>
      <c r="U6" s="955"/>
      <c r="V6" s="92" t="s">
        <v>409</v>
      </c>
      <c r="W6" s="1042" t="s">
        <v>410</v>
      </c>
      <c r="X6" s="1042" t="s">
        <v>521</v>
      </c>
      <c r="Y6" s="1042" t="s">
        <v>841</v>
      </c>
      <c r="Z6" s="1043" t="s">
        <v>842</v>
      </c>
      <c r="AA6" s="1043" t="s">
        <v>843</v>
      </c>
      <c r="AB6" s="1043" t="s">
        <v>844</v>
      </c>
      <c r="AC6" s="1043" t="s">
        <v>845</v>
      </c>
      <c r="AD6" s="1044" t="s">
        <v>846</v>
      </c>
      <c r="AE6" s="1044" t="s">
        <v>847</v>
      </c>
      <c r="AF6" s="1044" t="s">
        <v>848</v>
      </c>
      <c r="AG6" s="1044" t="s">
        <v>849</v>
      </c>
      <c r="AH6" s="1043" t="s">
        <v>850</v>
      </c>
      <c r="AI6" s="1044" t="s">
        <v>851</v>
      </c>
      <c r="AJ6" s="1045" t="s">
        <v>852</v>
      </c>
      <c r="AK6" s="1043" t="s">
        <v>853</v>
      </c>
      <c r="AL6" s="1043" t="s">
        <v>854</v>
      </c>
      <c r="AM6" s="1044" t="s">
        <v>855</v>
      </c>
      <c r="AN6" s="1044" t="s">
        <v>856</v>
      </c>
      <c r="AO6" s="1044" t="s">
        <v>857</v>
      </c>
      <c r="AP6" s="1043" t="s">
        <v>858</v>
      </c>
      <c r="AQ6" s="1043" t="s">
        <v>859</v>
      </c>
      <c r="AR6" s="1044" t="s">
        <v>860</v>
      </c>
      <c r="AS6" s="1044" t="s">
        <v>861</v>
      </c>
      <c r="AT6" s="1044" t="s">
        <v>862</v>
      </c>
      <c r="AU6" s="1044" t="s">
        <v>863</v>
      </c>
      <c r="AV6" s="1044" t="s">
        <v>864</v>
      </c>
      <c r="AW6" s="1044" t="s">
        <v>865</v>
      </c>
      <c r="AX6" s="1043" t="s">
        <v>866</v>
      </c>
      <c r="AY6" s="1044" t="s">
        <v>867</v>
      </c>
    </row>
    <row r="7" spans="1:51" x14ac:dyDescent="0.25">
      <c r="A7" s="956" t="s">
        <v>411</v>
      </c>
      <c r="B7" s="957"/>
      <c r="C7" s="957"/>
      <c r="D7" s="957"/>
      <c r="E7" s="957"/>
      <c r="F7" s="957"/>
      <c r="G7" s="957"/>
      <c r="H7" s="957"/>
      <c r="I7" s="957"/>
      <c r="J7" s="957"/>
      <c r="K7" s="957"/>
      <c r="L7" s="957"/>
      <c r="M7" s="957"/>
      <c r="N7" s="957"/>
      <c r="O7" s="957"/>
      <c r="P7" s="957"/>
      <c r="Q7" s="957"/>
      <c r="R7" s="957"/>
      <c r="S7" s="958"/>
      <c r="T7" s="959" t="s">
        <v>412</v>
      </c>
      <c r="U7" s="960"/>
      <c r="V7" s="1046" t="s">
        <v>413</v>
      </c>
      <c r="W7" s="1047"/>
      <c r="X7" s="1048">
        <f>SUM(Y7:AY7)</f>
        <v>75000</v>
      </c>
      <c r="Y7" s="1048">
        <v>11000</v>
      </c>
      <c r="AI7" s="1049">
        <v>14000</v>
      </c>
      <c r="AJ7" s="1038"/>
      <c r="AK7" s="1038">
        <v>3000</v>
      </c>
      <c r="AL7" s="1038"/>
      <c r="AM7" s="1038"/>
      <c r="AN7" s="1038"/>
      <c r="AO7" s="1038"/>
      <c r="AP7" s="1038">
        <v>6000</v>
      </c>
      <c r="AQ7" s="1038"/>
      <c r="AR7" s="1038">
        <v>41000</v>
      </c>
      <c r="AS7" s="1038"/>
      <c r="AT7" s="1038"/>
      <c r="AU7" s="1038"/>
      <c r="AV7" s="1038"/>
      <c r="AW7" s="1038"/>
      <c r="AX7" s="1038"/>
      <c r="AY7" s="1038"/>
    </row>
    <row r="8" spans="1:51" x14ac:dyDescent="0.25">
      <c r="A8" s="956" t="s">
        <v>414</v>
      </c>
      <c r="B8" s="957"/>
      <c r="C8" s="957"/>
      <c r="D8" s="957"/>
      <c r="E8" s="957"/>
      <c r="F8" s="957"/>
      <c r="G8" s="957"/>
      <c r="H8" s="957"/>
      <c r="I8" s="957"/>
      <c r="J8" s="957"/>
      <c r="K8" s="957"/>
      <c r="L8" s="957"/>
      <c r="M8" s="957"/>
      <c r="N8" s="957"/>
      <c r="O8" s="957"/>
      <c r="P8" s="957"/>
      <c r="Q8" s="957"/>
      <c r="R8" s="957"/>
      <c r="S8" s="958"/>
      <c r="T8" s="959" t="s">
        <v>415</v>
      </c>
      <c r="U8" s="960"/>
      <c r="V8" s="1050" t="s">
        <v>416</v>
      </c>
      <c r="W8" s="1047" t="s">
        <v>417</v>
      </c>
      <c r="X8" s="1048">
        <f>SUM(Y8:AY8)</f>
        <v>8700000</v>
      </c>
      <c r="Y8" s="1048">
        <v>15000</v>
      </c>
      <c r="AB8" s="1038">
        <v>120000</v>
      </c>
      <c r="AD8" s="1038">
        <v>237000</v>
      </c>
      <c r="AI8" s="1049">
        <v>3812000</v>
      </c>
      <c r="AJ8" s="1038"/>
      <c r="AK8" s="1038">
        <v>3315000</v>
      </c>
      <c r="AL8" s="1038">
        <v>12000</v>
      </c>
      <c r="AM8" s="1038"/>
      <c r="AN8" s="1038"/>
      <c r="AO8" s="1038"/>
      <c r="AP8" s="1038">
        <v>4000</v>
      </c>
      <c r="AQ8" s="1038">
        <v>3000</v>
      </c>
      <c r="AR8" s="1038">
        <v>164000</v>
      </c>
      <c r="AS8" s="1038">
        <v>79000</v>
      </c>
      <c r="AT8" s="1038">
        <v>597000</v>
      </c>
      <c r="AU8" s="1038"/>
      <c r="AV8" s="1038"/>
      <c r="AW8" s="1038">
        <v>18000</v>
      </c>
      <c r="AX8" s="1038">
        <v>24000</v>
      </c>
      <c r="AY8" s="1038">
        <v>300000</v>
      </c>
    </row>
    <row r="9" spans="1:51" ht="15.75" thickBot="1" x14ac:dyDescent="0.3">
      <c r="A9" s="956" t="s">
        <v>418</v>
      </c>
      <c r="B9" s="957"/>
      <c r="C9" s="957"/>
      <c r="D9" s="957"/>
      <c r="E9" s="957"/>
      <c r="F9" s="957"/>
      <c r="G9" s="957"/>
      <c r="H9" s="957"/>
      <c r="I9" s="957"/>
      <c r="J9" s="957"/>
      <c r="K9" s="957"/>
      <c r="L9" s="957"/>
      <c r="M9" s="957"/>
      <c r="N9" s="957"/>
      <c r="O9" s="957"/>
      <c r="P9" s="957"/>
      <c r="Q9" s="957"/>
      <c r="R9" s="957"/>
      <c r="S9" s="958"/>
      <c r="T9" s="959" t="s">
        <v>419</v>
      </c>
      <c r="U9" s="960"/>
      <c r="V9" s="1050" t="s">
        <v>420</v>
      </c>
      <c r="W9" s="1047" t="s">
        <v>421</v>
      </c>
      <c r="X9" s="1048">
        <f>SUM(Y9:AY9)</f>
        <v>0</v>
      </c>
      <c r="Y9" s="1048"/>
      <c r="AI9" s="1049"/>
      <c r="AJ9" s="1038"/>
      <c r="AK9" s="1038"/>
      <c r="AL9" s="1038"/>
      <c r="AM9" s="1038"/>
      <c r="AN9" s="1038"/>
      <c r="AO9" s="1038"/>
      <c r="AP9" s="1038"/>
      <c r="AQ9" s="1038"/>
      <c r="AR9" s="1038"/>
      <c r="AS9" s="1038"/>
      <c r="AT9" s="1038"/>
      <c r="AU9" s="1038"/>
      <c r="AV9" s="1038"/>
      <c r="AW9" s="1038"/>
      <c r="AX9" s="1038"/>
      <c r="AY9" s="1038"/>
    </row>
    <row r="10" spans="1:51" ht="16.5" thickBot="1" x14ac:dyDescent="0.3">
      <c r="A10" s="961" t="s">
        <v>422</v>
      </c>
      <c r="B10" s="962"/>
      <c r="C10" s="962"/>
      <c r="D10" s="962"/>
      <c r="E10" s="962"/>
      <c r="F10" s="962"/>
      <c r="G10" s="962"/>
      <c r="H10" s="962"/>
      <c r="I10" s="962"/>
      <c r="J10" s="962"/>
      <c r="K10" s="962"/>
      <c r="L10" s="962"/>
      <c r="M10" s="962"/>
      <c r="N10" s="962"/>
      <c r="O10" s="962"/>
      <c r="P10" s="962"/>
      <c r="Q10" s="962"/>
      <c r="R10" s="962"/>
      <c r="S10" s="963"/>
      <c r="T10" s="959" t="s">
        <v>423</v>
      </c>
      <c r="U10" s="960"/>
      <c r="V10" s="1050"/>
      <c r="W10" s="1047" t="s">
        <v>424</v>
      </c>
      <c r="X10" s="1051">
        <f>X7+X8+X9</f>
        <v>8775000</v>
      </c>
      <c r="Y10" s="1048">
        <f t="shared" ref="Y10:AY10" si="0">Y7+Y8+Y9</f>
        <v>26000</v>
      </c>
      <c r="Z10" s="1048">
        <f t="shared" si="0"/>
        <v>0</v>
      </c>
      <c r="AA10" s="1048">
        <f t="shared" si="0"/>
        <v>0</v>
      </c>
      <c r="AB10" s="1048">
        <f t="shared" si="0"/>
        <v>120000</v>
      </c>
      <c r="AC10" s="1048">
        <f t="shared" si="0"/>
        <v>0</v>
      </c>
      <c r="AD10" s="1048">
        <f t="shared" si="0"/>
        <v>237000</v>
      </c>
      <c r="AE10" s="1048">
        <f t="shared" si="0"/>
        <v>0</v>
      </c>
      <c r="AF10" s="1048">
        <f t="shared" si="0"/>
        <v>0</v>
      </c>
      <c r="AG10" s="1048">
        <f t="shared" si="0"/>
        <v>0</v>
      </c>
      <c r="AH10" s="1048">
        <f t="shared" si="0"/>
        <v>0</v>
      </c>
      <c r="AI10" s="1052">
        <f t="shared" si="0"/>
        <v>3826000</v>
      </c>
      <c r="AJ10" s="1048">
        <f t="shared" si="0"/>
        <v>0</v>
      </c>
      <c r="AK10" s="1048">
        <f t="shared" si="0"/>
        <v>3318000</v>
      </c>
      <c r="AL10" s="1048">
        <f t="shared" si="0"/>
        <v>12000</v>
      </c>
      <c r="AM10" s="1048">
        <f t="shared" si="0"/>
        <v>0</v>
      </c>
      <c r="AN10" s="1048">
        <f t="shared" si="0"/>
        <v>0</v>
      </c>
      <c r="AO10" s="1048">
        <f t="shared" si="0"/>
        <v>0</v>
      </c>
      <c r="AP10" s="1048">
        <f t="shared" si="0"/>
        <v>10000</v>
      </c>
      <c r="AQ10" s="1048">
        <f t="shared" si="0"/>
        <v>3000</v>
      </c>
      <c r="AR10" s="1048">
        <f t="shared" si="0"/>
        <v>205000</v>
      </c>
      <c r="AS10" s="1048">
        <f t="shared" si="0"/>
        <v>79000</v>
      </c>
      <c r="AT10" s="1048">
        <f t="shared" si="0"/>
        <v>597000</v>
      </c>
      <c r="AU10" s="1048">
        <f t="shared" si="0"/>
        <v>0</v>
      </c>
      <c r="AV10" s="1048">
        <f t="shared" si="0"/>
        <v>0</v>
      </c>
      <c r="AW10" s="1048">
        <f t="shared" si="0"/>
        <v>18000</v>
      </c>
      <c r="AX10" s="1048">
        <f t="shared" si="0"/>
        <v>24000</v>
      </c>
      <c r="AY10" s="1048">
        <f t="shared" si="0"/>
        <v>300000</v>
      </c>
    </row>
    <row r="11" spans="1:51" x14ac:dyDescent="0.25">
      <c r="A11" s="956" t="s">
        <v>425</v>
      </c>
      <c r="B11" s="957"/>
      <c r="C11" s="957"/>
      <c r="D11" s="957"/>
      <c r="E11" s="957"/>
      <c r="F11" s="957"/>
      <c r="G11" s="957"/>
      <c r="H11" s="957"/>
      <c r="I11" s="957"/>
      <c r="J11" s="957"/>
      <c r="K11" s="957"/>
      <c r="L11" s="957"/>
      <c r="M11" s="957"/>
      <c r="N11" s="957"/>
      <c r="O11" s="957"/>
      <c r="P11" s="957"/>
      <c r="Q11" s="957"/>
      <c r="R11" s="957"/>
      <c r="S11" s="958"/>
      <c r="T11" s="959" t="s">
        <v>426</v>
      </c>
      <c r="U11" s="960"/>
      <c r="V11" s="1050" t="s">
        <v>427</v>
      </c>
      <c r="W11" s="1047"/>
      <c r="X11" s="1048">
        <f>SUM(Y11:AY11)</f>
        <v>1610000</v>
      </c>
      <c r="Y11" s="1048"/>
      <c r="AI11" s="1049">
        <v>1601000</v>
      </c>
      <c r="AJ11" s="1038"/>
      <c r="AK11" s="1038">
        <v>9000</v>
      </c>
      <c r="AL11" s="1038"/>
      <c r="AM11" s="1038"/>
      <c r="AN11" s="1038"/>
      <c r="AO11" s="1038"/>
      <c r="AP11" s="1038"/>
      <c r="AQ11" s="1038"/>
      <c r="AR11" s="1038"/>
      <c r="AS11" s="1038"/>
      <c r="AT11" s="1038"/>
      <c r="AU11" s="1038"/>
      <c r="AV11" s="1038"/>
      <c r="AW11" s="1038"/>
      <c r="AX11" s="1038"/>
      <c r="AY11" s="1038"/>
    </row>
    <row r="12" spans="1:51" ht="15.75" thickBot="1" x14ac:dyDescent="0.3">
      <c r="A12" s="956" t="s">
        <v>428</v>
      </c>
      <c r="B12" s="957"/>
      <c r="C12" s="957"/>
      <c r="D12" s="957"/>
      <c r="E12" s="957"/>
      <c r="F12" s="957"/>
      <c r="G12" s="957"/>
      <c r="H12" s="957"/>
      <c r="I12" s="957"/>
      <c r="J12" s="957"/>
      <c r="K12" s="957"/>
      <c r="L12" s="957"/>
      <c r="M12" s="957"/>
      <c r="N12" s="957"/>
      <c r="O12" s="957"/>
      <c r="P12" s="957"/>
      <c r="Q12" s="957"/>
      <c r="R12" s="957"/>
      <c r="S12" s="958"/>
      <c r="T12" s="959" t="s">
        <v>429</v>
      </c>
      <c r="U12" s="960"/>
      <c r="V12" s="1050" t="s">
        <v>430</v>
      </c>
      <c r="W12" s="1047"/>
      <c r="X12" s="1048">
        <f>SUM(Y12:AY12)</f>
        <v>390000</v>
      </c>
      <c r="Y12" s="1048"/>
      <c r="AI12" s="1049">
        <v>194000</v>
      </c>
      <c r="AJ12" s="1038"/>
      <c r="AK12" s="1038">
        <v>43000</v>
      </c>
      <c r="AL12" s="1038">
        <v>81000</v>
      </c>
      <c r="AM12" s="1038"/>
      <c r="AN12" s="1038"/>
      <c r="AO12" s="1038"/>
      <c r="AP12" s="1038">
        <v>47000</v>
      </c>
      <c r="AQ12" s="1038"/>
      <c r="AR12" s="1038">
        <v>25000</v>
      </c>
      <c r="AS12" s="1038"/>
      <c r="AT12" s="1038"/>
      <c r="AU12" s="1038"/>
      <c r="AV12" s="1038"/>
      <c r="AW12" s="1038"/>
      <c r="AX12" s="1038"/>
      <c r="AY12" s="1038"/>
    </row>
    <row r="13" spans="1:51" ht="16.5" thickBot="1" x14ac:dyDescent="0.3">
      <c r="A13" s="961" t="s">
        <v>431</v>
      </c>
      <c r="B13" s="962"/>
      <c r="C13" s="962"/>
      <c r="D13" s="962"/>
      <c r="E13" s="962"/>
      <c r="F13" s="962"/>
      <c r="G13" s="962"/>
      <c r="H13" s="962"/>
      <c r="I13" s="962"/>
      <c r="J13" s="962"/>
      <c r="K13" s="962"/>
      <c r="L13" s="962"/>
      <c r="M13" s="962"/>
      <c r="N13" s="962"/>
      <c r="O13" s="962"/>
      <c r="P13" s="962"/>
      <c r="Q13" s="962"/>
      <c r="R13" s="962"/>
      <c r="S13" s="963"/>
      <c r="T13" s="959" t="s">
        <v>432</v>
      </c>
      <c r="U13" s="960"/>
      <c r="V13" s="1050"/>
      <c r="W13" s="1047"/>
      <c r="X13" s="1051">
        <f>X11+X12</f>
        <v>2000000</v>
      </c>
      <c r="Y13" s="1048">
        <f t="shared" ref="Y13:AY13" si="1">Y11+Y12</f>
        <v>0</v>
      </c>
      <c r="Z13" s="1048">
        <f t="shared" si="1"/>
        <v>0</v>
      </c>
      <c r="AA13" s="1048">
        <f t="shared" si="1"/>
        <v>0</v>
      </c>
      <c r="AB13" s="1048">
        <f t="shared" si="1"/>
        <v>0</v>
      </c>
      <c r="AC13" s="1048">
        <f t="shared" si="1"/>
        <v>0</v>
      </c>
      <c r="AD13" s="1048">
        <f t="shared" si="1"/>
        <v>0</v>
      </c>
      <c r="AE13" s="1048">
        <f t="shared" si="1"/>
        <v>0</v>
      </c>
      <c r="AF13" s="1048">
        <f t="shared" si="1"/>
        <v>0</v>
      </c>
      <c r="AG13" s="1048">
        <f t="shared" si="1"/>
        <v>0</v>
      </c>
      <c r="AH13" s="1048">
        <f t="shared" si="1"/>
        <v>0</v>
      </c>
      <c r="AI13" s="1052">
        <f t="shared" si="1"/>
        <v>1795000</v>
      </c>
      <c r="AJ13" s="1048">
        <f t="shared" si="1"/>
        <v>0</v>
      </c>
      <c r="AK13" s="1048">
        <f t="shared" si="1"/>
        <v>52000</v>
      </c>
      <c r="AL13" s="1048">
        <f t="shared" si="1"/>
        <v>81000</v>
      </c>
      <c r="AM13" s="1048">
        <f t="shared" si="1"/>
        <v>0</v>
      </c>
      <c r="AN13" s="1048">
        <f t="shared" si="1"/>
        <v>0</v>
      </c>
      <c r="AO13" s="1048">
        <f t="shared" si="1"/>
        <v>0</v>
      </c>
      <c r="AP13" s="1048">
        <f t="shared" si="1"/>
        <v>47000</v>
      </c>
      <c r="AQ13" s="1048">
        <f t="shared" si="1"/>
        <v>0</v>
      </c>
      <c r="AR13" s="1048">
        <f t="shared" si="1"/>
        <v>25000</v>
      </c>
      <c r="AS13" s="1048">
        <f t="shared" si="1"/>
        <v>0</v>
      </c>
      <c r="AT13" s="1048">
        <f t="shared" si="1"/>
        <v>0</v>
      </c>
      <c r="AU13" s="1048">
        <f t="shared" si="1"/>
        <v>0</v>
      </c>
      <c r="AV13" s="1048">
        <f t="shared" si="1"/>
        <v>0</v>
      </c>
      <c r="AW13" s="1048">
        <f t="shared" si="1"/>
        <v>0</v>
      </c>
      <c r="AX13" s="1048">
        <f t="shared" si="1"/>
        <v>0</v>
      </c>
      <c r="AY13" s="1048">
        <f t="shared" si="1"/>
        <v>0</v>
      </c>
    </row>
    <row r="14" spans="1:51" x14ac:dyDescent="0.25">
      <c r="A14" s="956" t="s">
        <v>433</v>
      </c>
      <c r="B14" s="957"/>
      <c r="C14" s="957"/>
      <c r="D14" s="957"/>
      <c r="E14" s="957"/>
      <c r="F14" s="957"/>
      <c r="G14" s="957"/>
      <c r="H14" s="957"/>
      <c r="I14" s="957"/>
      <c r="J14" s="957"/>
      <c r="K14" s="957"/>
      <c r="L14" s="957"/>
      <c r="M14" s="957"/>
      <c r="N14" s="957"/>
      <c r="O14" s="957"/>
      <c r="P14" s="957"/>
      <c r="Q14" s="957"/>
      <c r="R14" s="957"/>
      <c r="S14" s="958"/>
      <c r="T14" s="959" t="s">
        <v>434</v>
      </c>
      <c r="U14" s="960"/>
      <c r="V14" s="1050" t="s">
        <v>435</v>
      </c>
      <c r="W14" s="1047"/>
      <c r="X14" s="1048">
        <f t="shared" ref="X14:X22" si="2">SUM(Y14:AY14)</f>
        <v>2950000</v>
      </c>
      <c r="Y14" s="1048"/>
      <c r="AI14" s="1049">
        <v>824000</v>
      </c>
      <c r="AJ14" s="1038">
        <v>970000</v>
      </c>
      <c r="AK14" s="1038"/>
      <c r="AL14" s="1038">
        <v>725000</v>
      </c>
      <c r="AM14" s="1038"/>
      <c r="AN14" s="1038"/>
      <c r="AO14" s="1038"/>
      <c r="AP14" s="1038"/>
      <c r="AQ14" s="1038"/>
      <c r="AR14" s="1038"/>
      <c r="AS14" s="1038"/>
      <c r="AT14" s="1038"/>
      <c r="AU14" s="1038"/>
      <c r="AV14" s="1038"/>
      <c r="AW14" s="1038"/>
      <c r="AX14" s="1038">
        <v>371000</v>
      </c>
      <c r="AY14" s="1038">
        <v>60000</v>
      </c>
    </row>
    <row r="15" spans="1:51" x14ac:dyDescent="0.25">
      <c r="A15" s="956" t="s">
        <v>436</v>
      </c>
      <c r="B15" s="957"/>
      <c r="C15" s="957"/>
      <c r="D15" s="957"/>
      <c r="E15" s="957"/>
      <c r="F15" s="957"/>
      <c r="G15" s="957"/>
      <c r="H15" s="957"/>
      <c r="I15" s="957"/>
      <c r="J15" s="957"/>
      <c r="K15" s="957"/>
      <c r="L15" s="957"/>
      <c r="M15" s="957"/>
      <c r="N15" s="957"/>
      <c r="O15" s="957"/>
      <c r="P15" s="957"/>
      <c r="Q15" s="957"/>
      <c r="R15" s="957"/>
      <c r="S15" s="958"/>
      <c r="T15" s="959" t="s">
        <v>437</v>
      </c>
      <c r="U15" s="960"/>
      <c r="V15" s="1050" t="s">
        <v>438</v>
      </c>
      <c r="W15" s="1047" t="s">
        <v>439</v>
      </c>
      <c r="X15" s="1048">
        <f t="shared" si="2"/>
        <v>21300000</v>
      </c>
      <c r="Y15" s="1048"/>
      <c r="AD15" s="1038">
        <v>12957000</v>
      </c>
      <c r="AF15" s="1038">
        <v>1049000</v>
      </c>
      <c r="AG15" s="1038">
        <v>473000</v>
      </c>
      <c r="AI15" s="1049"/>
      <c r="AJ15" s="1038"/>
      <c r="AK15" s="1038"/>
      <c r="AL15" s="1038"/>
      <c r="AM15" s="1038"/>
      <c r="AN15" s="1038"/>
      <c r="AO15" s="1038"/>
      <c r="AP15" s="1038"/>
      <c r="AQ15" s="1038">
        <v>6821000</v>
      </c>
      <c r="AR15" s="1038"/>
      <c r="AS15" s="1038"/>
      <c r="AT15" s="1038"/>
      <c r="AU15" s="1038"/>
      <c r="AV15" s="1038"/>
      <c r="AW15" s="1038"/>
      <c r="AX15" s="1038"/>
      <c r="AY15" s="1038"/>
    </row>
    <row r="16" spans="1:51" x14ac:dyDescent="0.25">
      <c r="A16" s="956" t="s">
        <v>440</v>
      </c>
      <c r="B16" s="957"/>
      <c r="C16" s="957"/>
      <c r="D16" s="957"/>
      <c r="E16" s="957"/>
      <c r="F16" s="957"/>
      <c r="G16" s="957"/>
      <c r="H16" s="957"/>
      <c r="I16" s="957"/>
      <c r="J16" s="957"/>
      <c r="K16" s="957"/>
      <c r="L16" s="957"/>
      <c r="M16" s="957"/>
      <c r="N16" s="957"/>
      <c r="O16" s="957"/>
      <c r="P16" s="957"/>
      <c r="Q16" s="957"/>
      <c r="R16" s="957"/>
      <c r="S16" s="958"/>
      <c r="T16" s="959" t="s">
        <v>441</v>
      </c>
      <c r="U16" s="960"/>
      <c r="V16" s="1050" t="s">
        <v>442</v>
      </c>
      <c r="W16" s="1047"/>
      <c r="X16" s="1048">
        <f t="shared" si="2"/>
        <v>1350000</v>
      </c>
      <c r="Y16" s="1048"/>
      <c r="AI16" s="1049">
        <v>57500</v>
      </c>
      <c r="AJ16" s="1038">
        <v>1233000</v>
      </c>
      <c r="AK16" s="1038">
        <v>46000</v>
      </c>
      <c r="AL16" s="1038">
        <v>7500</v>
      </c>
      <c r="AM16" s="1038"/>
      <c r="AN16" s="1038"/>
      <c r="AO16" s="1038"/>
      <c r="AP16" s="1038"/>
      <c r="AQ16" s="1038"/>
      <c r="AR16" s="1038"/>
      <c r="AS16" s="1038"/>
      <c r="AT16" s="1038"/>
      <c r="AU16" s="1038"/>
      <c r="AV16" s="1038"/>
      <c r="AW16" s="1038"/>
      <c r="AX16" s="1038"/>
      <c r="AY16" s="1038">
        <v>6000</v>
      </c>
    </row>
    <row r="17" spans="1:51" x14ac:dyDescent="0.25">
      <c r="A17" s="964" t="s">
        <v>443</v>
      </c>
      <c r="B17" s="965"/>
      <c r="C17" s="965"/>
      <c r="D17" s="965"/>
      <c r="E17" s="965"/>
      <c r="F17" s="965"/>
      <c r="G17" s="965"/>
      <c r="H17" s="965"/>
      <c r="I17" s="965"/>
      <c r="J17" s="965"/>
      <c r="K17" s="965"/>
      <c r="L17" s="965"/>
      <c r="M17" s="965"/>
      <c r="N17" s="965"/>
      <c r="O17" s="965"/>
      <c r="P17" s="965"/>
      <c r="Q17" s="965"/>
      <c r="R17" s="965"/>
      <c r="S17" s="966"/>
      <c r="T17" s="959" t="s">
        <v>444</v>
      </c>
      <c r="U17" s="960"/>
      <c r="V17" s="1053"/>
      <c r="W17" s="1047" t="s">
        <v>445</v>
      </c>
      <c r="X17" s="1048">
        <f t="shared" si="2"/>
        <v>0</v>
      </c>
      <c r="Y17" s="1048"/>
      <c r="AI17" s="1049"/>
      <c r="AJ17" s="1038"/>
      <c r="AK17" s="1038"/>
      <c r="AL17" s="1038"/>
      <c r="AM17" s="1038"/>
      <c r="AN17" s="1038"/>
      <c r="AO17" s="1038"/>
      <c r="AP17" s="1038"/>
      <c r="AQ17" s="1038"/>
      <c r="AR17" s="1038"/>
      <c r="AS17" s="1038"/>
      <c r="AT17" s="1038"/>
      <c r="AU17" s="1038"/>
      <c r="AV17" s="1038"/>
      <c r="AW17" s="1038"/>
      <c r="AX17" s="1038"/>
      <c r="AY17" s="1038"/>
    </row>
    <row r="18" spans="1:51" x14ac:dyDescent="0.25">
      <c r="A18" s="956" t="s">
        <v>446</v>
      </c>
      <c r="B18" s="957"/>
      <c r="C18" s="957"/>
      <c r="D18" s="957"/>
      <c r="E18" s="957"/>
      <c r="F18" s="957"/>
      <c r="G18" s="957"/>
      <c r="H18" s="957"/>
      <c r="I18" s="957"/>
      <c r="J18" s="957"/>
      <c r="K18" s="957"/>
      <c r="L18" s="957"/>
      <c r="M18" s="957"/>
      <c r="N18" s="957"/>
      <c r="O18" s="957"/>
      <c r="P18" s="957"/>
      <c r="Q18" s="957"/>
      <c r="R18" s="957"/>
      <c r="S18" s="958"/>
      <c r="T18" s="959" t="s">
        <v>447</v>
      </c>
      <c r="U18" s="960"/>
      <c r="V18" s="1050" t="s">
        <v>448</v>
      </c>
      <c r="W18" s="1047"/>
      <c r="X18" s="1048">
        <f t="shared" si="2"/>
        <v>550000</v>
      </c>
      <c r="Y18" s="1048"/>
      <c r="AI18" s="1049">
        <v>175000</v>
      </c>
      <c r="AJ18" s="1038"/>
      <c r="AK18" s="1038">
        <v>145000</v>
      </c>
      <c r="AL18" s="1038">
        <v>225000</v>
      </c>
      <c r="AM18" s="1038"/>
      <c r="AN18" s="1038"/>
      <c r="AO18" s="1038"/>
      <c r="AP18" s="1038"/>
      <c r="AQ18" s="1038"/>
      <c r="AR18" s="1038"/>
      <c r="AS18" s="1038">
        <v>5000</v>
      </c>
      <c r="AT18" s="1038"/>
      <c r="AU18" s="1038"/>
      <c r="AV18" s="1038"/>
      <c r="AW18" s="1038"/>
      <c r="AX18" s="1038"/>
      <c r="AY18" s="1038"/>
    </row>
    <row r="19" spans="1:51" x14ac:dyDescent="0.25">
      <c r="A19" s="956" t="s">
        <v>449</v>
      </c>
      <c r="B19" s="957"/>
      <c r="C19" s="957"/>
      <c r="D19" s="957"/>
      <c r="E19" s="957"/>
      <c r="F19" s="957"/>
      <c r="G19" s="957"/>
      <c r="H19" s="957"/>
      <c r="I19" s="957"/>
      <c r="J19" s="957"/>
      <c r="K19" s="957"/>
      <c r="L19" s="957"/>
      <c r="M19" s="957"/>
      <c r="N19" s="957"/>
      <c r="O19" s="957"/>
      <c r="P19" s="957"/>
      <c r="Q19" s="957"/>
      <c r="R19" s="957"/>
      <c r="S19" s="958"/>
      <c r="T19" s="959" t="s">
        <v>450</v>
      </c>
      <c r="U19" s="960"/>
      <c r="V19" s="1050" t="s">
        <v>451</v>
      </c>
      <c r="W19" s="1047" t="s">
        <v>452</v>
      </c>
      <c r="X19" s="1048">
        <f t="shared" si="2"/>
        <v>0</v>
      </c>
      <c r="Y19" s="1048"/>
      <c r="AI19" s="1049"/>
      <c r="AJ19" s="1038"/>
      <c r="AK19" s="1038"/>
      <c r="AL19" s="1038"/>
      <c r="AM19" s="1038"/>
      <c r="AN19" s="1038"/>
      <c r="AO19" s="1038"/>
      <c r="AP19" s="1038"/>
      <c r="AQ19" s="1038"/>
      <c r="AR19" s="1038"/>
      <c r="AS19" s="1038"/>
      <c r="AT19" s="1038"/>
      <c r="AU19" s="1038"/>
      <c r="AV19" s="1038"/>
      <c r="AW19" s="1038"/>
      <c r="AX19" s="1038"/>
      <c r="AY19" s="1038"/>
    </row>
    <row r="20" spans="1:51" x14ac:dyDescent="0.25">
      <c r="A20" s="964" t="s">
        <v>453</v>
      </c>
      <c r="B20" s="965"/>
      <c r="C20" s="965"/>
      <c r="D20" s="965"/>
      <c r="E20" s="965"/>
      <c r="F20" s="965"/>
      <c r="G20" s="965"/>
      <c r="H20" s="965"/>
      <c r="I20" s="965"/>
      <c r="J20" s="965"/>
      <c r="K20" s="965"/>
      <c r="L20" s="965"/>
      <c r="M20" s="965"/>
      <c r="N20" s="965"/>
      <c r="O20" s="965"/>
      <c r="P20" s="965"/>
      <c r="Q20" s="965"/>
      <c r="R20" s="965"/>
      <c r="S20" s="966"/>
      <c r="T20" s="959" t="s">
        <v>454</v>
      </c>
      <c r="U20" s="960"/>
      <c r="V20" s="1050"/>
      <c r="W20" s="1047" t="s">
        <v>421</v>
      </c>
      <c r="X20" s="1048">
        <f t="shared" si="2"/>
        <v>0</v>
      </c>
      <c r="Y20" s="1048"/>
      <c r="AI20" s="1049"/>
      <c r="AJ20" s="1038"/>
      <c r="AK20" s="1038"/>
      <c r="AL20" s="1038"/>
      <c r="AM20" s="1038"/>
      <c r="AN20" s="1038"/>
      <c r="AO20" s="1038"/>
      <c r="AP20" s="1038"/>
      <c r="AQ20" s="1038"/>
      <c r="AR20" s="1038"/>
      <c r="AS20" s="1038"/>
      <c r="AT20" s="1038"/>
      <c r="AU20" s="1038"/>
      <c r="AV20" s="1038"/>
      <c r="AW20" s="1038"/>
      <c r="AX20" s="1038"/>
      <c r="AY20" s="1038"/>
    </row>
    <row r="21" spans="1:51" ht="12.75" x14ac:dyDescent="0.2">
      <c r="A21" s="967" t="s">
        <v>455</v>
      </c>
      <c r="B21" s="968"/>
      <c r="C21" s="968"/>
      <c r="D21" s="968"/>
      <c r="E21" s="968"/>
      <c r="F21" s="968"/>
      <c r="G21" s="968"/>
      <c r="H21" s="968"/>
      <c r="I21" s="968"/>
      <c r="J21" s="968"/>
      <c r="K21" s="968"/>
      <c r="L21" s="968"/>
      <c r="M21" s="968"/>
      <c r="N21" s="968"/>
      <c r="O21" s="968"/>
      <c r="P21" s="968"/>
      <c r="Q21" s="968"/>
      <c r="R21" s="968"/>
      <c r="S21" s="969"/>
      <c r="T21" s="970" t="s">
        <v>456</v>
      </c>
      <c r="U21" s="971"/>
      <c r="V21" s="1054" t="s">
        <v>457</v>
      </c>
      <c r="W21" s="1055"/>
      <c r="X21" s="1056">
        <f t="shared" si="2"/>
        <v>20000000</v>
      </c>
      <c r="Y21" s="1056"/>
      <c r="Z21" s="1038"/>
      <c r="AA21" s="1038"/>
      <c r="AE21" s="1038">
        <v>200000</v>
      </c>
      <c r="AI21" s="1049">
        <v>353000</v>
      </c>
      <c r="AJ21" s="1038"/>
      <c r="AK21" s="1038">
        <v>3000</v>
      </c>
      <c r="AL21" s="1038"/>
      <c r="AM21" s="1038">
        <v>1294000</v>
      </c>
      <c r="AN21" s="1038"/>
      <c r="AO21" s="1038"/>
      <c r="AP21" s="1038"/>
      <c r="AQ21" s="1038"/>
      <c r="AR21" s="1038">
        <v>16804000</v>
      </c>
      <c r="AS21" s="1038"/>
      <c r="AT21" s="1038">
        <v>1270000</v>
      </c>
      <c r="AU21" s="1038">
        <v>76000</v>
      </c>
      <c r="AV21" s="1038"/>
      <c r="AW21" s="1038"/>
      <c r="AX21" s="1038"/>
      <c r="AY21" s="1038"/>
    </row>
    <row r="22" spans="1:51" ht="15.75" thickBot="1" x14ac:dyDescent="0.3">
      <c r="A22" s="956" t="s">
        <v>458</v>
      </c>
      <c r="B22" s="957"/>
      <c r="C22" s="957"/>
      <c r="D22" s="957"/>
      <c r="E22" s="957"/>
      <c r="F22" s="957"/>
      <c r="G22" s="957"/>
      <c r="H22" s="957"/>
      <c r="I22" s="957"/>
      <c r="J22" s="957"/>
      <c r="K22" s="957"/>
      <c r="L22" s="957"/>
      <c r="M22" s="957"/>
      <c r="N22" s="957"/>
      <c r="O22" s="957"/>
      <c r="P22" s="957"/>
      <c r="Q22" s="957"/>
      <c r="R22" s="957"/>
      <c r="S22" s="958"/>
      <c r="T22" s="959" t="s">
        <v>459</v>
      </c>
      <c r="U22" s="960"/>
      <c r="V22" s="1050" t="s">
        <v>460</v>
      </c>
      <c r="W22" s="1047" t="s">
        <v>461</v>
      </c>
      <c r="X22" s="1048">
        <f t="shared" si="2"/>
        <v>51800000</v>
      </c>
      <c r="Y22" s="1048">
        <v>724000</v>
      </c>
      <c r="Z22" s="139">
        <v>1812000</v>
      </c>
      <c r="AA22" s="139">
        <v>366000</v>
      </c>
      <c r="AB22" s="1038">
        <v>1693000</v>
      </c>
      <c r="AE22" s="1038">
        <v>85000</v>
      </c>
      <c r="AI22" s="1049">
        <v>3320000</v>
      </c>
      <c r="AJ22" s="1038">
        <v>356000</v>
      </c>
      <c r="AK22" s="1038">
        <v>3122000</v>
      </c>
      <c r="AL22" s="1038">
        <v>67000</v>
      </c>
      <c r="AM22" s="1038"/>
      <c r="AN22" s="1038">
        <v>100000</v>
      </c>
      <c r="AO22" s="1038">
        <v>108000</v>
      </c>
      <c r="AP22" s="1038">
        <v>22000</v>
      </c>
      <c r="AQ22" s="1038"/>
      <c r="AR22" s="1038">
        <v>31212000</v>
      </c>
      <c r="AS22" s="1038">
        <v>5019000</v>
      </c>
      <c r="AT22" s="1038">
        <v>1849000</v>
      </c>
      <c r="AU22" s="1038">
        <v>26000</v>
      </c>
      <c r="AV22" s="1038">
        <v>1103000</v>
      </c>
      <c r="AW22" s="1038"/>
      <c r="AX22" s="1038">
        <v>20000</v>
      </c>
      <c r="AY22" s="1038">
        <v>796000</v>
      </c>
    </row>
    <row r="23" spans="1:51" ht="16.5" thickBot="1" x14ac:dyDescent="0.3">
      <c r="A23" s="961" t="s">
        <v>462</v>
      </c>
      <c r="B23" s="962"/>
      <c r="C23" s="962"/>
      <c r="D23" s="962"/>
      <c r="E23" s="962"/>
      <c r="F23" s="962"/>
      <c r="G23" s="962"/>
      <c r="H23" s="962"/>
      <c r="I23" s="962"/>
      <c r="J23" s="962"/>
      <c r="K23" s="962"/>
      <c r="L23" s="962"/>
      <c r="M23" s="962"/>
      <c r="N23" s="962"/>
      <c r="O23" s="962"/>
      <c r="P23" s="962"/>
      <c r="Q23" s="962"/>
      <c r="R23" s="962"/>
      <c r="S23" s="963"/>
      <c r="T23" s="959" t="s">
        <v>463</v>
      </c>
      <c r="U23" s="960"/>
      <c r="V23" s="1050"/>
      <c r="W23" s="1047"/>
      <c r="X23" s="1051">
        <f>X14+X15+X16+X18+X19+X21+X22</f>
        <v>97950000</v>
      </c>
      <c r="Y23" s="1048">
        <f t="shared" ref="Y23:AY23" si="3">Y14+Y15+Y16+Y18+Y19+Y21+Y22</f>
        <v>724000</v>
      </c>
      <c r="Z23" s="1048">
        <f t="shared" si="3"/>
        <v>1812000</v>
      </c>
      <c r="AA23" s="1048">
        <f t="shared" si="3"/>
        <v>366000</v>
      </c>
      <c r="AB23" s="1048">
        <f t="shared" si="3"/>
        <v>1693000</v>
      </c>
      <c r="AC23" s="1048">
        <f t="shared" si="3"/>
        <v>0</v>
      </c>
      <c r="AD23" s="1048">
        <f t="shared" si="3"/>
        <v>12957000</v>
      </c>
      <c r="AE23" s="1048">
        <f t="shared" si="3"/>
        <v>285000</v>
      </c>
      <c r="AF23" s="1048">
        <f t="shared" si="3"/>
        <v>1049000</v>
      </c>
      <c r="AG23" s="1048">
        <f t="shared" si="3"/>
        <v>473000</v>
      </c>
      <c r="AH23" s="1048">
        <f t="shared" si="3"/>
        <v>0</v>
      </c>
      <c r="AI23" s="1052">
        <f t="shared" si="3"/>
        <v>4729500</v>
      </c>
      <c r="AJ23" s="1048">
        <f t="shared" si="3"/>
        <v>2559000</v>
      </c>
      <c r="AK23" s="1048">
        <f t="shared" si="3"/>
        <v>3316000</v>
      </c>
      <c r="AL23" s="1048">
        <f t="shared" si="3"/>
        <v>1024500</v>
      </c>
      <c r="AM23" s="1048">
        <f t="shared" si="3"/>
        <v>1294000</v>
      </c>
      <c r="AN23" s="1048">
        <f t="shared" si="3"/>
        <v>100000</v>
      </c>
      <c r="AO23" s="1048">
        <f t="shared" si="3"/>
        <v>108000</v>
      </c>
      <c r="AP23" s="1048">
        <f t="shared" si="3"/>
        <v>22000</v>
      </c>
      <c r="AQ23" s="1048">
        <f t="shared" si="3"/>
        <v>6821000</v>
      </c>
      <c r="AR23" s="1048">
        <f t="shared" si="3"/>
        <v>48016000</v>
      </c>
      <c r="AS23" s="1048">
        <f t="shared" si="3"/>
        <v>5024000</v>
      </c>
      <c r="AT23" s="1048">
        <f t="shared" si="3"/>
        <v>3119000</v>
      </c>
      <c r="AU23" s="1048">
        <f t="shared" si="3"/>
        <v>102000</v>
      </c>
      <c r="AV23" s="1048">
        <f t="shared" si="3"/>
        <v>1103000</v>
      </c>
      <c r="AW23" s="1048">
        <f t="shared" si="3"/>
        <v>0</v>
      </c>
      <c r="AX23" s="1048">
        <f t="shared" si="3"/>
        <v>391000</v>
      </c>
      <c r="AY23" s="1048">
        <f t="shared" si="3"/>
        <v>862000</v>
      </c>
    </row>
    <row r="24" spans="1:51" x14ac:dyDescent="0.25">
      <c r="A24" s="956" t="s">
        <v>464</v>
      </c>
      <c r="B24" s="957"/>
      <c r="C24" s="957"/>
      <c r="D24" s="957"/>
      <c r="E24" s="957"/>
      <c r="F24" s="957"/>
      <c r="G24" s="957"/>
      <c r="H24" s="957"/>
      <c r="I24" s="957"/>
      <c r="J24" s="957"/>
      <c r="K24" s="957"/>
      <c r="L24" s="957"/>
      <c r="M24" s="957"/>
      <c r="N24" s="957"/>
      <c r="O24" s="957"/>
      <c r="P24" s="957"/>
      <c r="Q24" s="957"/>
      <c r="R24" s="957"/>
      <c r="S24" s="958"/>
      <c r="T24" s="959" t="s">
        <v>465</v>
      </c>
      <c r="U24" s="960"/>
      <c r="V24" s="1050" t="s">
        <v>466</v>
      </c>
      <c r="W24" s="1047"/>
      <c r="X24" s="1048">
        <f>SUM(Y24:AY24)</f>
        <v>190000</v>
      </c>
      <c r="Y24" s="1048"/>
      <c r="AI24" s="1049">
        <v>17000</v>
      </c>
      <c r="AJ24" s="1038"/>
      <c r="AK24" s="1038">
        <v>56000</v>
      </c>
      <c r="AL24" s="1038"/>
      <c r="AM24" s="1038"/>
      <c r="AN24" s="1038"/>
      <c r="AO24" s="1038"/>
      <c r="AP24" s="1038">
        <v>117000</v>
      </c>
      <c r="AQ24" s="1038"/>
      <c r="AR24" s="1038"/>
      <c r="AS24" s="1038"/>
      <c r="AT24" s="1038"/>
      <c r="AU24" s="1038"/>
      <c r="AV24" s="1038"/>
      <c r="AW24" s="1038"/>
      <c r="AX24" s="1038"/>
      <c r="AY24" s="1038"/>
    </row>
    <row r="25" spans="1:51" ht="15.75" thickBot="1" x14ac:dyDescent="0.3">
      <c r="A25" s="967" t="s">
        <v>467</v>
      </c>
      <c r="B25" s="968"/>
      <c r="C25" s="968"/>
      <c r="D25" s="968"/>
      <c r="E25" s="968"/>
      <c r="F25" s="968"/>
      <c r="G25" s="968"/>
      <c r="H25" s="968"/>
      <c r="I25" s="968"/>
      <c r="J25" s="968"/>
      <c r="K25" s="968"/>
      <c r="L25" s="968"/>
      <c r="M25" s="968"/>
      <c r="N25" s="968"/>
      <c r="O25" s="968"/>
      <c r="P25" s="968"/>
      <c r="Q25" s="968"/>
      <c r="R25" s="968"/>
      <c r="S25" s="969"/>
      <c r="T25" s="959" t="s">
        <v>468</v>
      </c>
      <c r="U25" s="960"/>
      <c r="V25" s="1054" t="s">
        <v>469</v>
      </c>
      <c r="W25" s="1047"/>
      <c r="X25" s="1048">
        <f>SUM(Y25:AY25)</f>
        <v>460000</v>
      </c>
      <c r="Y25" s="1048"/>
      <c r="AI25" s="1049">
        <v>172000</v>
      </c>
      <c r="AJ25" s="1038"/>
      <c r="AK25" s="1038">
        <v>188000</v>
      </c>
      <c r="AL25" s="1038"/>
      <c r="AM25" s="1038"/>
      <c r="AN25" s="1038"/>
      <c r="AO25" s="1038"/>
      <c r="AP25" s="1038"/>
      <c r="AQ25" s="1038"/>
      <c r="AR25" s="1038"/>
      <c r="AS25" s="1038"/>
      <c r="AT25" s="1038"/>
      <c r="AU25" s="1038"/>
      <c r="AV25" s="1038">
        <v>100000</v>
      </c>
      <c r="AW25" s="1038"/>
      <c r="AX25" s="1038"/>
      <c r="AY25" s="1038"/>
    </row>
    <row r="26" spans="1:51" ht="16.5" thickBot="1" x14ac:dyDescent="0.3">
      <c r="A26" s="961" t="s">
        <v>470</v>
      </c>
      <c r="B26" s="962"/>
      <c r="C26" s="962"/>
      <c r="D26" s="962"/>
      <c r="E26" s="962"/>
      <c r="F26" s="962"/>
      <c r="G26" s="962"/>
      <c r="H26" s="962"/>
      <c r="I26" s="962"/>
      <c r="J26" s="962"/>
      <c r="K26" s="962"/>
      <c r="L26" s="962"/>
      <c r="M26" s="962"/>
      <c r="N26" s="962"/>
      <c r="O26" s="962"/>
      <c r="P26" s="962"/>
      <c r="Q26" s="962"/>
      <c r="R26" s="962"/>
      <c r="S26" s="963"/>
      <c r="T26" s="959" t="s">
        <v>471</v>
      </c>
      <c r="U26" s="960"/>
      <c r="V26" s="1050"/>
      <c r="W26" s="1047" t="s">
        <v>472</v>
      </c>
      <c r="X26" s="1051">
        <f>X24+X25</f>
        <v>650000</v>
      </c>
      <c r="Y26" s="1048">
        <f t="shared" ref="Y26:AY26" si="4">Y24+Y25</f>
        <v>0</v>
      </c>
      <c r="Z26" s="1048">
        <f t="shared" si="4"/>
        <v>0</v>
      </c>
      <c r="AA26" s="1048">
        <f t="shared" si="4"/>
        <v>0</v>
      </c>
      <c r="AB26" s="1048">
        <f t="shared" si="4"/>
        <v>0</v>
      </c>
      <c r="AC26" s="1048">
        <f t="shared" si="4"/>
        <v>0</v>
      </c>
      <c r="AD26" s="1048">
        <f t="shared" si="4"/>
        <v>0</v>
      </c>
      <c r="AE26" s="1048">
        <f t="shared" si="4"/>
        <v>0</v>
      </c>
      <c r="AF26" s="1048">
        <f t="shared" si="4"/>
        <v>0</v>
      </c>
      <c r="AG26" s="1048">
        <f t="shared" si="4"/>
        <v>0</v>
      </c>
      <c r="AH26" s="1048">
        <f t="shared" si="4"/>
        <v>0</v>
      </c>
      <c r="AI26" s="1052">
        <f t="shared" si="4"/>
        <v>189000</v>
      </c>
      <c r="AJ26" s="1048">
        <f t="shared" si="4"/>
        <v>0</v>
      </c>
      <c r="AK26" s="1048">
        <f t="shared" si="4"/>
        <v>244000</v>
      </c>
      <c r="AL26" s="1048">
        <f t="shared" si="4"/>
        <v>0</v>
      </c>
      <c r="AM26" s="1048">
        <f t="shared" si="4"/>
        <v>0</v>
      </c>
      <c r="AN26" s="1048">
        <f t="shared" si="4"/>
        <v>0</v>
      </c>
      <c r="AO26" s="1048">
        <f t="shared" si="4"/>
        <v>0</v>
      </c>
      <c r="AP26" s="1048">
        <f t="shared" si="4"/>
        <v>117000</v>
      </c>
      <c r="AQ26" s="1048">
        <f t="shared" si="4"/>
        <v>0</v>
      </c>
      <c r="AR26" s="1048">
        <f t="shared" si="4"/>
        <v>0</v>
      </c>
      <c r="AS26" s="1048">
        <f t="shared" si="4"/>
        <v>0</v>
      </c>
      <c r="AT26" s="1048">
        <f t="shared" si="4"/>
        <v>0</v>
      </c>
      <c r="AU26" s="1048">
        <f t="shared" si="4"/>
        <v>0</v>
      </c>
      <c r="AV26" s="1048">
        <f t="shared" si="4"/>
        <v>100000</v>
      </c>
      <c r="AW26" s="1048">
        <f t="shared" si="4"/>
        <v>0</v>
      </c>
      <c r="AX26" s="1048">
        <f t="shared" si="4"/>
        <v>0</v>
      </c>
      <c r="AY26" s="1048">
        <f t="shared" si="4"/>
        <v>0</v>
      </c>
    </row>
    <row r="27" spans="1:51" x14ac:dyDescent="0.25">
      <c r="A27" s="956" t="s">
        <v>473</v>
      </c>
      <c r="B27" s="957"/>
      <c r="C27" s="957"/>
      <c r="D27" s="957"/>
      <c r="E27" s="957"/>
      <c r="F27" s="957"/>
      <c r="G27" s="957"/>
      <c r="H27" s="957"/>
      <c r="I27" s="957"/>
      <c r="J27" s="957"/>
      <c r="K27" s="957"/>
      <c r="L27" s="957"/>
      <c r="M27" s="957"/>
      <c r="N27" s="957"/>
      <c r="O27" s="957"/>
      <c r="P27" s="957"/>
      <c r="Q27" s="957"/>
      <c r="R27" s="957"/>
      <c r="S27" s="958"/>
      <c r="T27" s="959" t="s">
        <v>474</v>
      </c>
      <c r="U27" s="960"/>
      <c r="V27" s="1050" t="s">
        <v>475</v>
      </c>
      <c r="W27" s="1047" t="s">
        <v>476</v>
      </c>
      <c r="X27" s="1048">
        <f>SUM(Y27:AY27)</f>
        <v>23058236</v>
      </c>
      <c r="Y27" s="1048">
        <v>185000</v>
      </c>
      <c r="Z27" s="139">
        <v>489000</v>
      </c>
      <c r="AA27" s="139">
        <v>98000</v>
      </c>
      <c r="AB27" s="1038">
        <v>490000</v>
      </c>
      <c r="AD27" s="1038">
        <v>3026000</v>
      </c>
      <c r="AE27" s="1038">
        <v>14000</v>
      </c>
      <c r="AF27" s="1038">
        <v>256000</v>
      </c>
      <c r="AG27" s="1038">
        <v>118000</v>
      </c>
      <c r="AI27" s="1049">
        <v>1650000</v>
      </c>
      <c r="AJ27" s="1038">
        <v>670000</v>
      </c>
      <c r="AK27" s="1038">
        <v>1598000</v>
      </c>
      <c r="AL27" s="1038">
        <v>323000</v>
      </c>
      <c r="AM27" s="1038"/>
      <c r="AN27" s="1038">
        <v>2700</v>
      </c>
      <c r="AO27" s="1038"/>
      <c r="AP27" s="1038"/>
      <c r="AQ27" s="1038">
        <v>1742000</v>
      </c>
      <c r="AR27" s="1038">
        <v>10767536</v>
      </c>
      <c r="AS27" s="1038">
        <v>431000</v>
      </c>
      <c r="AT27" s="1038">
        <v>577000</v>
      </c>
      <c r="AU27" s="1038"/>
      <c r="AV27" s="1038">
        <v>324000</v>
      </c>
      <c r="AW27" s="1038">
        <v>5000</v>
      </c>
      <c r="AX27" s="1038">
        <v>107000</v>
      </c>
      <c r="AY27" s="1038">
        <v>185000</v>
      </c>
    </row>
    <row r="28" spans="1:51" x14ac:dyDescent="0.25">
      <c r="A28" s="972" t="s">
        <v>477</v>
      </c>
      <c r="B28" s="973"/>
      <c r="C28" s="973"/>
      <c r="D28" s="973"/>
      <c r="E28" s="973"/>
      <c r="F28" s="973"/>
      <c r="G28" s="973"/>
      <c r="H28" s="973"/>
      <c r="I28" s="973"/>
      <c r="J28" s="973"/>
      <c r="K28" s="973"/>
      <c r="L28" s="973"/>
      <c r="M28" s="973"/>
      <c r="N28" s="973"/>
      <c r="O28" s="973"/>
      <c r="P28" s="973"/>
      <c r="Q28" s="973"/>
      <c r="R28" s="973"/>
      <c r="S28" s="974"/>
      <c r="T28" s="959" t="s">
        <v>478</v>
      </c>
      <c r="U28" s="960"/>
      <c r="V28" s="1054" t="s">
        <v>479</v>
      </c>
      <c r="W28" s="1047"/>
      <c r="X28" s="1048">
        <f>SUM(Y28:AY28)</f>
        <v>133000</v>
      </c>
      <c r="Y28" s="1048"/>
      <c r="AI28" s="1049">
        <v>133000</v>
      </c>
      <c r="AJ28" s="1038"/>
      <c r="AK28" s="1038"/>
      <c r="AL28" s="1038"/>
      <c r="AM28" s="1038"/>
      <c r="AN28" s="1038"/>
      <c r="AO28" s="1038"/>
      <c r="AP28" s="1038"/>
      <c r="AQ28" s="1038"/>
      <c r="AR28" s="1038"/>
      <c r="AS28" s="1038"/>
      <c r="AT28" s="1038"/>
      <c r="AU28" s="1038"/>
      <c r="AV28" s="1038"/>
      <c r="AW28" s="1038"/>
      <c r="AX28" s="1038"/>
      <c r="AY28" s="1038"/>
    </row>
    <row r="29" spans="1:51" ht="15.75" x14ac:dyDescent="0.25">
      <c r="A29" s="961" t="s">
        <v>480</v>
      </c>
      <c r="B29" s="962"/>
      <c r="C29" s="962"/>
      <c r="D29" s="962"/>
      <c r="E29" s="962"/>
      <c r="F29" s="962"/>
      <c r="G29" s="962"/>
      <c r="H29" s="962"/>
      <c r="I29" s="962"/>
      <c r="J29" s="962"/>
      <c r="K29" s="962"/>
      <c r="L29" s="962"/>
      <c r="M29" s="962"/>
      <c r="N29" s="962"/>
      <c r="O29" s="962"/>
      <c r="P29" s="962"/>
      <c r="Q29" s="962"/>
      <c r="R29" s="962"/>
      <c r="S29" s="963"/>
      <c r="T29" s="959" t="s">
        <v>481</v>
      </c>
      <c r="U29" s="960"/>
      <c r="V29" s="1050" t="s">
        <v>482</v>
      </c>
      <c r="W29" s="1047"/>
      <c r="X29" s="1048">
        <f>X31+X30</f>
        <v>0</v>
      </c>
      <c r="Y29" s="1048">
        <f t="shared" ref="Y29:AY29" si="5">Y31+Y30</f>
        <v>0</v>
      </c>
      <c r="Z29" s="1048">
        <f t="shared" si="5"/>
        <v>0</v>
      </c>
      <c r="AA29" s="1048">
        <f t="shared" si="5"/>
        <v>0</v>
      </c>
      <c r="AB29" s="1048">
        <f t="shared" si="5"/>
        <v>0</v>
      </c>
      <c r="AC29" s="1048">
        <f t="shared" si="5"/>
        <v>0</v>
      </c>
      <c r="AD29" s="1048">
        <f t="shared" si="5"/>
        <v>0</v>
      </c>
      <c r="AE29" s="1048">
        <f t="shared" si="5"/>
        <v>0</v>
      </c>
      <c r="AF29" s="1048">
        <f t="shared" si="5"/>
        <v>0</v>
      </c>
      <c r="AG29" s="1048">
        <f t="shared" si="5"/>
        <v>0</v>
      </c>
      <c r="AH29" s="1048">
        <f t="shared" si="5"/>
        <v>0</v>
      </c>
      <c r="AI29" s="1052">
        <f t="shared" si="5"/>
        <v>0</v>
      </c>
      <c r="AJ29" s="1048">
        <f t="shared" si="5"/>
        <v>0</v>
      </c>
      <c r="AK29" s="1048">
        <f t="shared" si="5"/>
        <v>0</v>
      </c>
      <c r="AL29" s="1048">
        <f t="shared" si="5"/>
        <v>0</v>
      </c>
      <c r="AM29" s="1048">
        <f t="shared" si="5"/>
        <v>0</v>
      </c>
      <c r="AN29" s="1048">
        <f t="shared" si="5"/>
        <v>0</v>
      </c>
      <c r="AO29" s="1048">
        <f t="shared" si="5"/>
        <v>0</v>
      </c>
      <c r="AP29" s="1048">
        <f t="shared" si="5"/>
        <v>0</v>
      </c>
      <c r="AQ29" s="1048">
        <f t="shared" si="5"/>
        <v>0</v>
      </c>
      <c r="AR29" s="1048">
        <f t="shared" si="5"/>
        <v>0</v>
      </c>
      <c r="AS29" s="1048">
        <f t="shared" si="5"/>
        <v>0</v>
      </c>
      <c r="AT29" s="1048">
        <f t="shared" si="5"/>
        <v>0</v>
      </c>
      <c r="AU29" s="1048">
        <f t="shared" si="5"/>
        <v>0</v>
      </c>
      <c r="AV29" s="1048">
        <f t="shared" si="5"/>
        <v>0</v>
      </c>
      <c r="AW29" s="1048">
        <f t="shared" si="5"/>
        <v>0</v>
      </c>
      <c r="AX29" s="1048">
        <f t="shared" si="5"/>
        <v>0</v>
      </c>
      <c r="AY29" s="1048">
        <f t="shared" si="5"/>
        <v>0</v>
      </c>
    </row>
    <row r="30" spans="1:51" x14ac:dyDescent="0.25">
      <c r="A30" s="964" t="s">
        <v>483</v>
      </c>
      <c r="B30" s="965"/>
      <c r="C30" s="965"/>
      <c r="D30" s="965"/>
      <c r="E30" s="965"/>
      <c r="F30" s="965"/>
      <c r="G30" s="965"/>
      <c r="H30" s="965"/>
      <c r="I30" s="965"/>
      <c r="J30" s="965"/>
      <c r="K30" s="965"/>
      <c r="L30" s="965"/>
      <c r="M30" s="965"/>
      <c r="N30" s="965"/>
      <c r="O30" s="965"/>
      <c r="P30" s="965"/>
      <c r="Q30" s="965"/>
      <c r="R30" s="965"/>
      <c r="S30" s="966"/>
      <c r="T30" s="959" t="s">
        <v>484</v>
      </c>
      <c r="U30" s="960"/>
      <c r="V30" s="1050" t="s">
        <v>482</v>
      </c>
      <c r="W30" s="1047" t="s">
        <v>485</v>
      </c>
      <c r="X30" s="1048">
        <f>SUM(Y30:AY30)</f>
        <v>0</v>
      </c>
      <c r="Y30" s="1048"/>
      <c r="AI30" s="1049"/>
      <c r="AJ30" s="1038"/>
      <c r="AK30" s="1038"/>
      <c r="AL30" s="1038"/>
      <c r="AM30" s="1038"/>
      <c r="AN30" s="1038"/>
      <c r="AO30" s="1038"/>
      <c r="AP30" s="1038"/>
      <c r="AQ30" s="1038"/>
      <c r="AR30" s="1038"/>
      <c r="AS30" s="1038"/>
      <c r="AT30" s="1038"/>
      <c r="AU30" s="1038"/>
      <c r="AV30" s="1038"/>
      <c r="AW30" s="1038"/>
      <c r="AX30" s="1038"/>
      <c r="AY30" s="1038"/>
    </row>
    <row r="31" spans="1:51" x14ac:dyDescent="0.25">
      <c r="A31" s="964" t="s">
        <v>486</v>
      </c>
      <c r="B31" s="965"/>
      <c r="C31" s="965"/>
      <c r="D31" s="965"/>
      <c r="E31" s="965"/>
      <c r="F31" s="965"/>
      <c r="G31" s="965"/>
      <c r="H31" s="965"/>
      <c r="I31" s="965"/>
      <c r="J31" s="965"/>
      <c r="K31" s="965"/>
      <c r="L31" s="965"/>
      <c r="M31" s="965"/>
      <c r="N31" s="965"/>
      <c r="O31" s="965"/>
      <c r="P31" s="965"/>
      <c r="Q31" s="965"/>
      <c r="R31" s="965"/>
      <c r="S31" s="966"/>
      <c r="T31" s="959" t="s">
        <v>487</v>
      </c>
      <c r="U31" s="960"/>
      <c r="V31" s="1050" t="s">
        <v>482</v>
      </c>
      <c r="W31" s="1047" t="s">
        <v>488</v>
      </c>
      <c r="X31" s="1048">
        <f>SUM(Y31:AY31)</f>
        <v>0</v>
      </c>
      <c r="Y31" s="1048"/>
      <c r="AI31" s="1049"/>
      <c r="AJ31" s="1038"/>
      <c r="AK31" s="1038"/>
      <c r="AL31" s="1038"/>
      <c r="AM31" s="1038"/>
      <c r="AN31" s="1038"/>
      <c r="AO31" s="1038"/>
      <c r="AP31" s="1038"/>
      <c r="AQ31" s="1038"/>
      <c r="AR31" s="1038"/>
      <c r="AS31" s="1038"/>
      <c r="AT31" s="1038"/>
      <c r="AU31" s="1038"/>
      <c r="AV31" s="1038"/>
      <c r="AW31" s="1038"/>
      <c r="AX31" s="1038"/>
      <c r="AY31" s="1038"/>
    </row>
    <row r="32" spans="1:51" ht="15.75" x14ac:dyDescent="0.25">
      <c r="A32" s="961" t="s">
        <v>489</v>
      </c>
      <c r="B32" s="962"/>
      <c r="C32" s="962"/>
      <c r="D32" s="962"/>
      <c r="E32" s="962"/>
      <c r="F32" s="962"/>
      <c r="G32" s="962"/>
      <c r="H32" s="962"/>
      <c r="I32" s="962"/>
      <c r="J32" s="962"/>
      <c r="K32" s="962"/>
      <c r="L32" s="962"/>
      <c r="M32" s="962"/>
      <c r="N32" s="962"/>
      <c r="O32" s="962"/>
      <c r="P32" s="962"/>
      <c r="Q32" s="962"/>
      <c r="R32" s="962"/>
      <c r="S32" s="963"/>
      <c r="T32" s="959" t="s">
        <v>490</v>
      </c>
      <c r="U32" s="960"/>
      <c r="V32" s="1050" t="s">
        <v>491</v>
      </c>
      <c r="W32" s="1047"/>
      <c r="X32" s="1048">
        <f>X35+X34+X33</f>
        <v>0</v>
      </c>
      <c r="Y32" s="1048">
        <f t="shared" ref="Y32:AY32" si="6">Y35+Y34+Y33</f>
        <v>0</v>
      </c>
      <c r="Z32" s="1048">
        <f t="shared" si="6"/>
        <v>0</v>
      </c>
      <c r="AA32" s="1048">
        <f t="shared" si="6"/>
        <v>0</v>
      </c>
      <c r="AB32" s="1048">
        <f t="shared" si="6"/>
        <v>0</v>
      </c>
      <c r="AC32" s="1048">
        <f t="shared" si="6"/>
        <v>0</v>
      </c>
      <c r="AD32" s="1048">
        <f t="shared" si="6"/>
        <v>0</v>
      </c>
      <c r="AE32" s="1048">
        <f t="shared" si="6"/>
        <v>0</v>
      </c>
      <c r="AF32" s="1048">
        <f t="shared" si="6"/>
        <v>0</v>
      </c>
      <c r="AG32" s="1048">
        <f t="shared" si="6"/>
        <v>0</v>
      </c>
      <c r="AH32" s="1048">
        <f t="shared" si="6"/>
        <v>0</v>
      </c>
      <c r="AI32" s="1052">
        <f t="shared" si="6"/>
        <v>0</v>
      </c>
      <c r="AJ32" s="1048">
        <f t="shared" si="6"/>
        <v>0</v>
      </c>
      <c r="AK32" s="1048">
        <f t="shared" si="6"/>
        <v>0</v>
      </c>
      <c r="AL32" s="1048">
        <f t="shared" si="6"/>
        <v>0</v>
      </c>
      <c r="AM32" s="1048">
        <f t="shared" si="6"/>
        <v>0</v>
      </c>
      <c r="AN32" s="1048">
        <f t="shared" si="6"/>
        <v>0</v>
      </c>
      <c r="AO32" s="1048">
        <f t="shared" si="6"/>
        <v>0</v>
      </c>
      <c r="AP32" s="1048">
        <f t="shared" si="6"/>
        <v>0</v>
      </c>
      <c r="AQ32" s="1048">
        <f t="shared" si="6"/>
        <v>0</v>
      </c>
      <c r="AR32" s="1048">
        <f t="shared" si="6"/>
        <v>0</v>
      </c>
      <c r="AS32" s="1048">
        <f t="shared" si="6"/>
        <v>0</v>
      </c>
      <c r="AT32" s="1048">
        <f t="shared" si="6"/>
        <v>0</v>
      </c>
      <c r="AU32" s="1048">
        <f t="shared" si="6"/>
        <v>0</v>
      </c>
      <c r="AV32" s="1048">
        <f t="shared" si="6"/>
        <v>0</v>
      </c>
      <c r="AW32" s="1048">
        <f t="shared" si="6"/>
        <v>0</v>
      </c>
      <c r="AX32" s="1048">
        <f t="shared" si="6"/>
        <v>0</v>
      </c>
      <c r="AY32" s="1048">
        <f t="shared" si="6"/>
        <v>0</v>
      </c>
    </row>
    <row r="33" spans="1:51" x14ac:dyDescent="0.25">
      <c r="A33" s="964" t="s">
        <v>492</v>
      </c>
      <c r="B33" s="965"/>
      <c r="C33" s="965"/>
      <c r="D33" s="965"/>
      <c r="E33" s="965"/>
      <c r="F33" s="965"/>
      <c r="G33" s="965"/>
      <c r="H33" s="965"/>
      <c r="I33" s="965"/>
      <c r="J33" s="965"/>
      <c r="K33" s="965"/>
      <c r="L33" s="965"/>
      <c r="M33" s="965"/>
      <c r="N33" s="965"/>
      <c r="O33" s="965"/>
      <c r="P33" s="965"/>
      <c r="Q33" s="965"/>
      <c r="R33" s="965"/>
      <c r="S33" s="966"/>
      <c r="T33" s="959" t="s">
        <v>493</v>
      </c>
      <c r="U33" s="960"/>
      <c r="V33" s="1050" t="s">
        <v>491</v>
      </c>
      <c r="W33" s="1047" t="s">
        <v>494</v>
      </c>
      <c r="X33" s="1048">
        <f>SUM(Y33:AY33)</f>
        <v>0</v>
      </c>
      <c r="Y33" s="1048"/>
      <c r="AI33" s="1049"/>
      <c r="AJ33" s="1038"/>
      <c r="AK33" s="1038"/>
      <c r="AL33" s="1038"/>
      <c r="AM33" s="1038"/>
      <c r="AN33" s="1038"/>
      <c r="AO33" s="1038"/>
      <c r="AP33" s="1038"/>
      <c r="AQ33" s="1038"/>
      <c r="AR33" s="1038"/>
      <c r="AS33" s="1038"/>
      <c r="AT33" s="1038"/>
      <c r="AU33" s="1038"/>
      <c r="AV33" s="1038"/>
      <c r="AW33" s="1038"/>
      <c r="AX33" s="1038"/>
      <c r="AY33" s="1038"/>
    </row>
    <row r="34" spans="1:51" x14ac:dyDescent="0.25">
      <c r="A34" s="964" t="s">
        <v>495</v>
      </c>
      <c r="B34" s="965"/>
      <c r="C34" s="965"/>
      <c r="D34" s="965"/>
      <c r="E34" s="965"/>
      <c r="F34" s="965"/>
      <c r="G34" s="965"/>
      <c r="H34" s="965"/>
      <c r="I34" s="965"/>
      <c r="J34" s="965"/>
      <c r="K34" s="965"/>
      <c r="L34" s="965"/>
      <c r="M34" s="965"/>
      <c r="N34" s="965"/>
      <c r="O34" s="965"/>
      <c r="P34" s="965"/>
      <c r="Q34" s="965"/>
      <c r="R34" s="965"/>
      <c r="S34" s="966"/>
      <c r="T34" s="959" t="s">
        <v>496</v>
      </c>
      <c r="U34" s="960"/>
      <c r="V34" s="1050" t="s">
        <v>491</v>
      </c>
      <c r="W34" s="1047" t="s">
        <v>497</v>
      </c>
      <c r="X34" s="1048">
        <f>SUM(Y34:AY34)</f>
        <v>0</v>
      </c>
      <c r="Y34" s="1048"/>
      <c r="AI34" s="1049"/>
      <c r="AJ34" s="1038"/>
      <c r="AK34" s="1038"/>
      <c r="AL34" s="1038"/>
      <c r="AM34" s="1038"/>
      <c r="AN34" s="1038"/>
      <c r="AO34" s="1038"/>
      <c r="AP34" s="1038"/>
      <c r="AQ34" s="1038"/>
      <c r="AR34" s="1038"/>
      <c r="AS34" s="1038"/>
      <c r="AT34" s="1038"/>
      <c r="AU34" s="1038"/>
      <c r="AV34" s="1038"/>
      <c r="AW34" s="1038"/>
      <c r="AX34" s="1038"/>
      <c r="AY34" s="1038"/>
    </row>
    <row r="35" spans="1:51" x14ac:dyDescent="0.25">
      <c r="A35" s="964" t="s">
        <v>498</v>
      </c>
      <c r="B35" s="965"/>
      <c r="C35" s="965"/>
      <c r="D35" s="965"/>
      <c r="E35" s="965"/>
      <c r="F35" s="965"/>
      <c r="G35" s="965"/>
      <c r="H35" s="965"/>
      <c r="I35" s="965"/>
      <c r="J35" s="965"/>
      <c r="K35" s="965"/>
      <c r="L35" s="965"/>
      <c r="M35" s="965"/>
      <c r="N35" s="965"/>
      <c r="O35" s="965"/>
      <c r="P35" s="965"/>
      <c r="Q35" s="965"/>
      <c r="R35" s="965"/>
      <c r="S35" s="966"/>
      <c r="T35" s="959" t="s">
        <v>499</v>
      </c>
      <c r="U35" s="960"/>
      <c r="V35" s="1050" t="s">
        <v>491</v>
      </c>
      <c r="W35" s="1047" t="s">
        <v>500</v>
      </c>
      <c r="X35" s="1048">
        <f>SUM(Y35:AY35)</f>
        <v>0</v>
      </c>
      <c r="Y35" s="1048"/>
      <c r="AI35" s="1049"/>
      <c r="AJ35" s="1038"/>
      <c r="AK35" s="1038"/>
      <c r="AL35" s="1038"/>
      <c r="AM35" s="1038"/>
      <c r="AN35" s="1038"/>
      <c r="AO35" s="1038"/>
      <c r="AP35" s="1038"/>
      <c r="AQ35" s="1038"/>
      <c r="AR35" s="1038"/>
      <c r="AS35" s="1038"/>
      <c r="AT35" s="1038"/>
      <c r="AU35" s="1038"/>
      <c r="AV35" s="1038"/>
      <c r="AW35" s="1038"/>
      <c r="AX35" s="1038"/>
      <c r="AY35" s="1038"/>
    </row>
    <row r="36" spans="1:51" ht="15.75" thickBot="1" x14ac:dyDescent="0.3">
      <c r="A36" s="956" t="s">
        <v>501</v>
      </c>
      <c r="B36" s="957"/>
      <c r="C36" s="957"/>
      <c r="D36" s="957"/>
      <c r="E36" s="957"/>
      <c r="F36" s="957"/>
      <c r="G36" s="957"/>
      <c r="H36" s="957"/>
      <c r="I36" s="957"/>
      <c r="J36" s="957"/>
      <c r="K36" s="957"/>
      <c r="L36" s="957"/>
      <c r="M36" s="957"/>
      <c r="N36" s="957"/>
      <c r="O36" s="957"/>
      <c r="P36" s="957"/>
      <c r="Q36" s="957"/>
      <c r="R36" s="957"/>
      <c r="S36" s="958"/>
      <c r="T36" s="959" t="s">
        <v>502</v>
      </c>
      <c r="U36" s="960"/>
      <c r="V36" s="1050" t="s">
        <v>503</v>
      </c>
      <c r="W36" s="1047"/>
      <c r="X36" s="1048">
        <f>SUM(Y36:AY36)</f>
        <v>1200000</v>
      </c>
      <c r="Y36" s="1048"/>
      <c r="AC36" s="1038">
        <v>124000</v>
      </c>
      <c r="AI36" s="1049">
        <v>777000</v>
      </c>
      <c r="AJ36" s="1038"/>
      <c r="AK36" s="1038">
        <v>282000</v>
      </c>
      <c r="AL36" s="1038"/>
      <c r="AM36" s="1038"/>
      <c r="AN36" s="1038"/>
      <c r="AO36" s="1038"/>
      <c r="AP36" s="1038">
        <v>15000</v>
      </c>
      <c r="AQ36" s="1038"/>
      <c r="AR36" s="1038"/>
      <c r="AS36" s="1038">
        <v>2000</v>
      </c>
      <c r="AT36" s="1038"/>
      <c r="AU36" s="1038"/>
      <c r="AV36" s="1038"/>
      <c r="AW36" s="1038"/>
      <c r="AX36" s="1038"/>
      <c r="AY36" s="1038"/>
    </row>
    <row r="37" spans="1:51" ht="16.5" thickBot="1" x14ac:dyDescent="0.3">
      <c r="A37" s="961" t="s">
        <v>504</v>
      </c>
      <c r="B37" s="962"/>
      <c r="C37" s="962"/>
      <c r="D37" s="962"/>
      <c r="E37" s="962"/>
      <c r="F37" s="962"/>
      <c r="G37" s="962"/>
      <c r="H37" s="962"/>
      <c r="I37" s="962"/>
      <c r="J37" s="962"/>
      <c r="K37" s="962"/>
      <c r="L37" s="962"/>
      <c r="M37" s="962"/>
      <c r="N37" s="962"/>
      <c r="O37" s="962"/>
      <c r="P37" s="962"/>
      <c r="Q37" s="962"/>
      <c r="R37" s="962"/>
      <c r="S37" s="963"/>
      <c r="T37" s="959" t="s">
        <v>505</v>
      </c>
      <c r="U37" s="960"/>
      <c r="V37" s="1050"/>
      <c r="W37" s="1047"/>
      <c r="X37" s="366">
        <f>X27+X28+X29+X32+X36</f>
        <v>24391236</v>
      </c>
      <c r="Y37" s="1048">
        <f t="shared" ref="Y37:AY37" si="7">Y27+Y28+Y29+Y32+Y36</f>
        <v>185000</v>
      </c>
      <c r="Z37" s="1048">
        <f t="shared" si="7"/>
        <v>489000</v>
      </c>
      <c r="AA37" s="1048">
        <f t="shared" si="7"/>
        <v>98000</v>
      </c>
      <c r="AB37" s="1048">
        <f t="shared" si="7"/>
        <v>490000</v>
      </c>
      <c r="AC37" s="1048">
        <f t="shared" si="7"/>
        <v>124000</v>
      </c>
      <c r="AD37" s="1048">
        <f t="shared" si="7"/>
        <v>3026000</v>
      </c>
      <c r="AE37" s="1048">
        <f t="shared" si="7"/>
        <v>14000</v>
      </c>
      <c r="AF37" s="1048">
        <f t="shared" si="7"/>
        <v>256000</v>
      </c>
      <c r="AG37" s="1048">
        <f t="shared" si="7"/>
        <v>118000</v>
      </c>
      <c r="AH37" s="1048">
        <f t="shared" si="7"/>
        <v>0</v>
      </c>
      <c r="AI37" s="1052">
        <f t="shared" si="7"/>
        <v>2560000</v>
      </c>
      <c r="AJ37" s="1048">
        <f t="shared" si="7"/>
        <v>670000</v>
      </c>
      <c r="AK37" s="1048">
        <f t="shared" si="7"/>
        <v>1880000</v>
      </c>
      <c r="AL37" s="1048">
        <f t="shared" si="7"/>
        <v>323000</v>
      </c>
      <c r="AM37" s="1048">
        <f t="shared" si="7"/>
        <v>0</v>
      </c>
      <c r="AN37" s="1048">
        <f t="shared" si="7"/>
        <v>2700</v>
      </c>
      <c r="AO37" s="1048">
        <f t="shared" si="7"/>
        <v>0</v>
      </c>
      <c r="AP37" s="1048">
        <f t="shared" si="7"/>
        <v>15000</v>
      </c>
      <c r="AQ37" s="1048">
        <f t="shared" si="7"/>
        <v>1742000</v>
      </c>
      <c r="AR37" s="1048">
        <f t="shared" si="7"/>
        <v>10767536</v>
      </c>
      <c r="AS37" s="1048">
        <f t="shared" si="7"/>
        <v>433000</v>
      </c>
      <c r="AT37" s="1048">
        <f t="shared" si="7"/>
        <v>577000</v>
      </c>
      <c r="AU37" s="1048">
        <f t="shared" si="7"/>
        <v>0</v>
      </c>
      <c r="AV37" s="1048">
        <f t="shared" si="7"/>
        <v>324000</v>
      </c>
      <c r="AW37" s="1048">
        <f t="shared" si="7"/>
        <v>5000</v>
      </c>
      <c r="AX37" s="1048">
        <f t="shared" si="7"/>
        <v>107000</v>
      </c>
      <c r="AY37" s="1048">
        <f t="shared" si="7"/>
        <v>185000</v>
      </c>
    </row>
    <row r="38" spans="1:51" ht="16.5" thickBot="1" x14ac:dyDescent="0.3">
      <c r="A38" s="961" t="s">
        <v>506</v>
      </c>
      <c r="B38" s="962"/>
      <c r="C38" s="962"/>
      <c r="D38" s="962"/>
      <c r="E38" s="962"/>
      <c r="F38" s="962"/>
      <c r="G38" s="962"/>
      <c r="H38" s="962"/>
      <c r="I38" s="962"/>
      <c r="J38" s="962"/>
      <c r="K38" s="962"/>
      <c r="L38" s="962"/>
      <c r="M38" s="962"/>
      <c r="N38" s="962"/>
      <c r="O38" s="962"/>
      <c r="P38" s="962"/>
      <c r="Q38" s="962"/>
      <c r="R38" s="962"/>
      <c r="S38" s="963"/>
      <c r="T38" s="959" t="s">
        <v>507</v>
      </c>
      <c r="U38" s="960"/>
      <c r="V38" s="1050"/>
      <c r="W38" s="1047"/>
      <c r="X38" s="600">
        <f>X10+X13+X23+X26+X37</f>
        <v>133766236</v>
      </c>
      <c r="Y38" s="1048">
        <f t="shared" ref="Y38:AY38" si="8">Y10+Y13+Y23+Y26+Y37</f>
        <v>935000</v>
      </c>
      <c r="Z38" s="1048">
        <f t="shared" si="8"/>
        <v>2301000</v>
      </c>
      <c r="AA38" s="1048">
        <f t="shared" si="8"/>
        <v>464000</v>
      </c>
      <c r="AB38" s="1048">
        <f t="shared" si="8"/>
        <v>2303000</v>
      </c>
      <c r="AC38" s="1048">
        <f t="shared" si="8"/>
        <v>124000</v>
      </c>
      <c r="AD38" s="1048">
        <f t="shared" si="8"/>
        <v>16220000</v>
      </c>
      <c r="AE38" s="1048">
        <f t="shared" si="8"/>
        <v>299000</v>
      </c>
      <c r="AF38" s="1048">
        <f t="shared" si="8"/>
        <v>1305000</v>
      </c>
      <c r="AG38" s="1048">
        <f t="shared" si="8"/>
        <v>591000</v>
      </c>
      <c r="AH38" s="1048">
        <f t="shared" si="8"/>
        <v>0</v>
      </c>
      <c r="AI38" s="1052">
        <f t="shared" si="8"/>
        <v>13099500</v>
      </c>
      <c r="AJ38" s="1048">
        <f t="shared" si="8"/>
        <v>3229000</v>
      </c>
      <c r="AK38" s="1048">
        <f t="shared" si="8"/>
        <v>8810000</v>
      </c>
      <c r="AL38" s="1048">
        <f t="shared" si="8"/>
        <v>1440500</v>
      </c>
      <c r="AM38" s="1048">
        <f t="shared" si="8"/>
        <v>1294000</v>
      </c>
      <c r="AN38" s="1048">
        <f t="shared" si="8"/>
        <v>102700</v>
      </c>
      <c r="AO38" s="1048">
        <f t="shared" si="8"/>
        <v>108000</v>
      </c>
      <c r="AP38" s="1048">
        <f t="shared" si="8"/>
        <v>211000</v>
      </c>
      <c r="AQ38" s="1048">
        <f t="shared" si="8"/>
        <v>8566000</v>
      </c>
      <c r="AR38" s="1048">
        <f t="shared" si="8"/>
        <v>59013536</v>
      </c>
      <c r="AS38" s="1048">
        <f t="shared" si="8"/>
        <v>5536000</v>
      </c>
      <c r="AT38" s="1048">
        <f t="shared" si="8"/>
        <v>4293000</v>
      </c>
      <c r="AU38" s="1048">
        <f t="shared" si="8"/>
        <v>102000</v>
      </c>
      <c r="AV38" s="1048">
        <f t="shared" si="8"/>
        <v>1527000</v>
      </c>
      <c r="AW38" s="1048">
        <f t="shared" si="8"/>
        <v>23000</v>
      </c>
      <c r="AX38" s="1048">
        <f t="shared" si="8"/>
        <v>522000</v>
      </c>
      <c r="AY38" s="1048">
        <f t="shared" si="8"/>
        <v>1347000</v>
      </c>
    </row>
    <row r="39" spans="1:51" x14ac:dyDescent="0.25">
      <c r="X39" s="364">
        <f>SUM(Y38:AY38)</f>
        <v>133766236</v>
      </c>
    </row>
  </sheetData>
  <mergeCells count="66">
    <mergeCell ref="A38:S38"/>
    <mergeCell ref="T38:U38"/>
    <mergeCell ref="A35:S35"/>
    <mergeCell ref="T35:U35"/>
    <mergeCell ref="A36:S36"/>
    <mergeCell ref="T36:U36"/>
    <mergeCell ref="A37:S37"/>
    <mergeCell ref="T37:U37"/>
    <mergeCell ref="A32:S32"/>
    <mergeCell ref="T32:U32"/>
    <mergeCell ref="A33:S33"/>
    <mergeCell ref="T33:U33"/>
    <mergeCell ref="A34:S34"/>
    <mergeCell ref="T34:U34"/>
    <mergeCell ref="A29:S29"/>
    <mergeCell ref="T29:U29"/>
    <mergeCell ref="A30:S30"/>
    <mergeCell ref="T30:U30"/>
    <mergeCell ref="A31:S31"/>
    <mergeCell ref="T31:U31"/>
    <mergeCell ref="A26:S26"/>
    <mergeCell ref="T26:U26"/>
    <mergeCell ref="A27:S27"/>
    <mergeCell ref="T27:U27"/>
    <mergeCell ref="A28:S28"/>
    <mergeCell ref="T28:U28"/>
    <mergeCell ref="A23:S23"/>
    <mergeCell ref="T23:U23"/>
    <mergeCell ref="A24:S24"/>
    <mergeCell ref="T24:U24"/>
    <mergeCell ref="A25:S25"/>
    <mergeCell ref="T25:U25"/>
    <mergeCell ref="A20:S20"/>
    <mergeCell ref="T20:U20"/>
    <mergeCell ref="A21:S21"/>
    <mergeCell ref="T21:U21"/>
    <mergeCell ref="A22:S22"/>
    <mergeCell ref="T22:U22"/>
    <mergeCell ref="A17:S17"/>
    <mergeCell ref="T17:U17"/>
    <mergeCell ref="A18:S18"/>
    <mergeCell ref="T18:U18"/>
    <mergeCell ref="A19:S19"/>
    <mergeCell ref="T19:U19"/>
    <mergeCell ref="A14:S14"/>
    <mergeCell ref="T14:U14"/>
    <mergeCell ref="A15:S15"/>
    <mergeCell ref="T15:U15"/>
    <mergeCell ref="A16:S16"/>
    <mergeCell ref="T16:U16"/>
    <mergeCell ref="A11:S11"/>
    <mergeCell ref="T11:U11"/>
    <mergeCell ref="A12:S12"/>
    <mergeCell ref="T12:U12"/>
    <mergeCell ref="A13:S13"/>
    <mergeCell ref="T13:U13"/>
    <mergeCell ref="A8:S8"/>
    <mergeCell ref="T8:U8"/>
    <mergeCell ref="A9:S9"/>
    <mergeCell ref="T9:U9"/>
    <mergeCell ref="A10:S10"/>
    <mergeCell ref="T10:U10"/>
    <mergeCell ref="A5:S6"/>
    <mergeCell ref="T5:U6"/>
    <mergeCell ref="A7:S7"/>
    <mergeCell ref="T7:U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4"/>
  <sheetViews>
    <sheetView topLeftCell="R1" workbookViewId="0">
      <selection activeCell="AH5" sqref="AH5:AH6"/>
    </sheetView>
  </sheetViews>
  <sheetFormatPr defaultRowHeight="12.75" x14ac:dyDescent="0.2"/>
  <cols>
    <col min="1" max="17" width="3.28515625" style="559" customWidth="1"/>
    <col min="18" max="18" width="2.85546875" style="559" customWidth="1"/>
    <col min="19" max="19" width="0.7109375" style="559" customWidth="1"/>
    <col min="20" max="20" width="2" style="559" customWidth="1"/>
    <col min="21" max="21" width="3.28515625" style="559" customWidth="1"/>
    <col min="22" max="22" width="0.85546875" style="559" customWidth="1"/>
    <col min="23" max="23" width="7.85546875" style="559" customWidth="1"/>
    <col min="24" max="24" width="4" style="559" customWidth="1"/>
    <col min="25" max="25" width="17" style="559" bestFit="1" customWidth="1"/>
    <col min="26" max="26" width="17.28515625" style="559" customWidth="1"/>
    <col min="27" max="27" width="17.85546875" style="559" customWidth="1"/>
    <col min="28" max="28" width="16.140625" style="559" customWidth="1"/>
    <col min="29" max="29" width="16" style="559" customWidth="1"/>
    <col min="30" max="30" width="15.7109375" style="559" customWidth="1"/>
    <col min="31" max="31" width="15.85546875" style="559" customWidth="1"/>
    <col min="32" max="32" width="17.28515625" style="559" customWidth="1"/>
    <col min="33" max="33" width="14" style="559" customWidth="1"/>
    <col min="34" max="34" width="16.5703125" style="559" customWidth="1"/>
    <col min="35" max="16384" width="9.140625" style="559"/>
  </cols>
  <sheetData>
    <row r="1" spans="1:34" ht="18.75" x14ac:dyDescent="0.2">
      <c r="A1" s="945" t="s">
        <v>3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  <c r="Q1" s="945"/>
      <c r="R1" s="945"/>
      <c r="S1" s="945"/>
      <c r="T1" s="945"/>
      <c r="U1" s="945"/>
      <c r="V1" s="945"/>
      <c r="W1" s="945"/>
      <c r="X1" s="945"/>
      <c r="Y1" s="945"/>
      <c r="Z1" s="945"/>
      <c r="AA1" s="945"/>
      <c r="AB1" s="945"/>
    </row>
    <row r="2" spans="1:34" ht="15.75" x14ac:dyDescent="0.2">
      <c r="A2" s="1012" t="s">
        <v>759</v>
      </c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  <c r="M2" s="1012"/>
      <c r="N2" s="1012"/>
      <c r="O2" s="1012"/>
      <c r="P2" s="1012"/>
      <c r="Q2" s="1012"/>
      <c r="R2" s="1012"/>
      <c r="S2" s="1012"/>
      <c r="T2" s="1012"/>
      <c r="U2" s="1012"/>
      <c r="V2" s="1012"/>
      <c r="W2" s="1012"/>
      <c r="X2" s="1012"/>
      <c r="Y2" s="1012"/>
      <c r="Z2" s="1012"/>
      <c r="AA2" s="1012"/>
      <c r="AB2" s="1012"/>
      <c r="AC2" s="1012"/>
    </row>
    <row r="3" spans="1:34" ht="15.75" x14ac:dyDescent="0.25">
      <c r="A3" s="778" t="s">
        <v>760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</row>
    <row r="4" spans="1:34" ht="15.75" thickBot="1" x14ac:dyDescent="0.3">
      <c r="A4" s="601"/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/>
      <c r="X4"/>
      <c r="Y4"/>
      <c r="AH4" s="559" t="s">
        <v>824</v>
      </c>
    </row>
    <row r="5" spans="1:34" ht="15.75" x14ac:dyDescent="0.25">
      <c r="A5" s="1013" t="s">
        <v>7</v>
      </c>
      <c r="B5" s="1014"/>
      <c r="C5" s="1014"/>
      <c r="D5" s="1014"/>
      <c r="E5" s="1014"/>
      <c r="F5" s="1014"/>
      <c r="G5" s="1014"/>
      <c r="H5" s="1014"/>
      <c r="I5" s="1014"/>
      <c r="J5" s="1014"/>
      <c r="K5" s="1014"/>
      <c r="L5" s="1014"/>
      <c r="M5" s="1014"/>
      <c r="N5" s="1014"/>
      <c r="O5" s="1014"/>
      <c r="P5" s="1014"/>
      <c r="Q5" s="1014"/>
      <c r="R5" s="1014"/>
      <c r="S5" s="1015"/>
      <c r="T5" s="1022" t="s">
        <v>6</v>
      </c>
      <c r="U5" s="1022"/>
      <c r="V5" s="1023"/>
      <c r="W5" s="602" t="s">
        <v>409</v>
      </c>
      <c r="X5" s="603"/>
      <c r="Y5" s="1026" t="s">
        <v>8</v>
      </c>
      <c r="Z5" s="604" t="s">
        <v>287</v>
      </c>
      <c r="AA5" s="1028" t="s">
        <v>761</v>
      </c>
      <c r="AB5" s="605"/>
      <c r="AC5" s="1030" t="s">
        <v>762</v>
      </c>
      <c r="AD5" s="1008" t="s">
        <v>763</v>
      </c>
      <c r="AE5" s="1010" t="s">
        <v>764</v>
      </c>
      <c r="AF5" s="1010" t="s">
        <v>765</v>
      </c>
      <c r="AG5" s="1010" t="s">
        <v>766</v>
      </c>
      <c r="AH5" s="1010" t="s">
        <v>767</v>
      </c>
    </row>
    <row r="6" spans="1:34" ht="43.5" customHeight="1" thickBot="1" x14ac:dyDescent="0.3">
      <c r="A6" s="1016"/>
      <c r="B6" s="1017"/>
      <c r="C6" s="1017"/>
      <c r="D6" s="1017"/>
      <c r="E6" s="1017"/>
      <c r="F6" s="1017"/>
      <c r="G6" s="1017"/>
      <c r="H6" s="1017"/>
      <c r="I6" s="1017"/>
      <c r="J6" s="1017"/>
      <c r="K6" s="1017"/>
      <c r="L6" s="1017"/>
      <c r="M6" s="1017"/>
      <c r="N6" s="1017"/>
      <c r="O6" s="1017"/>
      <c r="P6" s="1017"/>
      <c r="Q6" s="1017"/>
      <c r="R6" s="1017"/>
      <c r="S6" s="1018"/>
      <c r="T6" s="1024"/>
      <c r="U6" s="1024"/>
      <c r="V6" s="1025"/>
      <c r="W6" s="1032" t="s">
        <v>410</v>
      </c>
      <c r="X6" s="1033"/>
      <c r="Y6" s="1027"/>
      <c r="Z6" s="606" t="s">
        <v>768</v>
      </c>
      <c r="AA6" s="1029"/>
      <c r="AB6" s="607" t="s">
        <v>769</v>
      </c>
      <c r="AC6" s="1031"/>
      <c r="AD6" s="1009"/>
      <c r="AE6" s="1011"/>
      <c r="AF6" s="1011"/>
      <c r="AG6" s="1011"/>
      <c r="AH6" s="1011"/>
    </row>
    <row r="7" spans="1:34" ht="15.75" thickBot="1" x14ac:dyDescent="0.3">
      <c r="A7" s="1034" t="s">
        <v>770</v>
      </c>
      <c r="B7" s="1035"/>
      <c r="C7" s="1035"/>
      <c r="D7" s="1035"/>
      <c r="E7" s="1035"/>
      <c r="F7" s="1035"/>
      <c r="G7" s="1035"/>
      <c r="H7" s="1035"/>
      <c r="I7" s="1035"/>
      <c r="J7" s="1035"/>
      <c r="K7" s="1035"/>
      <c r="L7" s="1035"/>
      <c r="M7" s="1035"/>
      <c r="N7" s="1035"/>
      <c r="O7" s="1035"/>
      <c r="P7" s="1035"/>
      <c r="Q7" s="1035"/>
      <c r="R7" s="1035"/>
      <c r="S7" s="1036"/>
      <c r="T7" s="1002" t="s">
        <v>412</v>
      </c>
      <c r="U7" s="1002"/>
      <c r="V7" s="1003"/>
      <c r="W7" s="1006" t="s">
        <v>771</v>
      </c>
      <c r="X7" s="1007"/>
      <c r="Y7" s="608">
        <f>Z7+AA7+AB7+AC7+AD7+AF7+AG7+AH7+AE7</f>
        <v>42219506</v>
      </c>
      <c r="Z7" s="609"/>
      <c r="AA7" s="610">
        <f>[8]éves_bér_és_jár!K11</f>
        <v>15726600</v>
      </c>
      <c r="AB7" s="611">
        <f>[8]éves_bér_és_jár!K37+[8]éves_bér_és_jár!L37+[8]éves_bér_és_jár!M37</f>
        <v>4223400</v>
      </c>
      <c r="AC7" s="612">
        <f>[8]éves_bér_és_jár!K21</f>
        <v>4891806</v>
      </c>
      <c r="AD7" s="609">
        <f>[8]éves_bér_és_jár!K25</f>
        <v>3110300</v>
      </c>
      <c r="AE7" s="613">
        <f>[8]éves_bér_és_jár!K40</f>
        <v>1755000</v>
      </c>
      <c r="AF7" s="613">
        <f>[8]éves_bér_és_jár!K54</f>
        <v>8484000</v>
      </c>
      <c r="AG7" s="613"/>
      <c r="AH7" s="613">
        <f>[8]éves_bér_és_jár!K72</f>
        <v>4028400</v>
      </c>
    </row>
    <row r="8" spans="1:34" ht="15" customHeight="1" x14ac:dyDescent="0.25">
      <c r="A8" s="999" t="s">
        <v>772</v>
      </c>
      <c r="B8" s="1000"/>
      <c r="C8" s="1000"/>
      <c r="D8" s="1000"/>
      <c r="E8" s="1000"/>
      <c r="F8" s="1000"/>
      <c r="G8" s="1000"/>
      <c r="H8" s="1000"/>
      <c r="I8" s="1000"/>
      <c r="J8" s="1000"/>
      <c r="K8" s="1000"/>
      <c r="L8" s="1000"/>
      <c r="M8" s="1000"/>
      <c r="N8" s="1000"/>
      <c r="O8" s="1000"/>
      <c r="P8" s="1000"/>
      <c r="Q8" s="1000"/>
      <c r="R8" s="1000"/>
      <c r="S8" s="1001"/>
      <c r="T8" s="1002" t="s">
        <v>415</v>
      </c>
      <c r="U8" s="1002"/>
      <c r="V8" s="1003"/>
      <c r="W8" s="1006" t="s">
        <v>773</v>
      </c>
      <c r="X8" s="1007"/>
      <c r="Y8" s="608">
        <f t="shared" ref="Y8:Y19" si="0">Z8+AA8+AB8+AC8+AD8+AF8+AG8+AH8+AE8</f>
        <v>1075000</v>
      </c>
      <c r="Z8" s="612"/>
      <c r="AA8" s="614">
        <f>[8]éves_bér_és_jár!P11</f>
        <v>775000</v>
      </c>
      <c r="AB8" s="611">
        <f>[8]éves_bér_és_jár!P37</f>
        <v>100000</v>
      </c>
      <c r="AC8" s="609"/>
      <c r="AD8" s="609">
        <f>[8]éves_bér_és_jár!P25</f>
        <v>200000</v>
      </c>
      <c r="AE8" s="615"/>
      <c r="AF8" s="615"/>
      <c r="AG8" s="615">
        <f>'[9]alapadatok bér 2017'!V10</f>
        <v>0</v>
      </c>
      <c r="AH8" s="615"/>
    </row>
    <row r="9" spans="1:34" ht="15" customHeight="1" x14ac:dyDescent="0.25">
      <c r="A9" s="999" t="s">
        <v>774</v>
      </c>
      <c r="B9" s="1000"/>
      <c r="C9" s="1000"/>
      <c r="D9" s="1000"/>
      <c r="E9" s="1000"/>
      <c r="F9" s="1000"/>
      <c r="G9" s="1000"/>
      <c r="H9" s="1000"/>
      <c r="I9" s="1000"/>
      <c r="J9" s="1000"/>
      <c r="K9" s="1000"/>
      <c r="L9" s="1000"/>
      <c r="M9" s="1000"/>
      <c r="N9" s="1000"/>
      <c r="O9" s="1000"/>
      <c r="P9" s="1000"/>
      <c r="Q9" s="1000"/>
      <c r="R9" s="1000"/>
      <c r="S9" s="1001"/>
      <c r="T9" s="1002" t="s">
        <v>419</v>
      </c>
      <c r="U9" s="1002"/>
      <c r="V9" s="1003"/>
      <c r="W9" s="1006" t="s">
        <v>775</v>
      </c>
      <c r="X9" s="1007"/>
      <c r="Y9" s="608">
        <f t="shared" si="0"/>
        <v>1084699</v>
      </c>
      <c r="Z9" s="612">
        <f>[8]éves_bér_és_jár!Q27</f>
        <v>148699</v>
      </c>
      <c r="AA9" s="612">
        <f>[8]éves_bér_és_jár!N11</f>
        <v>648000</v>
      </c>
      <c r="AB9" s="611">
        <f>[8]éves_bér_és_jár!N37</f>
        <v>96000</v>
      </c>
      <c r="AC9" s="609"/>
      <c r="AD9" s="609">
        <f>[8]éves_bér_és_jár!N25</f>
        <v>192000</v>
      </c>
      <c r="AE9" s="615"/>
      <c r="AF9" s="615"/>
      <c r="AG9" s="615"/>
      <c r="AH9" s="615"/>
    </row>
    <row r="10" spans="1:34" ht="15" customHeight="1" x14ac:dyDescent="0.25">
      <c r="A10" s="999" t="s">
        <v>776</v>
      </c>
      <c r="B10" s="1000"/>
      <c r="C10" s="1000"/>
      <c r="D10" s="1000"/>
      <c r="E10" s="1000"/>
      <c r="F10" s="1000"/>
      <c r="G10" s="1000"/>
      <c r="H10" s="1000"/>
      <c r="I10" s="1000"/>
      <c r="J10" s="1000"/>
      <c r="K10" s="1000"/>
      <c r="L10" s="1000"/>
      <c r="M10" s="1000"/>
      <c r="N10" s="1000"/>
      <c r="O10" s="1000"/>
      <c r="P10" s="1000"/>
      <c r="Q10" s="1000"/>
      <c r="R10" s="1000"/>
      <c r="S10" s="1001"/>
      <c r="T10" s="1002" t="s">
        <v>423</v>
      </c>
      <c r="U10" s="1002"/>
      <c r="V10" s="1003"/>
      <c r="W10" s="1006" t="s">
        <v>777</v>
      </c>
      <c r="X10" s="1007"/>
      <c r="Y10" s="608">
        <f t="shared" si="0"/>
        <v>1212000</v>
      </c>
      <c r="Z10" s="612">
        <f>[8]éves_bér_és_jár!O35</f>
        <v>900000</v>
      </c>
      <c r="AA10" s="612">
        <f>[8]éves_bér_és_jár!O11</f>
        <v>312000</v>
      </c>
      <c r="AB10" s="611"/>
      <c r="AC10" s="609"/>
      <c r="AD10" s="609"/>
      <c r="AE10" s="615"/>
      <c r="AF10" s="615"/>
      <c r="AG10" s="615">
        <f>'[9]alapadatok bér 2017'!T10</f>
        <v>0</v>
      </c>
      <c r="AH10" s="615"/>
    </row>
    <row r="11" spans="1:34" ht="15" customHeight="1" x14ac:dyDescent="0.25">
      <c r="A11" s="999" t="s">
        <v>778</v>
      </c>
      <c r="B11" s="1000"/>
      <c r="C11" s="1000"/>
      <c r="D11" s="1000"/>
      <c r="E11" s="1000"/>
      <c r="F11" s="1000"/>
      <c r="G11" s="1000"/>
      <c r="H11" s="1000"/>
      <c r="I11" s="1000"/>
      <c r="J11" s="1000"/>
      <c r="K11" s="1000"/>
      <c r="L11" s="1000"/>
      <c r="M11" s="1000"/>
      <c r="N11" s="1000"/>
      <c r="O11" s="1000"/>
      <c r="P11" s="1000"/>
      <c r="Q11" s="1000"/>
      <c r="R11" s="1000"/>
      <c r="S11" s="616"/>
      <c r="T11" s="1002" t="s">
        <v>426</v>
      </c>
      <c r="U11" s="1002"/>
      <c r="V11" s="1003"/>
      <c r="W11" s="1006" t="s">
        <v>779</v>
      </c>
      <c r="X11" s="1007"/>
      <c r="Y11" s="608">
        <f t="shared" si="0"/>
        <v>390000</v>
      </c>
      <c r="Z11" s="612">
        <f>[8]éves_bér_és_jár!S35</f>
        <v>50000</v>
      </c>
      <c r="AA11" s="612">
        <f>[8]éves_bér_és_jár!S11</f>
        <v>160000</v>
      </c>
      <c r="AB11" s="611">
        <f>[8]éves_bér_és_jár!S37</f>
        <v>30000</v>
      </c>
      <c r="AC11" s="609">
        <f>[8]éves_bér_és_jár!S21</f>
        <v>50000</v>
      </c>
      <c r="AD11" s="609">
        <f>[8]éves_bér_és_jár!S25</f>
        <v>80000</v>
      </c>
      <c r="AE11" s="615">
        <f>[8]éves_bér_és_jár!S40</f>
        <v>20000</v>
      </c>
      <c r="AF11" s="615"/>
      <c r="AG11" s="615"/>
      <c r="AH11" s="615"/>
    </row>
    <row r="12" spans="1:34" ht="15" customHeight="1" x14ac:dyDescent="0.25">
      <c r="A12" s="999" t="s">
        <v>780</v>
      </c>
      <c r="B12" s="1000"/>
      <c r="C12" s="1000"/>
      <c r="D12" s="1000"/>
      <c r="E12" s="1000"/>
      <c r="F12" s="1000"/>
      <c r="G12" s="1000"/>
      <c r="H12" s="1000"/>
      <c r="I12" s="1000"/>
      <c r="J12" s="1000"/>
      <c r="K12" s="1000"/>
      <c r="L12" s="1000"/>
      <c r="M12" s="1000"/>
      <c r="N12" s="1000"/>
      <c r="O12" s="1000"/>
      <c r="P12" s="1000"/>
      <c r="Q12" s="1000"/>
      <c r="R12" s="1000"/>
      <c r="S12" s="1001"/>
      <c r="T12" s="1002" t="s">
        <v>429</v>
      </c>
      <c r="U12" s="1002"/>
      <c r="V12" s="1003"/>
      <c r="W12" s="1006" t="s">
        <v>781</v>
      </c>
      <c r="X12" s="1007"/>
      <c r="Y12" s="608">
        <f t="shared" si="0"/>
        <v>9138220</v>
      </c>
      <c r="Z12" s="612">
        <f>[8]éves_bér_és_jár!K35+[8]éves_bér_és_jár!P27</f>
        <v>9138220</v>
      </c>
      <c r="AA12" s="612"/>
      <c r="AB12" s="611"/>
      <c r="AC12" s="609"/>
      <c r="AD12" s="609"/>
      <c r="AE12" s="615"/>
      <c r="AF12" s="615"/>
      <c r="AG12" s="615"/>
      <c r="AH12" s="615"/>
    </row>
    <row r="13" spans="1:34" ht="15" customHeight="1" x14ac:dyDescent="0.25">
      <c r="A13" s="999" t="s">
        <v>782</v>
      </c>
      <c r="B13" s="1000"/>
      <c r="C13" s="1000"/>
      <c r="D13" s="1000"/>
      <c r="E13" s="1000"/>
      <c r="F13" s="1000"/>
      <c r="G13" s="1000"/>
      <c r="H13" s="1000"/>
      <c r="I13" s="1000"/>
      <c r="J13" s="1000"/>
      <c r="K13" s="1000"/>
      <c r="L13" s="1000"/>
      <c r="M13" s="1000"/>
      <c r="N13" s="1000"/>
      <c r="O13" s="1000"/>
      <c r="P13" s="1000"/>
      <c r="Q13" s="1000"/>
      <c r="R13" s="1000"/>
      <c r="S13" s="1001"/>
      <c r="T13" s="1002" t="s">
        <v>432</v>
      </c>
      <c r="U13" s="1002"/>
      <c r="V13" s="1003"/>
      <c r="W13" s="1006" t="s">
        <v>783</v>
      </c>
      <c r="X13" s="1007"/>
      <c r="Y13" s="608">
        <f t="shared" si="0"/>
        <v>15419500</v>
      </c>
      <c r="Z13" s="617"/>
      <c r="AA13" s="612"/>
      <c r="AB13" s="611"/>
      <c r="AC13" s="609"/>
      <c r="AD13" s="609"/>
      <c r="AE13" s="615">
        <f>[8]éves_bér_és_jár!S54</f>
        <v>0</v>
      </c>
      <c r="AF13" s="615">
        <f>[8]éves_bér_és_jár!T54</f>
        <v>12684000</v>
      </c>
      <c r="AG13" s="615">
        <f>[8]éves_bér_és_jár!T58</f>
        <v>252000</v>
      </c>
      <c r="AH13" s="615">
        <f>[8]éves_bér_és_jár!T72</f>
        <v>2483500</v>
      </c>
    </row>
    <row r="14" spans="1:34" ht="15" customHeight="1" x14ac:dyDescent="0.25">
      <c r="A14" s="999" t="s">
        <v>784</v>
      </c>
      <c r="B14" s="1000"/>
      <c r="C14" s="1000"/>
      <c r="D14" s="1000"/>
      <c r="E14" s="1000"/>
      <c r="F14" s="1000"/>
      <c r="G14" s="1000"/>
      <c r="H14" s="1000"/>
      <c r="I14" s="1000"/>
      <c r="J14" s="1000"/>
      <c r="K14" s="1000"/>
      <c r="L14" s="1000"/>
      <c r="M14" s="1000"/>
      <c r="N14" s="1000"/>
      <c r="O14" s="1000"/>
      <c r="P14" s="1000"/>
      <c r="Q14" s="1000"/>
      <c r="R14" s="1000"/>
      <c r="S14" s="1001"/>
      <c r="T14" s="1002" t="s">
        <v>434</v>
      </c>
      <c r="U14" s="1002"/>
      <c r="V14" s="1003"/>
      <c r="W14" s="1006" t="s">
        <v>785</v>
      </c>
      <c r="X14" s="1007"/>
      <c r="Y14" s="608">
        <f t="shared" si="0"/>
        <v>500000</v>
      </c>
      <c r="Z14" s="612">
        <f>[8]éves_bér_és_jár!U35</f>
        <v>500000</v>
      </c>
      <c r="AA14" s="612"/>
      <c r="AB14" s="611">
        <f>[8]éves_bér_és_jár!K47</f>
        <v>0</v>
      </c>
      <c r="AC14" s="609"/>
      <c r="AD14" s="609"/>
      <c r="AE14" s="615"/>
      <c r="AF14" s="615"/>
      <c r="AG14" s="615"/>
      <c r="AH14" s="615"/>
    </row>
    <row r="15" spans="1:34" ht="15.75" customHeight="1" x14ac:dyDescent="0.25">
      <c r="A15" s="993" t="s">
        <v>786</v>
      </c>
      <c r="B15" s="962"/>
      <c r="C15" s="962"/>
      <c r="D15" s="962"/>
      <c r="E15" s="962"/>
      <c r="F15" s="962"/>
      <c r="G15" s="962"/>
      <c r="H15" s="962"/>
      <c r="I15" s="962"/>
      <c r="J15" s="962"/>
      <c r="K15" s="962"/>
      <c r="L15" s="962"/>
      <c r="M15" s="962"/>
      <c r="N15" s="962"/>
      <c r="O15" s="962"/>
      <c r="P15" s="962"/>
      <c r="Q15" s="962"/>
      <c r="R15" s="962"/>
      <c r="S15" s="994"/>
      <c r="T15" s="995" t="s">
        <v>437</v>
      </c>
      <c r="U15" s="995"/>
      <c r="V15" s="996"/>
      <c r="W15" s="997"/>
      <c r="X15" s="998"/>
      <c r="Y15" s="618">
        <f t="shared" si="0"/>
        <v>71038925</v>
      </c>
      <c r="Z15" s="619">
        <f>Z7+Z8+Z9+Z10+Z11+Z12+Z13+Z14</f>
        <v>10736919</v>
      </c>
      <c r="AA15" s="619">
        <f>AA7+AA8+AA9+AA10+AA11+AA12+AA13+AA14</f>
        <v>17621600</v>
      </c>
      <c r="AB15" s="619">
        <f t="shared" ref="AB15:AH15" si="1">AB7+AB8+AB9+AB10+AB11+AB12+AB13+AB14</f>
        <v>4449400</v>
      </c>
      <c r="AC15" s="619">
        <f t="shared" si="1"/>
        <v>4941806</v>
      </c>
      <c r="AD15" s="619">
        <f t="shared" si="1"/>
        <v>3582300</v>
      </c>
      <c r="AE15" s="619">
        <f t="shared" si="1"/>
        <v>1775000</v>
      </c>
      <c r="AF15" s="619">
        <f t="shared" si="1"/>
        <v>21168000</v>
      </c>
      <c r="AG15" s="619">
        <f t="shared" si="1"/>
        <v>252000</v>
      </c>
      <c r="AH15" s="620">
        <f t="shared" si="1"/>
        <v>6511900</v>
      </c>
    </row>
    <row r="16" spans="1:34" ht="15.75" customHeight="1" x14ac:dyDescent="0.25">
      <c r="A16" s="999" t="s">
        <v>787</v>
      </c>
      <c r="B16" s="1000"/>
      <c r="C16" s="1000"/>
      <c r="D16" s="1000"/>
      <c r="E16" s="1000"/>
      <c r="F16" s="1000"/>
      <c r="G16" s="1000"/>
      <c r="H16" s="1000"/>
      <c r="I16" s="1000"/>
      <c r="J16" s="1000"/>
      <c r="K16" s="1000"/>
      <c r="L16" s="1000"/>
      <c r="M16" s="1000"/>
      <c r="N16" s="1000"/>
      <c r="O16" s="1000"/>
      <c r="P16" s="1000"/>
      <c r="Q16" s="1000"/>
      <c r="R16" s="1000"/>
      <c r="S16" s="1001"/>
      <c r="T16" s="1002" t="s">
        <v>441</v>
      </c>
      <c r="U16" s="1002"/>
      <c r="V16" s="1003"/>
      <c r="W16" s="1004" t="s">
        <v>788</v>
      </c>
      <c r="X16" s="1005"/>
      <c r="Y16" s="608">
        <f t="shared" si="0"/>
        <v>13852590.375</v>
      </c>
      <c r="Z16" s="612">
        <f>[8]éves_bér_és_jár!W35</f>
        <v>2093699.2049999998</v>
      </c>
      <c r="AA16" s="612">
        <f>[8]éves_bér_és_jár!W11</f>
        <v>3436212</v>
      </c>
      <c r="AB16" s="612">
        <f>[8]éves_bér_és_jár!W38</f>
        <v>867633</v>
      </c>
      <c r="AC16" s="609">
        <f>[8]éves_bér_és_jár!W21</f>
        <v>963652.17</v>
      </c>
      <c r="AD16" s="609">
        <f>[8]éves_bér_és_jár!W25</f>
        <v>698548.5</v>
      </c>
      <c r="AE16" s="619">
        <f>[8]éves_bér_és_jár!Y41</f>
        <v>346125</v>
      </c>
      <c r="AF16" s="615">
        <f>[8]éves_bér_és_jár!W54</f>
        <v>4127760</v>
      </c>
      <c r="AG16" s="615">
        <f>[8]éves_bér_és_jár!W58</f>
        <v>49140</v>
      </c>
      <c r="AH16" s="615">
        <f>[8]éves_bér_és_jár!W72</f>
        <v>1269820.5</v>
      </c>
    </row>
    <row r="17" spans="1:34" ht="15.75" customHeight="1" thickBot="1" x14ac:dyDescent="0.3">
      <c r="A17" s="1019" t="s">
        <v>789</v>
      </c>
      <c r="B17" s="1020"/>
      <c r="C17" s="1020"/>
      <c r="D17" s="1020"/>
      <c r="E17" s="1020"/>
      <c r="F17" s="1020"/>
      <c r="G17" s="1020"/>
      <c r="H17" s="1020"/>
      <c r="I17" s="1020"/>
      <c r="J17" s="1020"/>
      <c r="K17" s="1020"/>
      <c r="L17" s="1020"/>
      <c r="M17" s="1020"/>
      <c r="N17" s="1020"/>
      <c r="O17" s="1020"/>
      <c r="P17" s="1020"/>
      <c r="Q17" s="1020"/>
      <c r="R17" s="1020"/>
      <c r="S17" s="1021"/>
      <c r="T17" s="979" t="s">
        <v>444</v>
      </c>
      <c r="U17" s="979"/>
      <c r="V17" s="980"/>
      <c r="W17" s="981" t="s">
        <v>788</v>
      </c>
      <c r="X17" s="982"/>
      <c r="Y17" s="608">
        <f t="shared" si="0"/>
        <v>268754.84999999998</v>
      </c>
      <c r="Z17" s="621">
        <f>[8]éves_bér_és_jár!X35</f>
        <v>128354.85</v>
      </c>
      <c r="AA17" s="621">
        <f>[8]éves_bér_és_jár!X11</f>
        <v>97200</v>
      </c>
      <c r="AB17" s="621">
        <f>[8]éves_bér_és_jár!X38</f>
        <v>14400</v>
      </c>
      <c r="AC17" s="622"/>
      <c r="AD17" s="622">
        <f>[8]éves_bér_és_jár!X25</f>
        <v>28800</v>
      </c>
      <c r="AE17" s="623"/>
      <c r="AF17" s="623"/>
      <c r="AG17" s="623"/>
      <c r="AH17" s="623"/>
    </row>
    <row r="18" spans="1:34" ht="16.5" thickBot="1" x14ac:dyDescent="0.3">
      <c r="A18" s="983" t="s">
        <v>790</v>
      </c>
      <c r="B18" s="984"/>
      <c r="C18" s="984"/>
      <c r="D18" s="984"/>
      <c r="E18" s="984"/>
      <c r="F18" s="984"/>
      <c r="G18" s="984"/>
      <c r="H18" s="984"/>
      <c r="I18" s="984"/>
      <c r="J18" s="984"/>
      <c r="K18" s="984"/>
      <c r="L18" s="984"/>
      <c r="M18" s="984"/>
      <c r="N18" s="984"/>
      <c r="O18" s="984"/>
      <c r="P18" s="984"/>
      <c r="Q18" s="984"/>
      <c r="R18" s="984"/>
      <c r="S18" s="985"/>
      <c r="T18" s="986" t="s">
        <v>447</v>
      </c>
      <c r="U18" s="986"/>
      <c r="V18" s="987"/>
      <c r="W18" s="988"/>
      <c r="X18" s="989"/>
      <c r="Y18" s="618">
        <f t="shared" si="0"/>
        <v>14121345.225</v>
      </c>
      <c r="Z18" s="624">
        <f>Z16+Z17</f>
        <v>2222054.0549999997</v>
      </c>
      <c r="AA18" s="625">
        <f>AA16+AA17</f>
        <v>3533412</v>
      </c>
      <c r="AB18" s="625">
        <f t="shared" ref="AB18:AH18" si="2">AB16+AB17</f>
        <v>882033</v>
      </c>
      <c r="AC18" s="625">
        <f t="shared" si="2"/>
        <v>963652.17</v>
      </c>
      <c r="AD18" s="625">
        <f t="shared" si="2"/>
        <v>727348.5</v>
      </c>
      <c r="AE18" s="625">
        <f t="shared" si="2"/>
        <v>346125</v>
      </c>
      <c r="AF18" s="625">
        <f t="shared" si="2"/>
        <v>4127760</v>
      </c>
      <c r="AG18" s="625">
        <f t="shared" si="2"/>
        <v>49140</v>
      </c>
      <c r="AH18" s="626">
        <f t="shared" si="2"/>
        <v>1269820.5</v>
      </c>
    </row>
    <row r="19" spans="1:34" s="629" customFormat="1" ht="16.5" thickBot="1" x14ac:dyDescent="0.3">
      <c r="A19" s="990" t="s">
        <v>791</v>
      </c>
      <c r="B19" s="991"/>
      <c r="C19" s="991"/>
      <c r="D19" s="991"/>
      <c r="E19" s="991"/>
      <c r="F19" s="991"/>
      <c r="G19" s="991"/>
      <c r="H19" s="991"/>
      <c r="I19" s="991"/>
      <c r="J19" s="991"/>
      <c r="K19" s="991"/>
      <c r="L19" s="991"/>
      <c r="M19" s="991"/>
      <c r="N19" s="991"/>
      <c r="O19" s="991"/>
      <c r="P19" s="991"/>
      <c r="Q19" s="991"/>
      <c r="R19" s="991"/>
      <c r="S19" s="992"/>
      <c r="T19" s="975" t="s">
        <v>450</v>
      </c>
      <c r="U19" s="975"/>
      <c r="V19" s="976"/>
      <c r="W19" s="977"/>
      <c r="X19" s="978"/>
      <c r="Y19" s="618">
        <f t="shared" si="0"/>
        <v>85160270.224999994</v>
      </c>
      <c r="Z19" s="627">
        <f>Z15+Z18</f>
        <v>12958973.055</v>
      </c>
      <c r="AA19" s="627">
        <f>AA18+AA15</f>
        <v>21155012</v>
      </c>
      <c r="AB19" s="627">
        <f t="shared" ref="AB19:AH19" si="3">AB18+AB15</f>
        <v>5331433</v>
      </c>
      <c r="AC19" s="627">
        <f t="shared" si="3"/>
        <v>5905458.1699999999</v>
      </c>
      <c r="AD19" s="627">
        <f t="shared" si="3"/>
        <v>4309648.5</v>
      </c>
      <c r="AE19" s="627">
        <f t="shared" si="3"/>
        <v>2121125</v>
      </c>
      <c r="AF19" s="627">
        <f t="shared" si="3"/>
        <v>25295760</v>
      </c>
      <c r="AG19" s="627">
        <f t="shared" si="3"/>
        <v>301140</v>
      </c>
      <c r="AH19" s="628">
        <f t="shared" si="3"/>
        <v>7781720.5</v>
      </c>
    </row>
    <row r="20" spans="1:34" ht="16.5" customHeight="1" x14ac:dyDescent="0.2">
      <c r="Y20" s="630"/>
      <c r="Z20" s="630"/>
      <c r="AA20" s="630"/>
      <c r="AB20" s="630"/>
      <c r="AC20" s="630"/>
      <c r="AD20" s="630"/>
      <c r="AE20" s="630"/>
      <c r="AF20" s="630"/>
    </row>
    <row r="21" spans="1:34" x14ac:dyDescent="0.2">
      <c r="Y21" s="630"/>
    </row>
    <row r="22" spans="1:34" ht="16.5" customHeight="1" x14ac:dyDescent="0.2"/>
    <row r="24" spans="1:34" ht="15" x14ac:dyDescent="0.2">
      <c r="Y24" s="631"/>
    </row>
  </sheetData>
  <mergeCells count="53">
    <mergeCell ref="A1:AB1"/>
    <mergeCell ref="A2:AC2"/>
    <mergeCell ref="A3:AC3"/>
    <mergeCell ref="A5:S6"/>
    <mergeCell ref="A17:S17"/>
    <mergeCell ref="T5:V6"/>
    <mergeCell ref="Y5:Y6"/>
    <mergeCell ref="AA5:AA6"/>
    <mergeCell ref="AC5:AC6"/>
    <mergeCell ref="W6:X6"/>
    <mergeCell ref="A7:S7"/>
    <mergeCell ref="T7:V7"/>
    <mergeCell ref="W7:X7"/>
    <mergeCell ref="A8:S8"/>
    <mergeCell ref="T8:V8"/>
    <mergeCell ref="W8:X8"/>
    <mergeCell ref="AD5:AD6"/>
    <mergeCell ref="AE5:AE6"/>
    <mergeCell ref="AF5:AF6"/>
    <mergeCell ref="AG5:AG6"/>
    <mergeCell ref="AH5:AH6"/>
    <mergeCell ref="A9:S9"/>
    <mergeCell ref="T9:V9"/>
    <mergeCell ref="W9:X9"/>
    <mergeCell ref="A10:S10"/>
    <mergeCell ref="T10:V10"/>
    <mergeCell ref="W10:X10"/>
    <mergeCell ref="A11:R11"/>
    <mergeCell ref="T11:V11"/>
    <mergeCell ref="W11:X11"/>
    <mergeCell ref="A12:S12"/>
    <mergeCell ref="T12:V12"/>
    <mergeCell ref="W12:X12"/>
    <mergeCell ref="A13:S13"/>
    <mergeCell ref="T13:V13"/>
    <mergeCell ref="W13:X13"/>
    <mergeCell ref="A14:S14"/>
    <mergeCell ref="T14:V14"/>
    <mergeCell ref="W14:X14"/>
    <mergeCell ref="A15:S15"/>
    <mergeCell ref="T15:V15"/>
    <mergeCell ref="W15:X15"/>
    <mergeCell ref="A16:S16"/>
    <mergeCell ref="T16:V16"/>
    <mergeCell ref="W16:X16"/>
    <mergeCell ref="T19:V19"/>
    <mergeCell ref="W19:X19"/>
    <mergeCell ref="T17:V17"/>
    <mergeCell ref="W17:X17"/>
    <mergeCell ref="A18:S18"/>
    <mergeCell ref="T18:V18"/>
    <mergeCell ref="W18:X18"/>
    <mergeCell ref="A19:S1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topLeftCell="A10" workbookViewId="0">
      <selection sqref="A1:F1"/>
    </sheetView>
  </sheetViews>
  <sheetFormatPr defaultRowHeight="15" x14ac:dyDescent="0.25"/>
  <cols>
    <col min="1" max="1" width="95.85546875" bestFit="1" customWidth="1"/>
    <col min="2" max="2" width="22.28515625" style="139" bestFit="1" customWidth="1"/>
    <col min="3" max="3" width="16.7109375" customWidth="1"/>
    <col min="5" max="5" width="18.42578125" bestFit="1" customWidth="1"/>
    <col min="7" max="7" width="18.42578125" style="512" bestFit="1" customWidth="1"/>
  </cols>
  <sheetData>
    <row r="1" spans="1:34" x14ac:dyDescent="0.25">
      <c r="A1" s="1037" t="s">
        <v>825</v>
      </c>
      <c r="B1" s="1037"/>
      <c r="C1" s="1037"/>
      <c r="D1" s="1037"/>
      <c r="E1" s="1037"/>
      <c r="F1" s="1037"/>
    </row>
    <row r="3" spans="1:34" x14ac:dyDescent="0.25">
      <c r="A3" t="s">
        <v>522</v>
      </c>
      <c r="B3" s="570" t="s">
        <v>792</v>
      </c>
      <c r="D3" t="s">
        <v>523</v>
      </c>
    </row>
    <row r="4" spans="1:34" x14ac:dyDescent="0.25">
      <c r="A4" t="s">
        <v>524</v>
      </c>
      <c r="B4" s="570" t="s">
        <v>793</v>
      </c>
      <c r="D4" t="s">
        <v>525</v>
      </c>
    </row>
    <row r="5" spans="1:34" x14ac:dyDescent="0.25">
      <c r="A5" t="s">
        <v>526</v>
      </c>
      <c r="B5" s="570" t="s">
        <v>794</v>
      </c>
      <c r="D5" t="s">
        <v>527</v>
      </c>
    </row>
    <row r="6" spans="1:34" x14ac:dyDescent="0.25">
      <c r="A6" t="s">
        <v>528</v>
      </c>
      <c r="B6" s="570" t="s">
        <v>795</v>
      </c>
      <c r="D6" t="s">
        <v>529</v>
      </c>
    </row>
    <row r="7" spans="1:34" x14ac:dyDescent="0.25">
      <c r="B7" s="570"/>
    </row>
    <row r="8" spans="1:34" x14ac:dyDescent="0.25">
      <c r="B8" s="570"/>
    </row>
    <row r="9" spans="1:34" x14ac:dyDescent="0.25">
      <c r="B9" s="570"/>
    </row>
    <row r="10" spans="1:34" x14ac:dyDescent="0.25">
      <c r="A10" t="s">
        <v>530</v>
      </c>
    </row>
    <row r="11" spans="1:34" s="456" customFormat="1" x14ac:dyDescent="0.25">
      <c r="A11" s="453" t="s">
        <v>531</v>
      </c>
      <c r="B11" s="454">
        <f>(24000*1.27)+(264000*1.22)</f>
        <v>352560</v>
      </c>
      <c r="C11" s="455"/>
      <c r="D11" s="455" t="s">
        <v>532</v>
      </c>
      <c r="E11" s="455"/>
      <c r="F11" s="455"/>
      <c r="G11" s="513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5"/>
      <c r="AG11" s="455"/>
      <c r="AH11" s="455"/>
    </row>
    <row r="12" spans="1:34" s="456" customFormat="1" x14ac:dyDescent="0.25">
      <c r="A12" s="453" t="s">
        <v>533</v>
      </c>
      <c r="B12" s="454">
        <v>5744000</v>
      </c>
      <c r="C12" s="455"/>
      <c r="D12" s="455" t="s">
        <v>532</v>
      </c>
      <c r="E12" s="455"/>
      <c r="F12" s="455"/>
      <c r="G12" s="513"/>
      <c r="H12" s="455"/>
      <c r="I12" s="455"/>
      <c r="J12" s="455"/>
      <c r="K12" s="455"/>
      <c r="L12" s="455"/>
      <c r="M12" s="455"/>
      <c r="N12" s="455"/>
      <c r="O12" s="455"/>
      <c r="P12" s="455"/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5"/>
      <c r="AC12" s="455"/>
      <c r="AD12" s="455"/>
      <c r="AE12" s="455"/>
      <c r="AF12" s="455"/>
      <c r="AG12" s="455"/>
      <c r="AH12" s="455"/>
    </row>
    <row r="13" spans="1:34" s="456" customFormat="1" x14ac:dyDescent="0.25">
      <c r="A13" s="453" t="s">
        <v>534</v>
      </c>
      <c r="B13" s="454">
        <f>39418*11*1.22+8500*1.27</f>
        <v>539784.55999999994</v>
      </c>
      <c r="C13" s="455"/>
      <c r="D13" s="455" t="s">
        <v>532</v>
      </c>
      <c r="E13" s="455"/>
      <c r="F13" s="455"/>
      <c r="G13" s="513"/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5"/>
      <c r="AF13" s="455"/>
      <c r="AG13" s="455"/>
      <c r="AH13" s="455"/>
    </row>
    <row r="14" spans="1:34" ht="16.5" thickBot="1" x14ac:dyDescent="0.3">
      <c r="B14" s="466">
        <f>SUM(B11:B13)</f>
        <v>6636344.5599999996</v>
      </c>
    </row>
    <row r="15" spans="1:34" s="634" customFormat="1" ht="18.75" thickBot="1" x14ac:dyDescent="0.3">
      <c r="A15" s="632" t="s">
        <v>796</v>
      </c>
      <c r="B15" s="633">
        <v>152161604</v>
      </c>
      <c r="G15" s="635"/>
    </row>
    <row r="16" spans="1:34" x14ac:dyDescent="0.25">
      <c r="A16" t="s">
        <v>535</v>
      </c>
      <c r="B16" s="458">
        <f>270000*4</f>
        <v>1080000</v>
      </c>
      <c r="D16" s="459" t="s">
        <v>536</v>
      </c>
      <c r="E16">
        <v>922999000</v>
      </c>
    </row>
    <row r="17" spans="1:7" x14ac:dyDescent="0.25">
      <c r="A17" t="s">
        <v>797</v>
      </c>
      <c r="B17" s="458">
        <v>5043623</v>
      </c>
      <c r="D17" s="459" t="s">
        <v>537</v>
      </c>
      <c r="E17">
        <v>922999000</v>
      </c>
    </row>
    <row r="18" spans="1:7" x14ac:dyDescent="0.25">
      <c r="A18" t="s">
        <v>798</v>
      </c>
      <c r="B18" s="139">
        <f>8400*12+407200*12</f>
        <v>4987200</v>
      </c>
      <c r="D18" s="459" t="s">
        <v>538</v>
      </c>
      <c r="E18">
        <v>922999000</v>
      </c>
    </row>
    <row r="19" spans="1:7" x14ac:dyDescent="0.25">
      <c r="A19" t="s">
        <v>799</v>
      </c>
      <c r="B19" s="139">
        <v>1398150</v>
      </c>
      <c r="D19" s="459"/>
    </row>
    <row r="20" spans="1:7" x14ac:dyDescent="0.25">
      <c r="A20" t="s">
        <v>539</v>
      </c>
      <c r="B20" s="458">
        <v>974400</v>
      </c>
      <c r="D20" t="s">
        <v>540</v>
      </c>
      <c r="E20">
        <v>922999000</v>
      </c>
    </row>
    <row r="21" spans="1:7" ht="15.75" x14ac:dyDescent="0.25">
      <c r="B21" s="466">
        <f>SUM(B16:B20)</f>
        <v>13483373</v>
      </c>
      <c r="D21" s="460"/>
    </row>
    <row r="22" spans="1:7" ht="15.75" x14ac:dyDescent="0.25">
      <c r="B22" s="457"/>
    </row>
    <row r="23" spans="1:7" x14ac:dyDescent="0.25">
      <c r="A23" s="461" t="s">
        <v>541</v>
      </c>
      <c r="B23" s="462"/>
    </row>
    <row r="24" spans="1:7" x14ac:dyDescent="0.25">
      <c r="A24" s="463" t="s">
        <v>515</v>
      </c>
      <c r="B24" s="364">
        <f>49406217-21796860</f>
        <v>27609357</v>
      </c>
      <c r="D24" t="s">
        <v>800</v>
      </c>
    </row>
    <row r="25" spans="1:7" x14ac:dyDescent="0.25">
      <c r="A25" s="464" t="s">
        <v>516</v>
      </c>
      <c r="B25" s="364">
        <v>70638414</v>
      </c>
      <c r="C25" s="139"/>
      <c r="D25" t="s">
        <v>627</v>
      </c>
    </row>
    <row r="26" spans="1:7" x14ac:dyDescent="0.25">
      <c r="A26" t="s">
        <v>801</v>
      </c>
      <c r="B26" s="364">
        <v>5000000</v>
      </c>
      <c r="D26" t="s">
        <v>627</v>
      </c>
    </row>
    <row r="27" spans="1:7" x14ac:dyDescent="0.25">
      <c r="A27" s="467" t="s">
        <v>518</v>
      </c>
      <c r="B27" s="364">
        <v>13766800</v>
      </c>
      <c r="D27" t="s">
        <v>627</v>
      </c>
    </row>
    <row r="28" spans="1:7" ht="15.75" thickBot="1" x14ac:dyDescent="0.3">
      <c r="A28" t="s">
        <v>802</v>
      </c>
      <c r="B28" s="364">
        <v>152463696</v>
      </c>
      <c r="D28" t="s">
        <v>803</v>
      </c>
    </row>
    <row r="29" spans="1:7" s="465" customFormat="1" ht="16.5" thickBot="1" x14ac:dyDescent="0.3">
      <c r="A29" s="468" t="s">
        <v>542</v>
      </c>
      <c r="B29" s="470">
        <f>B24+B25+B26+B27+B28</f>
        <v>269478267</v>
      </c>
      <c r="C29" s="470">
        <f t="shared" ref="C29" si="0">C24+C25+C26+C27</f>
        <v>0</v>
      </c>
      <c r="D29" s="470"/>
      <c r="G29" s="515"/>
    </row>
    <row r="30" spans="1:7" ht="18" x14ac:dyDescent="0.25">
      <c r="B30" s="469"/>
      <c r="G30" s="514"/>
    </row>
    <row r="31" spans="1:7" ht="15.75" thickBot="1" x14ac:dyDescent="0.3"/>
    <row r="32" spans="1:7" ht="18.75" thickBot="1" x14ac:dyDescent="0.3">
      <c r="A32" t="s">
        <v>804</v>
      </c>
      <c r="B32" s="636">
        <f>B29+B21+B15</f>
        <v>435123244</v>
      </c>
    </row>
    <row r="36" spans="2:3" x14ac:dyDescent="0.25">
      <c r="C36" s="139"/>
    </row>
    <row r="37" spans="2:3" x14ac:dyDescent="0.25">
      <c r="C37" s="139"/>
    </row>
    <row r="38" spans="2:3" x14ac:dyDescent="0.25">
      <c r="B38" s="462"/>
      <c r="C38" s="462"/>
    </row>
    <row r="39" spans="2:3" x14ac:dyDescent="0.25">
      <c r="B39" s="462"/>
      <c r="C39" s="462"/>
    </row>
    <row r="40" spans="2:3" x14ac:dyDescent="0.25">
      <c r="C40" s="139"/>
    </row>
    <row r="41" spans="2:3" x14ac:dyDescent="0.25">
      <c r="C41" s="139"/>
    </row>
    <row r="42" spans="2:3" x14ac:dyDescent="0.25">
      <c r="C42" s="139"/>
    </row>
    <row r="43" spans="2:3" x14ac:dyDescent="0.25">
      <c r="C43" s="139"/>
    </row>
    <row r="44" spans="2:3" x14ac:dyDescent="0.25">
      <c r="B44" s="462"/>
      <c r="C44" s="462"/>
    </row>
    <row r="45" spans="2:3" x14ac:dyDescent="0.25">
      <c r="B45" s="462"/>
      <c r="C45" s="462"/>
    </row>
    <row r="46" spans="2:3" x14ac:dyDescent="0.25">
      <c r="C46" s="139"/>
    </row>
    <row r="47" spans="2:3" x14ac:dyDescent="0.25">
      <c r="C47" s="139"/>
    </row>
    <row r="48" spans="2:3" x14ac:dyDescent="0.25">
      <c r="B48" s="462"/>
      <c r="C48" s="462"/>
    </row>
    <row r="49" spans="3:3" x14ac:dyDescent="0.25">
      <c r="C49" s="139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9"/>
  <sheetViews>
    <sheetView workbookViewId="0">
      <selection activeCell="A2" sqref="A2:G2"/>
    </sheetView>
  </sheetViews>
  <sheetFormatPr defaultRowHeight="15" x14ac:dyDescent="0.25"/>
  <cols>
    <col min="1" max="1" width="50.42578125" bestFit="1" customWidth="1"/>
    <col min="2" max="2" width="24.5703125" style="139" bestFit="1" customWidth="1"/>
    <col min="3" max="3" width="15.7109375" style="139" bestFit="1" customWidth="1"/>
    <col min="4" max="4" width="17.28515625" style="139" bestFit="1" customWidth="1"/>
    <col min="6" max="6" width="2.28515625" customWidth="1"/>
    <col min="7" max="7" width="8.7109375" customWidth="1"/>
    <col min="8" max="8" width="3" customWidth="1"/>
    <col min="9" max="9" width="3.5703125" customWidth="1"/>
    <col min="10" max="10" width="14.85546875" bestFit="1" customWidth="1"/>
    <col min="11" max="11" width="17" style="139" customWidth="1"/>
    <col min="13" max="13" width="15.28515625" bestFit="1" customWidth="1"/>
  </cols>
  <sheetData>
    <row r="2" spans="1:10" x14ac:dyDescent="0.25">
      <c r="A2" s="1037" t="s">
        <v>826</v>
      </c>
      <c r="B2" s="668"/>
      <c r="C2" s="668"/>
      <c r="D2" s="668"/>
      <c r="E2" s="668"/>
      <c r="F2" s="668"/>
      <c r="G2" s="668"/>
    </row>
    <row r="5" spans="1:10" x14ac:dyDescent="0.25">
      <c r="A5" t="s">
        <v>543</v>
      </c>
      <c r="B5" s="139" t="s">
        <v>544</v>
      </c>
      <c r="C5" s="139" t="s">
        <v>317</v>
      </c>
      <c r="D5" s="139" t="s">
        <v>545</v>
      </c>
    </row>
    <row r="6" spans="1:10" x14ac:dyDescent="0.25">
      <c r="A6" t="s">
        <v>546</v>
      </c>
      <c r="B6" s="139">
        <v>30000</v>
      </c>
      <c r="D6" s="139">
        <f>B6</f>
        <v>30000</v>
      </c>
      <c r="E6" s="668" t="s">
        <v>547</v>
      </c>
      <c r="F6" s="668"/>
      <c r="G6" s="668" t="s">
        <v>317</v>
      </c>
      <c r="H6" s="668"/>
    </row>
    <row r="7" spans="1:10" x14ac:dyDescent="0.25">
      <c r="A7" t="s">
        <v>548</v>
      </c>
      <c r="B7" s="471">
        <v>36000</v>
      </c>
      <c r="C7" s="472"/>
      <c r="D7" s="139">
        <f>B7</f>
        <v>36000</v>
      </c>
      <c r="E7" s="570" t="s">
        <v>549</v>
      </c>
      <c r="F7" s="570"/>
      <c r="G7" s="570"/>
      <c r="H7" s="570"/>
      <c r="J7" s="88"/>
    </row>
    <row r="8" spans="1:10" x14ac:dyDescent="0.25">
      <c r="A8" t="s">
        <v>550</v>
      </c>
      <c r="B8" s="473">
        <v>600000</v>
      </c>
      <c r="C8" s="472"/>
      <c r="D8" s="139">
        <f>B8</f>
        <v>600000</v>
      </c>
      <c r="E8" s="570" t="s">
        <v>549</v>
      </c>
      <c r="F8" s="570"/>
      <c r="G8" s="570"/>
      <c r="H8" s="570"/>
    </row>
    <row r="9" spans="1:10" x14ac:dyDescent="0.25">
      <c r="A9" t="s">
        <v>551</v>
      </c>
      <c r="B9" s="458">
        <v>737008</v>
      </c>
      <c r="C9" s="458">
        <f>B9*0.27</f>
        <v>198992.16</v>
      </c>
      <c r="D9" s="139">
        <f>B9+C9</f>
        <v>936000.16</v>
      </c>
      <c r="E9" s="570" t="s">
        <v>549</v>
      </c>
      <c r="F9" s="570"/>
      <c r="G9" s="570" t="s">
        <v>552</v>
      </c>
      <c r="H9" s="570"/>
    </row>
    <row r="10" spans="1:10" x14ac:dyDescent="0.25">
      <c r="A10" t="s">
        <v>553</v>
      </c>
      <c r="B10" s="458">
        <v>104700</v>
      </c>
      <c r="C10" s="472"/>
      <c r="D10" s="139">
        <f>B10</f>
        <v>104700</v>
      </c>
      <c r="E10" s="570" t="s">
        <v>549</v>
      </c>
      <c r="F10" s="570"/>
      <c r="G10" s="570"/>
      <c r="H10" s="570"/>
    </row>
    <row r="11" spans="1:10" x14ac:dyDescent="0.25">
      <c r="A11" t="s">
        <v>554</v>
      </c>
      <c r="B11" s="458">
        <v>200000</v>
      </c>
      <c r="C11" s="472"/>
      <c r="D11" s="139">
        <f>B11</f>
        <v>200000</v>
      </c>
      <c r="E11" s="570" t="s">
        <v>549</v>
      </c>
      <c r="F11" s="570"/>
      <c r="G11" s="570"/>
      <c r="H11" s="570"/>
    </row>
    <row r="12" spans="1:10" x14ac:dyDescent="0.25">
      <c r="A12" t="s">
        <v>555</v>
      </c>
      <c r="B12" s="458">
        <v>200000</v>
      </c>
      <c r="C12" s="472"/>
      <c r="D12" s="139">
        <v>200000</v>
      </c>
      <c r="E12" s="570" t="s">
        <v>549</v>
      </c>
      <c r="F12" s="570"/>
      <c r="G12" s="570"/>
      <c r="H12" s="570"/>
    </row>
    <row r="13" spans="1:10" x14ac:dyDescent="0.25">
      <c r="A13" t="s">
        <v>556</v>
      </c>
      <c r="B13" s="458">
        <v>1300000</v>
      </c>
      <c r="C13" s="472"/>
      <c r="D13" s="139">
        <v>1300000</v>
      </c>
      <c r="E13" s="570"/>
      <c r="F13" s="570"/>
      <c r="G13" s="570"/>
      <c r="H13" s="570"/>
    </row>
    <row r="14" spans="1:10" ht="15.75" x14ac:dyDescent="0.25">
      <c r="B14" s="466">
        <f>SUM(B6:B13)</f>
        <v>3207708</v>
      </c>
      <c r="C14" s="466">
        <f>SUM(C7:C12)</f>
        <v>198992.16</v>
      </c>
      <c r="D14" s="466">
        <f>SUM(D6:D13)</f>
        <v>3406700.16</v>
      </c>
      <c r="E14" s="570"/>
      <c r="F14" s="570"/>
      <c r="G14" s="570"/>
      <c r="H14" s="570"/>
    </row>
    <row r="15" spans="1:10" x14ac:dyDescent="0.25">
      <c r="E15" s="570"/>
      <c r="F15" s="570"/>
      <c r="G15" s="570"/>
      <c r="H15" s="570"/>
    </row>
    <row r="16" spans="1:10" x14ac:dyDescent="0.25">
      <c r="E16" s="668" t="s">
        <v>547</v>
      </c>
      <c r="F16" s="668"/>
      <c r="G16" s="668" t="s">
        <v>317</v>
      </c>
      <c r="H16" s="668"/>
    </row>
    <row r="17" spans="1:11" x14ac:dyDescent="0.25">
      <c r="A17" t="s">
        <v>557</v>
      </c>
      <c r="B17" s="458">
        <v>88828</v>
      </c>
      <c r="C17" s="458">
        <f>B17*27%</f>
        <v>23983.56</v>
      </c>
      <c r="D17" s="458">
        <f>+B17+C17</f>
        <v>112811.56</v>
      </c>
      <c r="E17" s="570" t="s">
        <v>558</v>
      </c>
      <c r="F17" s="570"/>
      <c r="G17" s="570" t="s">
        <v>552</v>
      </c>
      <c r="H17" s="570"/>
    </row>
    <row r="18" spans="1:11" x14ac:dyDescent="0.25">
      <c r="A18" t="s">
        <v>559</v>
      </c>
      <c r="B18" s="458">
        <v>2976617</v>
      </c>
      <c r="C18" s="458">
        <f>B18*27%</f>
        <v>803686.59000000008</v>
      </c>
      <c r="D18" s="458">
        <f>+B18+C18</f>
        <v>3780303.59</v>
      </c>
      <c r="E18" s="570" t="s">
        <v>558</v>
      </c>
      <c r="F18" s="570"/>
      <c r="G18" s="570" t="s">
        <v>552</v>
      </c>
      <c r="H18" s="570"/>
    </row>
    <row r="19" spans="1:11" x14ac:dyDescent="0.25">
      <c r="A19" t="s">
        <v>560</v>
      </c>
      <c r="B19" s="458">
        <v>5630870</v>
      </c>
      <c r="C19" s="458">
        <f>B19*27%</f>
        <v>1520334.9000000001</v>
      </c>
      <c r="D19" s="139">
        <f>SUM(B19:C19)</f>
        <v>7151204.9000000004</v>
      </c>
      <c r="E19" s="570" t="s">
        <v>558</v>
      </c>
      <c r="F19" s="570"/>
      <c r="G19" s="570" t="s">
        <v>552</v>
      </c>
      <c r="H19" s="570"/>
    </row>
    <row r="20" spans="1:11" ht="15.75" thickBot="1" x14ac:dyDescent="0.3">
      <c r="A20" t="s">
        <v>561</v>
      </c>
    </row>
    <row r="21" spans="1:11" ht="16.5" thickBot="1" x14ac:dyDescent="0.3">
      <c r="A21" t="s">
        <v>603</v>
      </c>
      <c r="B21" s="492">
        <f>SUM(B17:B20)</f>
        <v>8696315</v>
      </c>
      <c r="C21" s="492">
        <f>SUM(C17:C20)</f>
        <v>2348005.0500000003</v>
      </c>
      <c r="D21" s="492">
        <f>SUM(D17:D20)</f>
        <v>11044320.050000001</v>
      </c>
    </row>
    <row r="22" spans="1:11" ht="15.75" x14ac:dyDescent="0.25">
      <c r="D22" s="474">
        <f>+D21+D14</f>
        <v>14451020.210000001</v>
      </c>
      <c r="K22" s="475"/>
    </row>
    <row r="23" spans="1:11" ht="15" customHeight="1" x14ac:dyDescent="0.25">
      <c r="D23" s="457"/>
    </row>
    <row r="25" spans="1:11" x14ac:dyDescent="0.25">
      <c r="A25" t="s">
        <v>477</v>
      </c>
      <c r="D25" s="139">
        <v>1500000</v>
      </c>
      <c r="E25" t="s">
        <v>552</v>
      </c>
    </row>
    <row r="26" spans="1:11" x14ac:dyDescent="0.25">
      <c r="A26" t="s">
        <v>562</v>
      </c>
    </row>
    <row r="27" spans="1:11" x14ac:dyDescent="0.25">
      <c r="A27" t="s">
        <v>563</v>
      </c>
      <c r="D27" s="139">
        <v>3200000</v>
      </c>
    </row>
    <row r="28" spans="1:11" x14ac:dyDescent="0.25">
      <c r="A28" t="s">
        <v>564</v>
      </c>
      <c r="C28" s="139">
        <f>+C27-C25</f>
        <v>0</v>
      </c>
      <c r="D28" s="476">
        <v>1000000</v>
      </c>
      <c r="E28" s="477" t="s">
        <v>565</v>
      </c>
    </row>
    <row r="29" spans="1:11" x14ac:dyDescent="0.25">
      <c r="A29" t="s">
        <v>566</v>
      </c>
      <c r="D29" s="458">
        <v>0</v>
      </c>
    </row>
    <row r="30" spans="1:11" ht="15.75" x14ac:dyDescent="0.25">
      <c r="A30" t="s">
        <v>567</v>
      </c>
      <c r="D30" s="474">
        <f>D29+D28</f>
        <v>1000000</v>
      </c>
    </row>
    <row r="31" spans="1:11" ht="15.75" x14ac:dyDescent="0.25">
      <c r="D31" s="457"/>
    </row>
    <row r="32" spans="1:11" x14ac:dyDescent="0.25">
      <c r="A32" t="s">
        <v>568</v>
      </c>
      <c r="B32" s="139">
        <v>1500000</v>
      </c>
      <c r="D32" s="139">
        <f>+B32+C32</f>
        <v>1500000</v>
      </c>
      <c r="E32" t="s">
        <v>569</v>
      </c>
    </row>
    <row r="33" spans="1:11" x14ac:dyDescent="0.25">
      <c r="A33" t="s">
        <v>570</v>
      </c>
      <c r="B33" s="139">
        <v>1900000</v>
      </c>
      <c r="D33" s="139">
        <f>+B33+C33</f>
        <v>1900000</v>
      </c>
      <c r="E33" t="s">
        <v>571</v>
      </c>
    </row>
    <row r="34" spans="1:11" x14ac:dyDescent="0.25">
      <c r="A34" t="s">
        <v>572</v>
      </c>
      <c r="C34" s="139">
        <f>+B34*0.27</f>
        <v>0</v>
      </c>
      <c r="D34" s="139">
        <f>+B34+C34</f>
        <v>0</v>
      </c>
      <c r="E34" t="s">
        <v>571</v>
      </c>
      <c r="G34" t="s">
        <v>552</v>
      </c>
    </row>
    <row r="35" spans="1:11" x14ac:dyDescent="0.25">
      <c r="A35" t="s">
        <v>573</v>
      </c>
      <c r="B35" s="139">
        <v>949298</v>
      </c>
      <c r="D35" s="139">
        <f>+B35+C35</f>
        <v>949298</v>
      </c>
      <c r="E35" t="s">
        <v>571</v>
      </c>
      <c r="J35" s="155"/>
    </row>
    <row r="36" spans="1:11" s="29" customFormat="1" x14ac:dyDescent="0.25">
      <c r="A36" s="478" t="s">
        <v>574</v>
      </c>
      <c r="B36" s="479">
        <f>SUM(B32:B35)</f>
        <v>4349298</v>
      </c>
      <c r="C36" s="480">
        <f>SUM(C32:C35)</f>
        <v>0</v>
      </c>
      <c r="D36" s="481">
        <f>SUM(D32:D35)</f>
        <v>4349298</v>
      </c>
      <c r="K36" s="462"/>
    </row>
    <row r="37" spans="1:11" s="29" customFormat="1" x14ac:dyDescent="0.25">
      <c r="A37" s="478"/>
      <c r="B37" s="493"/>
      <c r="C37" s="480"/>
      <c r="D37" s="481"/>
      <c r="K37" s="462"/>
    </row>
    <row r="38" spans="1:11" ht="15.75" x14ac:dyDescent="0.25">
      <c r="A38" s="482"/>
      <c r="D38" s="483"/>
    </row>
    <row r="39" spans="1:11" ht="15.75" x14ac:dyDescent="0.25">
      <c r="A39" s="484" t="s">
        <v>575</v>
      </c>
      <c r="B39" s="474">
        <f>B40+B41</f>
        <v>265311227</v>
      </c>
      <c r="C39" s="139" t="s">
        <v>576</v>
      </c>
    </row>
    <row r="40" spans="1:11" ht="15.75" x14ac:dyDescent="0.25">
      <c r="A40" t="s">
        <v>577</v>
      </c>
      <c r="B40" s="457">
        <v>121700</v>
      </c>
    </row>
    <row r="41" spans="1:11" x14ac:dyDescent="0.25">
      <c r="A41" t="s">
        <v>578</v>
      </c>
      <c r="B41" s="139">
        <f>17059078+1466044+8800138+5739812+10100513+198182422+1636471+999833+14680680+168878+6355658</f>
        <v>265189527</v>
      </c>
    </row>
    <row r="45" spans="1:11" ht="15.75" thickBot="1" x14ac:dyDescent="0.3">
      <c r="A45" t="s">
        <v>579</v>
      </c>
      <c r="C45" s="139" t="s">
        <v>580</v>
      </c>
    </row>
    <row r="46" spans="1:11" x14ac:dyDescent="0.25">
      <c r="A46" s="29" t="s">
        <v>581</v>
      </c>
      <c r="B46" s="485">
        <f>B47+B48+B49+B50</f>
        <v>3518600</v>
      </c>
      <c r="C46" s="486"/>
    </row>
    <row r="47" spans="1:11" x14ac:dyDescent="0.25">
      <c r="A47" t="s">
        <v>582</v>
      </c>
      <c r="B47" s="487">
        <v>1376000</v>
      </c>
    </row>
    <row r="48" spans="1:11" x14ac:dyDescent="0.25">
      <c r="A48" t="s">
        <v>583</v>
      </c>
      <c r="B48" s="487">
        <v>570600</v>
      </c>
    </row>
    <row r="49" spans="1:4" x14ac:dyDescent="0.25">
      <c r="A49" t="s">
        <v>805</v>
      </c>
      <c r="B49" s="487">
        <f>106000*12</f>
        <v>1272000</v>
      </c>
    </row>
    <row r="50" spans="1:4" x14ac:dyDescent="0.25">
      <c r="A50" t="s">
        <v>584</v>
      </c>
      <c r="B50" s="488">
        <v>300000</v>
      </c>
    </row>
    <row r="51" spans="1:4" x14ac:dyDescent="0.25">
      <c r="B51" s="473"/>
    </row>
    <row r="53" spans="1:4" x14ac:dyDescent="0.25">
      <c r="A53" s="489" t="s">
        <v>632</v>
      </c>
      <c r="B53" s="490">
        <v>1136830</v>
      </c>
    </row>
    <row r="55" spans="1:4" x14ac:dyDescent="0.25">
      <c r="A55" s="139" t="s">
        <v>48</v>
      </c>
      <c r="C55"/>
      <c r="D55"/>
    </row>
    <row r="56" spans="1:4" x14ac:dyDescent="0.25">
      <c r="A56" t="s">
        <v>585</v>
      </c>
      <c r="B56" s="139">
        <v>3500000</v>
      </c>
      <c r="C56" t="s">
        <v>586</v>
      </c>
    </row>
    <row r="57" spans="1:4" x14ac:dyDescent="0.25">
      <c r="A57" t="s">
        <v>806</v>
      </c>
      <c r="B57" s="139">
        <v>8200000</v>
      </c>
      <c r="C57" t="s">
        <v>587</v>
      </c>
    </row>
    <row r="58" spans="1:4" x14ac:dyDescent="0.25">
      <c r="A58" t="s">
        <v>588</v>
      </c>
      <c r="B58" s="139">
        <v>22000000</v>
      </c>
      <c r="C58" t="s">
        <v>589</v>
      </c>
    </row>
    <row r="59" spans="1:4" x14ac:dyDescent="0.25">
      <c r="A59" t="s">
        <v>590</v>
      </c>
      <c r="B59" s="139">
        <v>800000</v>
      </c>
      <c r="C59" t="s">
        <v>591</v>
      </c>
    </row>
    <row r="60" spans="1:4" x14ac:dyDescent="0.25">
      <c r="A60" t="s">
        <v>592</v>
      </c>
      <c r="B60" s="139">
        <v>5000000</v>
      </c>
      <c r="C60" t="s">
        <v>593</v>
      </c>
    </row>
    <row r="61" spans="1:4" x14ac:dyDescent="0.25">
      <c r="A61" t="s">
        <v>594</v>
      </c>
      <c r="B61" s="139">
        <v>0</v>
      </c>
      <c r="C61" t="s">
        <v>595</v>
      </c>
    </row>
    <row r="62" spans="1:4" x14ac:dyDescent="0.25">
      <c r="A62" t="s">
        <v>596</v>
      </c>
      <c r="B62" s="139">
        <v>0</v>
      </c>
      <c r="C62" t="s">
        <v>597</v>
      </c>
    </row>
    <row r="63" spans="1:4" x14ac:dyDescent="0.25">
      <c r="A63" t="s">
        <v>807</v>
      </c>
      <c r="B63" s="139">
        <v>500000</v>
      </c>
      <c r="C63" t="s">
        <v>597</v>
      </c>
    </row>
    <row r="64" spans="1:4" x14ac:dyDescent="0.25">
      <c r="A64" t="s">
        <v>598</v>
      </c>
      <c r="B64" s="139">
        <v>25000</v>
      </c>
      <c r="C64" t="s">
        <v>599</v>
      </c>
    </row>
    <row r="65" spans="1:4" x14ac:dyDescent="0.25">
      <c r="A65" t="s">
        <v>600</v>
      </c>
      <c r="B65" s="458">
        <v>5000</v>
      </c>
      <c r="C65" t="s">
        <v>597</v>
      </c>
    </row>
    <row r="66" spans="1:4" x14ac:dyDescent="0.25">
      <c r="A66" t="s">
        <v>601</v>
      </c>
      <c r="B66" s="458">
        <v>800000</v>
      </c>
      <c r="C66" t="s">
        <v>591</v>
      </c>
    </row>
    <row r="67" spans="1:4" ht="15.75" x14ac:dyDescent="0.25">
      <c r="A67" s="29" t="s">
        <v>602</v>
      </c>
      <c r="B67" s="466">
        <f>SUM(B56:B66)</f>
        <v>40830000</v>
      </c>
      <c r="C67" s="491"/>
      <c r="D67" s="480">
        <f>SUM(D56:D65)</f>
        <v>0</v>
      </c>
    </row>
    <row r="68" spans="1:4" ht="15.75" x14ac:dyDescent="0.25">
      <c r="B68" s="457">
        <f>B67+D67</f>
        <v>40830000</v>
      </c>
      <c r="C68"/>
      <c r="D68"/>
    </row>
    <row r="69" spans="1:4" x14ac:dyDescent="0.25">
      <c r="C69"/>
      <c r="D69"/>
    </row>
  </sheetData>
  <mergeCells count="5">
    <mergeCell ref="A2:G2"/>
    <mergeCell ref="E6:F6"/>
    <mergeCell ref="G6:H6"/>
    <mergeCell ref="E16:F16"/>
    <mergeCell ref="G16:H1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6" workbookViewId="0">
      <selection activeCell="H63" sqref="H63"/>
    </sheetView>
  </sheetViews>
  <sheetFormatPr defaultRowHeight="15" x14ac:dyDescent="0.25"/>
  <cols>
    <col min="3" max="3" width="60.7109375" bestFit="1" customWidth="1"/>
    <col min="4" max="6" width="19.140625" bestFit="1" customWidth="1"/>
  </cols>
  <sheetData>
    <row r="1" spans="1:6" ht="18.75" x14ac:dyDescent="0.3">
      <c r="A1" s="667" t="s">
        <v>631</v>
      </c>
      <c r="B1" s="668"/>
      <c r="C1" s="668"/>
      <c r="D1" s="668"/>
      <c r="E1" s="668"/>
      <c r="F1" s="668"/>
    </row>
    <row r="2" spans="1:6" ht="15.75" x14ac:dyDescent="0.25">
      <c r="A2" s="660"/>
      <c r="B2" s="660"/>
      <c r="C2" s="660"/>
      <c r="D2" s="660"/>
      <c r="E2" s="660"/>
      <c r="F2" s="660"/>
    </row>
    <row r="3" spans="1:6" ht="15.75" x14ac:dyDescent="0.25">
      <c r="A3" s="669" t="s">
        <v>3</v>
      </c>
      <c r="B3" s="669"/>
      <c r="C3" s="669"/>
      <c r="D3" s="669"/>
      <c r="E3" s="669"/>
      <c r="F3" s="669"/>
    </row>
    <row r="4" spans="1:6" ht="15.75" x14ac:dyDescent="0.25">
      <c r="A4" s="660" t="s">
        <v>509</v>
      </c>
      <c r="B4" s="660"/>
      <c r="C4" s="660"/>
      <c r="D4" s="660"/>
      <c r="E4" s="660"/>
      <c r="F4" s="660"/>
    </row>
    <row r="5" spans="1:6" ht="16.5" thickBot="1" x14ac:dyDescent="0.3">
      <c r="A5" s="670" t="s">
        <v>510</v>
      </c>
      <c r="B5" s="670"/>
      <c r="C5" s="670"/>
      <c r="D5" s="670"/>
      <c r="E5" s="670"/>
      <c r="F5" s="670"/>
    </row>
    <row r="6" spans="1:6" ht="12.75" customHeight="1" x14ac:dyDescent="0.25">
      <c r="A6" s="671" t="s">
        <v>6</v>
      </c>
      <c r="B6" s="674" t="s">
        <v>7</v>
      </c>
      <c r="C6" s="674"/>
      <c r="D6" s="941">
        <v>2019</v>
      </c>
      <c r="E6" s="679">
        <v>2020</v>
      </c>
      <c r="F6" s="681">
        <v>2021</v>
      </c>
    </row>
    <row r="7" spans="1:6" ht="35.25" customHeight="1" x14ac:dyDescent="0.25">
      <c r="A7" s="672"/>
      <c r="B7" s="675"/>
      <c r="C7" s="675"/>
      <c r="D7" s="942"/>
      <c r="E7" s="680"/>
      <c r="F7" s="682"/>
    </row>
    <row r="8" spans="1:6" ht="21" customHeight="1" thickBot="1" x14ac:dyDescent="0.3">
      <c r="A8" s="850"/>
      <c r="B8" s="851"/>
      <c r="C8" s="851"/>
      <c r="D8" s="852" t="s">
        <v>511</v>
      </c>
      <c r="E8" s="678"/>
      <c r="F8" s="944"/>
    </row>
    <row r="9" spans="1:6" ht="15.75" x14ac:dyDescent="0.25">
      <c r="A9" s="342"/>
      <c r="B9" s="674" t="s">
        <v>12</v>
      </c>
      <c r="C9" s="674"/>
      <c r="D9" s="345"/>
      <c r="E9" s="345"/>
      <c r="F9" s="415"/>
    </row>
    <row r="10" spans="1:6" ht="15.75" x14ac:dyDescent="0.25">
      <c r="A10" s="9">
        <v>1</v>
      </c>
      <c r="B10" s="666" t="s">
        <v>13</v>
      </c>
      <c r="C10" s="666"/>
      <c r="D10" s="17">
        <v>136778464</v>
      </c>
      <c r="E10" s="23">
        <f>D10*102%</f>
        <v>139514033.28</v>
      </c>
      <c r="F10" s="23">
        <f>D10*103%</f>
        <v>140881817.92000002</v>
      </c>
    </row>
    <row r="11" spans="1:6" ht="15.75" x14ac:dyDescent="0.25">
      <c r="A11" s="9">
        <v>2</v>
      </c>
      <c r="B11" s="666" t="s">
        <v>14</v>
      </c>
      <c r="C11" s="666"/>
      <c r="D11" s="17">
        <f>14121345+6971421+6406478</f>
        <v>27499244</v>
      </c>
      <c r="E11" s="23">
        <f t="shared" ref="E11" si="0">D11*102%</f>
        <v>28049228.879999999</v>
      </c>
      <c r="F11" s="23">
        <f t="shared" ref="F11" si="1">D11*103%</f>
        <v>28324221.32</v>
      </c>
    </row>
    <row r="12" spans="1:6" ht="15.75" x14ac:dyDescent="0.25">
      <c r="A12" s="9">
        <v>3</v>
      </c>
      <c r="B12" s="666" t="s">
        <v>15</v>
      </c>
      <c r="C12" s="666"/>
      <c r="D12" s="17">
        <f>14977198+3524010+133766236</f>
        <v>152267444</v>
      </c>
      <c r="E12" s="23">
        <v>89500000</v>
      </c>
      <c r="F12" s="23">
        <f>E12*103%</f>
        <v>92185000</v>
      </c>
    </row>
    <row r="13" spans="1:6" ht="15.75" x14ac:dyDescent="0.25">
      <c r="A13" s="9" t="s">
        <v>16</v>
      </c>
      <c r="B13" s="666" t="s">
        <v>17</v>
      </c>
      <c r="C13" s="666"/>
      <c r="D13" s="17">
        <f t="shared" ref="D13:D17" si="2">SUM(E13:G13)</f>
        <v>0</v>
      </c>
      <c r="E13" s="23"/>
      <c r="F13" s="23"/>
    </row>
    <row r="14" spans="1:6" ht="15.75" x14ac:dyDescent="0.25">
      <c r="A14" s="9" t="s">
        <v>18</v>
      </c>
      <c r="B14" s="685" t="s">
        <v>19</v>
      </c>
      <c r="C14" s="685"/>
      <c r="D14" s="17">
        <f>D15+D16+D17+D18</f>
        <v>18280262</v>
      </c>
      <c r="E14" s="23">
        <f>+E15+E16+E17+E18+E19</f>
        <v>18645867.240000002</v>
      </c>
      <c r="F14" s="23">
        <f>+F15+F16+F17+F18+F19</f>
        <v>19018784.584800001</v>
      </c>
    </row>
    <row r="15" spans="1:6" ht="15.75" x14ac:dyDescent="0.25">
      <c r="A15" s="9" t="s">
        <v>20</v>
      </c>
      <c r="B15" s="686" t="s">
        <v>130</v>
      </c>
      <c r="C15" s="686"/>
      <c r="D15" s="17">
        <f t="shared" si="2"/>
        <v>0</v>
      </c>
      <c r="E15" s="23"/>
      <c r="F15" s="23"/>
    </row>
    <row r="16" spans="1:6" ht="15.75" x14ac:dyDescent="0.25">
      <c r="A16" s="9" t="s">
        <v>21</v>
      </c>
      <c r="B16" s="686" t="s">
        <v>22</v>
      </c>
      <c r="C16" s="686"/>
      <c r="D16" s="17">
        <v>8161962</v>
      </c>
      <c r="E16" s="23">
        <f t="shared" ref="E16:F19" si="3">D16*102%</f>
        <v>8325201.2400000002</v>
      </c>
      <c r="F16" s="23">
        <f t="shared" si="3"/>
        <v>8491705.2648000009</v>
      </c>
    </row>
    <row r="17" spans="1:6" ht="15.75" x14ac:dyDescent="0.25">
      <c r="A17" s="9"/>
      <c r="B17" s="687"/>
      <c r="C17" s="688"/>
      <c r="D17" s="17">
        <f t="shared" si="2"/>
        <v>0</v>
      </c>
      <c r="E17" s="23"/>
      <c r="F17" s="23"/>
    </row>
    <row r="18" spans="1:6" ht="15.75" x14ac:dyDescent="0.25">
      <c r="A18" s="9" t="s">
        <v>23</v>
      </c>
      <c r="B18" s="689" t="s">
        <v>24</v>
      </c>
      <c r="C18" s="689"/>
      <c r="D18" s="17">
        <v>10118300</v>
      </c>
      <c r="E18" s="23">
        <f t="shared" ref="E18" si="4">D18*102%</f>
        <v>10320666</v>
      </c>
      <c r="F18" s="23">
        <f t="shared" si="3"/>
        <v>10527079.32</v>
      </c>
    </row>
    <row r="19" spans="1:6" ht="15.75" x14ac:dyDescent="0.25">
      <c r="A19" s="9" t="s">
        <v>25</v>
      </c>
      <c r="B19" s="689" t="s">
        <v>132</v>
      </c>
      <c r="C19" s="854"/>
      <c r="D19" s="23">
        <v>1136830</v>
      </c>
      <c r="E19" s="23">
        <v>0</v>
      </c>
      <c r="F19" s="23">
        <f t="shared" si="3"/>
        <v>0</v>
      </c>
    </row>
    <row r="20" spans="1:6" ht="15.75" x14ac:dyDescent="0.25">
      <c r="A20" s="9"/>
      <c r="B20" s="666" t="s">
        <v>512</v>
      </c>
      <c r="C20" s="666"/>
      <c r="D20" s="23">
        <v>0</v>
      </c>
      <c r="E20" s="23">
        <f t="shared" ref="E20:F21" si="5">D20*102%</f>
        <v>0</v>
      </c>
      <c r="F20" s="23">
        <f t="shared" si="5"/>
        <v>0</v>
      </c>
    </row>
    <row r="21" spans="1:6" ht="15.75" x14ac:dyDescent="0.25">
      <c r="A21" s="9"/>
      <c r="B21" s="666" t="s">
        <v>513</v>
      </c>
      <c r="C21" s="666"/>
      <c r="D21" s="25">
        <v>30175954</v>
      </c>
      <c r="E21" s="23">
        <f t="shared" si="5"/>
        <v>30779473.080000002</v>
      </c>
      <c r="F21" s="23">
        <f t="shared" si="5"/>
        <v>31395062.541600004</v>
      </c>
    </row>
    <row r="22" spans="1:6" ht="15.75" x14ac:dyDescent="0.25">
      <c r="A22" s="9" t="s">
        <v>1</v>
      </c>
      <c r="B22" s="136" t="s">
        <v>28</v>
      </c>
      <c r="C22" s="350"/>
      <c r="D22" s="27">
        <f>D10+D11+D12+D14+D19+D21+D20</f>
        <v>366138198</v>
      </c>
      <c r="E22" s="23">
        <f>+E10+E11+E12+E13+E14+E21+E20</f>
        <v>306488602.47999996</v>
      </c>
      <c r="F22" s="23">
        <f>+F10+F11+F12+F13+F14+F21+F20</f>
        <v>311804886.3664</v>
      </c>
    </row>
    <row r="23" spans="1:6" ht="15.75" x14ac:dyDescent="0.25">
      <c r="A23" s="9" t="s">
        <v>29</v>
      </c>
      <c r="B23" s="666" t="s">
        <v>30</v>
      </c>
      <c r="C23" s="666"/>
      <c r="D23" s="17">
        <v>399314520</v>
      </c>
      <c r="E23" s="23">
        <v>140000000</v>
      </c>
      <c r="F23" s="23">
        <v>8000000</v>
      </c>
    </row>
    <row r="24" spans="1:6" ht="15.75" x14ac:dyDescent="0.25">
      <c r="A24" s="9" t="s">
        <v>31</v>
      </c>
      <c r="B24" s="666" t="s">
        <v>32</v>
      </c>
      <c r="C24" s="666"/>
      <c r="D24" s="17">
        <v>850000</v>
      </c>
      <c r="E24" s="23">
        <f t="shared" ref="E24:F24" si="6">D24*102%</f>
        <v>867000</v>
      </c>
      <c r="F24" s="23">
        <f t="shared" si="6"/>
        <v>884340</v>
      </c>
    </row>
    <row r="25" spans="1:6" ht="15.75" x14ac:dyDescent="0.25">
      <c r="A25" s="9" t="s">
        <v>33</v>
      </c>
      <c r="B25" s="666" t="s">
        <v>34</v>
      </c>
      <c r="C25" s="666"/>
      <c r="D25" s="17">
        <v>0</v>
      </c>
      <c r="E25" s="32"/>
      <c r="F25" s="32"/>
    </row>
    <row r="26" spans="1:6" ht="15.75" x14ac:dyDescent="0.25">
      <c r="A26" s="9" t="s">
        <v>35</v>
      </c>
      <c r="B26" s="666" t="s">
        <v>36</v>
      </c>
      <c r="C26" s="666"/>
      <c r="D26" s="30">
        <f>+D23+D24+D25</f>
        <v>400164520</v>
      </c>
      <c r="E26" s="32">
        <f>SUM(E23:E25)</f>
        <v>140867000</v>
      </c>
      <c r="F26" s="32">
        <f>SUM(F23:F25)</f>
        <v>8884340</v>
      </c>
    </row>
    <row r="27" spans="1:6" ht="15.75" x14ac:dyDescent="0.25">
      <c r="A27" s="9" t="s">
        <v>37</v>
      </c>
      <c r="B27" s="666"/>
      <c r="C27" s="666"/>
      <c r="D27" s="25"/>
      <c r="E27" s="23"/>
      <c r="F27" s="23"/>
    </row>
    <row r="28" spans="1:6" ht="15.75" x14ac:dyDescent="0.25">
      <c r="A28" s="9" t="s">
        <v>38</v>
      </c>
      <c r="B28" s="696"/>
      <c r="C28" s="696"/>
      <c r="D28" s="33"/>
      <c r="E28" s="34"/>
      <c r="F28" s="34"/>
    </row>
    <row r="29" spans="1:6" ht="15.75" x14ac:dyDescent="0.25">
      <c r="A29" s="9" t="s">
        <v>39</v>
      </c>
      <c r="B29" s="696"/>
      <c r="C29" s="696"/>
      <c r="D29" s="33"/>
      <c r="E29" s="35"/>
      <c r="F29" s="35"/>
    </row>
    <row r="30" spans="1:6" ht="19.5" x14ac:dyDescent="0.3">
      <c r="A30" s="36" t="s">
        <v>40</v>
      </c>
      <c r="B30" s="700" t="s">
        <v>309</v>
      </c>
      <c r="C30" s="700"/>
      <c r="D30" s="37">
        <f>+D22+D26+D27+D28+D29</f>
        <v>766302718</v>
      </c>
      <c r="E30" s="66">
        <f>+E22+E26+E27+E28+E29</f>
        <v>447355602.47999996</v>
      </c>
      <c r="F30" s="66">
        <f>+F22+F26+F27+F28+F29</f>
        <v>320689226.3664</v>
      </c>
    </row>
    <row r="31" spans="1:6" ht="15.75" x14ac:dyDescent="0.25">
      <c r="A31" s="40"/>
      <c r="B31" s="750"/>
      <c r="C31" s="750"/>
      <c r="D31" s="41"/>
      <c r="E31" s="392"/>
      <c r="F31" s="392"/>
    </row>
    <row r="32" spans="1:6" ht="15.75" x14ac:dyDescent="0.25">
      <c r="A32" s="9"/>
      <c r="B32" s="719" t="s">
        <v>42</v>
      </c>
      <c r="C32" s="719"/>
      <c r="D32" s="45"/>
      <c r="E32" s="25"/>
      <c r="F32" s="25"/>
    </row>
    <row r="33" spans="1:6" ht="15.75" x14ac:dyDescent="0.25">
      <c r="A33" s="9" t="s">
        <v>43</v>
      </c>
      <c r="B33" s="694" t="s">
        <v>44</v>
      </c>
      <c r="C33" s="694"/>
      <c r="D33" s="48">
        <v>14451020</v>
      </c>
      <c r="E33" s="23">
        <f t="shared" ref="E33:F33" si="7">D33*102%</f>
        <v>14740040.4</v>
      </c>
      <c r="F33" s="23">
        <f t="shared" si="7"/>
        <v>15034841.208000001</v>
      </c>
    </row>
    <row r="34" spans="1:6" ht="15.75" x14ac:dyDescent="0.25">
      <c r="A34" s="9" t="s">
        <v>45</v>
      </c>
      <c r="B34" s="694" t="s">
        <v>46</v>
      </c>
      <c r="C34" s="694"/>
      <c r="D34" s="48">
        <f>D35+D36+D37</f>
        <v>40830000</v>
      </c>
      <c r="E34" s="48">
        <f>SUM(E35:E37)</f>
        <v>41646600</v>
      </c>
      <c r="F34" s="48">
        <f>SUM(F35:F37)</f>
        <v>42479532</v>
      </c>
    </row>
    <row r="35" spans="1:6" ht="15.75" x14ac:dyDescent="0.25">
      <c r="A35" s="9"/>
      <c r="B35" s="51" t="s">
        <v>47</v>
      </c>
      <c r="C35" s="52" t="s">
        <v>48</v>
      </c>
      <c r="D35" s="48">
        <v>35825000</v>
      </c>
      <c r="E35" s="23">
        <f t="shared" ref="E35:F37" si="8">D35*102%</f>
        <v>36541500</v>
      </c>
      <c r="F35" s="23">
        <f t="shared" si="8"/>
        <v>37272330</v>
      </c>
    </row>
    <row r="36" spans="1:6" ht="15.75" x14ac:dyDescent="0.25">
      <c r="A36" s="9"/>
      <c r="B36" s="51" t="s">
        <v>49</v>
      </c>
      <c r="C36" s="52" t="s">
        <v>50</v>
      </c>
      <c r="D36" s="48">
        <v>4500000</v>
      </c>
      <c r="E36" s="23">
        <f t="shared" si="8"/>
        <v>4590000</v>
      </c>
      <c r="F36" s="23">
        <f t="shared" si="8"/>
        <v>4681800</v>
      </c>
    </row>
    <row r="37" spans="1:6" ht="15.75" x14ac:dyDescent="0.25">
      <c r="A37" s="9"/>
      <c r="B37" s="51" t="s">
        <v>51</v>
      </c>
      <c r="C37" s="52" t="s">
        <v>52</v>
      </c>
      <c r="D37" s="48">
        <v>505000</v>
      </c>
      <c r="E37" s="23">
        <f t="shared" si="8"/>
        <v>515100</v>
      </c>
      <c r="F37" s="23">
        <f t="shared" si="8"/>
        <v>525402</v>
      </c>
    </row>
    <row r="38" spans="1:6" ht="15.75" x14ac:dyDescent="0.25">
      <c r="A38" s="9" t="s">
        <v>53</v>
      </c>
      <c r="B38" s="694" t="s">
        <v>54</v>
      </c>
      <c r="C38" s="694"/>
      <c r="D38" s="53">
        <f>D39+D40+D41</f>
        <v>152161604</v>
      </c>
      <c r="E38" s="53">
        <f>SUM(E39:E41)</f>
        <v>155204836.08000001</v>
      </c>
      <c r="F38" s="53">
        <f>SUM(F39:F41)</f>
        <v>158308932.80160001</v>
      </c>
    </row>
    <row r="39" spans="1:6" ht="15.75" x14ac:dyDescent="0.25">
      <c r="A39" s="9"/>
      <c r="B39" s="55" t="s">
        <v>55</v>
      </c>
      <c r="C39" s="56" t="s">
        <v>56</v>
      </c>
      <c r="D39" s="53">
        <v>145525259</v>
      </c>
      <c r="E39" s="23">
        <f t="shared" ref="E39:F39" si="9">D39*102%</f>
        <v>148435764.18000001</v>
      </c>
      <c r="F39" s="23">
        <f t="shared" si="9"/>
        <v>151404479.46360001</v>
      </c>
    </row>
    <row r="40" spans="1:6" ht="15.75" x14ac:dyDescent="0.25">
      <c r="A40" s="9"/>
      <c r="B40" s="55" t="s">
        <v>57</v>
      </c>
      <c r="C40" s="56" t="s">
        <v>58</v>
      </c>
      <c r="D40" s="53">
        <f t="shared" ref="D40" si="10">SUM(E40:G40)</f>
        <v>0</v>
      </c>
      <c r="E40" s="53">
        <f>SUM(F40:G40)</f>
        <v>0</v>
      </c>
      <c r="F40" s="53">
        <f>SUM(G40:H40)</f>
        <v>0</v>
      </c>
    </row>
    <row r="41" spans="1:6" ht="15.75" x14ac:dyDescent="0.25">
      <c r="A41" s="9"/>
      <c r="B41" s="55" t="s">
        <v>59</v>
      </c>
      <c r="C41" s="56" t="s">
        <v>60</v>
      </c>
      <c r="D41" s="53">
        <v>6636345</v>
      </c>
      <c r="E41" s="23">
        <f t="shared" ref="E41:F41" si="11">D41*102%</f>
        <v>6769071.9000000004</v>
      </c>
      <c r="F41" s="23">
        <f t="shared" si="11"/>
        <v>6904453.3380000005</v>
      </c>
    </row>
    <row r="42" spans="1:6" ht="15.75" x14ac:dyDescent="0.25">
      <c r="A42" s="9" t="s">
        <v>16</v>
      </c>
      <c r="B42" s="694" t="s">
        <v>61</v>
      </c>
      <c r="C42" s="694"/>
      <c r="D42" s="53">
        <f>SUM(D43:D46)</f>
        <v>14483373</v>
      </c>
      <c r="E42" s="49">
        <f>E44+E43+E45</f>
        <v>14773040.460000001</v>
      </c>
      <c r="F42" s="49">
        <f>F44+F43+F45</f>
        <v>15068501.269200001</v>
      </c>
    </row>
    <row r="43" spans="1:6" ht="15.75" x14ac:dyDescent="0.25">
      <c r="A43" s="9"/>
      <c r="B43" s="55" t="s">
        <v>62</v>
      </c>
      <c r="C43" s="56" t="s">
        <v>63</v>
      </c>
      <c r="D43" s="53">
        <v>13483373</v>
      </c>
      <c r="E43" s="23">
        <f t="shared" ref="E43:F43" si="12">D43*102%</f>
        <v>13753040.460000001</v>
      </c>
      <c r="F43" s="23">
        <f t="shared" si="12"/>
        <v>14028101.269200001</v>
      </c>
    </row>
    <row r="44" spans="1:6" ht="15.75" x14ac:dyDescent="0.25">
      <c r="A44" s="9"/>
      <c r="B44" s="55" t="s">
        <v>64</v>
      </c>
      <c r="C44" s="56" t="s">
        <v>65</v>
      </c>
      <c r="D44" s="53"/>
      <c r="E44" s="53"/>
      <c r="F44" s="53"/>
    </row>
    <row r="45" spans="1:6" ht="15.75" x14ac:dyDescent="0.25">
      <c r="A45" s="9"/>
      <c r="B45" s="55" t="s">
        <v>66</v>
      </c>
      <c r="C45" s="56" t="s">
        <v>67</v>
      </c>
      <c r="D45" s="53">
        <v>1000000</v>
      </c>
      <c r="E45" s="23">
        <f t="shared" ref="E45:F45" si="13">D45*102%</f>
        <v>1020000</v>
      </c>
      <c r="F45" s="23">
        <f t="shared" si="13"/>
        <v>1040400</v>
      </c>
    </row>
    <row r="46" spans="1:6" ht="15.75" x14ac:dyDescent="0.25">
      <c r="A46" s="9"/>
      <c r="B46" s="55" t="s">
        <v>68</v>
      </c>
      <c r="C46" s="56" t="s">
        <v>69</v>
      </c>
      <c r="D46" s="53"/>
      <c r="E46" s="53"/>
      <c r="F46" s="53"/>
    </row>
    <row r="47" spans="1:6" s="29" customFormat="1" ht="15.75" x14ac:dyDescent="0.25">
      <c r="A47" s="26" t="s">
        <v>1</v>
      </c>
      <c r="B47" s="702" t="s">
        <v>70</v>
      </c>
      <c r="C47" s="702"/>
      <c r="D47" s="58">
        <f>D42+D38+D33+D34</f>
        <v>221925997</v>
      </c>
      <c r="E47" s="60">
        <f>+E33+E34+E38+E42</f>
        <v>226364516.94000003</v>
      </c>
      <c r="F47" s="60">
        <f>+F33+F34+F38+F42</f>
        <v>230891807.27880001</v>
      </c>
    </row>
    <row r="48" spans="1:6" ht="15.75" x14ac:dyDescent="0.25">
      <c r="A48" s="9" t="s">
        <v>18</v>
      </c>
      <c r="B48" s="694" t="s">
        <v>71</v>
      </c>
      <c r="C48" s="694"/>
      <c r="D48" s="49">
        <f>SUM(D49:D50)</f>
        <v>7867898</v>
      </c>
      <c r="E48" s="49">
        <f>E49+E50</f>
        <v>7061948</v>
      </c>
      <c r="F48" s="49">
        <f>F49+F50</f>
        <v>7203186.96</v>
      </c>
    </row>
    <row r="49" spans="1:6" ht="15.75" x14ac:dyDescent="0.25">
      <c r="A49" s="9"/>
      <c r="B49" s="55" t="s">
        <v>72</v>
      </c>
      <c r="C49" s="56" t="s">
        <v>73</v>
      </c>
      <c r="D49" s="53">
        <v>3518600</v>
      </c>
      <c r="E49" s="53">
        <v>2712650</v>
      </c>
      <c r="F49" s="23">
        <f t="shared" ref="F49:F50" si="14">E49*102%</f>
        <v>2766903</v>
      </c>
    </row>
    <row r="50" spans="1:6" ht="15.75" x14ac:dyDescent="0.25">
      <c r="A50" s="9"/>
      <c r="B50" s="55" t="s">
        <v>74</v>
      </c>
      <c r="C50" s="56" t="s">
        <v>75</v>
      </c>
      <c r="D50" s="53">
        <v>4349298</v>
      </c>
      <c r="E50" s="53">
        <v>4349298</v>
      </c>
      <c r="F50" s="23">
        <f t="shared" si="14"/>
        <v>4436283.96</v>
      </c>
    </row>
    <row r="51" spans="1:6" ht="15.75" x14ac:dyDescent="0.25">
      <c r="A51" s="9" t="s">
        <v>29</v>
      </c>
      <c r="B51" s="694" t="s">
        <v>76</v>
      </c>
      <c r="C51" s="694"/>
      <c r="D51" s="53">
        <f>SUM(D52:D53)</f>
        <v>0</v>
      </c>
      <c r="E51" s="53">
        <f>SUM(E52:E53)</f>
        <v>0</v>
      </c>
      <c r="F51" s="53">
        <f>SUM(F52:F53)</f>
        <v>0</v>
      </c>
    </row>
    <row r="52" spans="1:6" ht="15.75" x14ac:dyDescent="0.25">
      <c r="A52" s="9"/>
      <c r="B52" s="55" t="s">
        <v>77</v>
      </c>
      <c r="C52" s="56" t="s">
        <v>78</v>
      </c>
      <c r="D52" s="53"/>
      <c r="E52" s="53"/>
      <c r="F52" s="53"/>
    </row>
    <row r="53" spans="1:6" ht="15.75" x14ac:dyDescent="0.25">
      <c r="A53" s="9"/>
      <c r="B53" s="55" t="s">
        <v>79</v>
      </c>
      <c r="C53" s="56" t="s">
        <v>80</v>
      </c>
      <c r="D53" s="53">
        <v>0</v>
      </c>
      <c r="E53" s="53">
        <v>0</v>
      </c>
      <c r="F53" s="53">
        <v>0</v>
      </c>
    </row>
    <row r="54" spans="1:6" ht="15.75" x14ac:dyDescent="0.25">
      <c r="A54" s="9" t="s">
        <v>31</v>
      </c>
      <c r="B54" s="694" t="s">
        <v>81</v>
      </c>
      <c r="C54" s="694"/>
      <c r="D54" s="53">
        <f>SUM(D55:D57)</f>
        <v>269478267</v>
      </c>
      <c r="E54" s="53">
        <f>SUM(E55:E57)</f>
        <v>140000000</v>
      </c>
      <c r="F54" s="53">
        <f>SUM(F55:F57)</f>
        <v>8000000</v>
      </c>
    </row>
    <row r="55" spans="1:6" ht="15.75" x14ac:dyDescent="0.25">
      <c r="A55" s="9"/>
      <c r="B55" s="55" t="s">
        <v>82</v>
      </c>
      <c r="C55" s="56" t="s">
        <v>83</v>
      </c>
      <c r="D55" s="53"/>
      <c r="E55" s="53">
        <v>0</v>
      </c>
      <c r="F55" s="53">
        <v>0</v>
      </c>
    </row>
    <row r="56" spans="1:6" ht="15.75" x14ac:dyDescent="0.25">
      <c r="A56" s="9"/>
      <c r="B56" s="55" t="s">
        <v>84</v>
      </c>
      <c r="C56" s="56" t="s">
        <v>85</v>
      </c>
      <c r="D56" s="53">
        <v>269478267</v>
      </c>
      <c r="E56" s="23">
        <v>140000000</v>
      </c>
      <c r="F56" s="23">
        <v>8000000</v>
      </c>
    </row>
    <row r="57" spans="1:6" ht="15.75" x14ac:dyDescent="0.25">
      <c r="A57" s="9"/>
      <c r="B57" s="55" t="s">
        <v>86</v>
      </c>
      <c r="C57" s="56" t="s">
        <v>87</v>
      </c>
      <c r="D57" s="53"/>
      <c r="E57" s="53"/>
      <c r="F57" s="53"/>
    </row>
    <row r="58" spans="1:6" ht="15.75" x14ac:dyDescent="0.25">
      <c r="A58" s="26" t="s">
        <v>35</v>
      </c>
      <c r="B58" s="702" t="s">
        <v>88</v>
      </c>
      <c r="C58" s="702"/>
      <c r="D58" s="58">
        <f>D48+D51+D54</f>
        <v>277346165</v>
      </c>
      <c r="E58" s="53">
        <f>+E48+E51+E54</f>
        <v>147061948</v>
      </c>
      <c r="F58" s="53">
        <f>+F48+F51+F54</f>
        <v>15203186.960000001</v>
      </c>
    </row>
    <row r="59" spans="1:6" ht="15.75" x14ac:dyDescent="0.25">
      <c r="A59" s="26" t="s">
        <v>37</v>
      </c>
      <c r="B59" s="702" t="s">
        <v>89</v>
      </c>
      <c r="C59" s="702"/>
      <c r="D59" s="60"/>
      <c r="E59" s="60"/>
      <c r="F59" s="60"/>
    </row>
    <row r="60" spans="1:6" ht="15.75" x14ac:dyDescent="0.25">
      <c r="A60" s="26" t="s">
        <v>38</v>
      </c>
      <c r="B60" s="702" t="s">
        <v>90</v>
      </c>
      <c r="C60" s="702"/>
      <c r="D60" s="60"/>
      <c r="E60" s="60"/>
      <c r="F60" s="60"/>
    </row>
    <row r="61" spans="1:6" ht="18.75" x14ac:dyDescent="0.3">
      <c r="A61" s="36" t="s">
        <v>91</v>
      </c>
      <c r="B61" s="704" t="s">
        <v>92</v>
      </c>
      <c r="C61" s="704"/>
      <c r="D61" s="63">
        <f>D47+D58</f>
        <v>499272162</v>
      </c>
      <c r="E61" s="394">
        <f>+E47+E58+E59+E60</f>
        <v>373426464.94000006</v>
      </c>
      <c r="F61" s="394">
        <f>+F47+F58+F59+F60</f>
        <v>246094994.23880002</v>
      </c>
    </row>
    <row r="62" spans="1:6" ht="18.75" x14ac:dyDescent="0.3">
      <c r="A62" s="36"/>
      <c r="B62" s="704" t="s">
        <v>93</v>
      </c>
      <c r="C62" s="704"/>
      <c r="D62" s="66">
        <f>+D30-D61</f>
        <v>267030556</v>
      </c>
      <c r="E62" s="66">
        <f>+E30-E61</f>
        <v>73929137.539999902</v>
      </c>
      <c r="F62" s="66">
        <f>+F30-F61</f>
        <v>74594232.127599984</v>
      </c>
    </row>
    <row r="63" spans="1:6" ht="18.75" x14ac:dyDescent="0.3">
      <c r="A63" s="36"/>
      <c r="B63" s="694" t="s">
        <v>94</v>
      </c>
      <c r="C63" s="694"/>
      <c r="D63" s="66"/>
      <c r="E63" s="74"/>
      <c r="F63" s="74"/>
    </row>
    <row r="64" spans="1:6" ht="15.75" x14ac:dyDescent="0.25">
      <c r="A64" s="26" t="s">
        <v>39</v>
      </c>
      <c r="B64" s="694" t="s">
        <v>95</v>
      </c>
      <c r="C64" s="694"/>
      <c r="D64" s="25">
        <f>D65+D66</f>
        <v>267030556</v>
      </c>
      <c r="E64" s="25">
        <f>SUM(E65:E66)</f>
        <v>73929136.680000007</v>
      </c>
      <c r="F64" s="25">
        <f>SUM(F65:F66)</f>
        <v>74594232.133599997</v>
      </c>
    </row>
    <row r="65" spans="1:6" ht="18.75" x14ac:dyDescent="0.25">
      <c r="A65" s="36"/>
      <c r="B65" s="68" t="s">
        <v>43</v>
      </c>
      <c r="C65" s="56" t="s">
        <v>96</v>
      </c>
      <c r="D65" s="25">
        <f>29532605+1449948+269381</f>
        <v>31251934</v>
      </c>
      <c r="E65" s="23">
        <f t="shared" ref="E65:F65" si="15">D65*102%</f>
        <v>31876972.68</v>
      </c>
      <c r="F65" s="23">
        <f t="shared" si="15"/>
        <v>32514512.1336</v>
      </c>
    </row>
    <row r="66" spans="1:6" ht="18.75" x14ac:dyDescent="0.25">
      <c r="A66" s="36"/>
      <c r="B66" s="68" t="s">
        <v>45</v>
      </c>
      <c r="C66" s="56" t="s">
        <v>97</v>
      </c>
      <c r="D66" s="25">
        <v>235778622</v>
      </c>
      <c r="E66" s="23">
        <v>42052164</v>
      </c>
      <c r="F66" s="23">
        <v>42079720</v>
      </c>
    </row>
    <row r="67" spans="1:6" ht="18.75" x14ac:dyDescent="0.3">
      <c r="A67" s="36" t="s">
        <v>98</v>
      </c>
      <c r="B67" s="700" t="s">
        <v>99</v>
      </c>
      <c r="C67" s="700"/>
      <c r="D67" s="66">
        <f>D64</f>
        <v>267030556</v>
      </c>
      <c r="E67" s="70">
        <f>E64</f>
        <v>73929136.680000007</v>
      </c>
      <c r="F67" s="70">
        <f>F64</f>
        <v>74594232.133599997</v>
      </c>
    </row>
    <row r="68" spans="1:6" ht="18.75" x14ac:dyDescent="0.3">
      <c r="A68" s="9" t="s">
        <v>100</v>
      </c>
      <c r="B68" s="694" t="s">
        <v>101</v>
      </c>
      <c r="C68" s="694"/>
      <c r="D68" s="66"/>
      <c r="E68" s="66"/>
      <c r="F68" s="66"/>
    </row>
    <row r="69" spans="1:6" ht="18.75" x14ac:dyDescent="0.3">
      <c r="A69" s="9" t="s">
        <v>102</v>
      </c>
      <c r="B69" s="694" t="s">
        <v>103</v>
      </c>
      <c r="C69" s="694"/>
      <c r="D69" s="66">
        <f>SUM(D70:D73)</f>
        <v>0</v>
      </c>
      <c r="E69" s="66">
        <f>SUM(E70:E73)</f>
        <v>0</v>
      </c>
      <c r="F69" s="66">
        <f>SUM(F70:F73)</f>
        <v>0</v>
      </c>
    </row>
    <row r="70" spans="1:6" ht="18.75" x14ac:dyDescent="0.3">
      <c r="A70" s="9"/>
      <c r="B70" s="55" t="s">
        <v>43</v>
      </c>
      <c r="C70" s="56" t="s">
        <v>311</v>
      </c>
      <c r="D70" s="74"/>
      <c r="E70" s="74"/>
      <c r="F70" s="74"/>
    </row>
    <row r="71" spans="1:6" ht="18.75" x14ac:dyDescent="0.3">
      <c r="A71" s="9"/>
      <c r="B71" s="55" t="s">
        <v>45</v>
      </c>
      <c r="C71" s="56" t="s">
        <v>105</v>
      </c>
      <c r="D71" s="66"/>
      <c r="E71" s="66"/>
      <c r="F71" s="66"/>
    </row>
    <row r="72" spans="1:6" ht="18.75" x14ac:dyDescent="0.3">
      <c r="A72" s="9"/>
      <c r="B72" s="55" t="s">
        <v>53</v>
      </c>
      <c r="C72" s="56" t="s">
        <v>106</v>
      </c>
      <c r="D72" s="74"/>
      <c r="E72" s="74"/>
      <c r="F72" s="74"/>
    </row>
    <row r="73" spans="1:6" ht="18.75" x14ac:dyDescent="0.3">
      <c r="A73" s="9"/>
      <c r="B73" s="55" t="s">
        <v>16</v>
      </c>
      <c r="C73" s="56" t="s">
        <v>107</v>
      </c>
      <c r="D73" s="74"/>
      <c r="E73" s="74"/>
      <c r="F73" s="74"/>
    </row>
    <row r="74" spans="1:6" ht="19.5" x14ac:dyDescent="0.3">
      <c r="A74" s="36" t="s">
        <v>108</v>
      </c>
      <c r="B74" s="709" t="s">
        <v>109</v>
      </c>
      <c r="C74" s="709"/>
      <c r="D74" s="66">
        <f>+D68+D69</f>
        <v>0</v>
      </c>
      <c r="E74" s="66">
        <f>+E68+E69</f>
        <v>0</v>
      </c>
      <c r="F74" s="66">
        <f>+F68+F69</f>
        <v>0</v>
      </c>
    </row>
    <row r="75" spans="1:6" ht="18.75" x14ac:dyDescent="0.3">
      <c r="A75" s="36" t="s">
        <v>110</v>
      </c>
      <c r="B75" s="704" t="s">
        <v>111</v>
      </c>
      <c r="C75" s="704"/>
      <c r="D75" s="66">
        <f>+D67+D74</f>
        <v>267030556</v>
      </c>
      <c r="E75" s="66">
        <f>+E67+E74</f>
        <v>73929136.680000007</v>
      </c>
      <c r="F75" s="66">
        <f>+F67+F74</f>
        <v>74594232.133599997</v>
      </c>
    </row>
    <row r="76" spans="1:6" ht="18.75" x14ac:dyDescent="0.3">
      <c r="A76" s="9" t="s">
        <v>112</v>
      </c>
      <c r="B76" s="694" t="s">
        <v>113</v>
      </c>
      <c r="C76" s="694"/>
      <c r="D76" s="66"/>
      <c r="E76" s="23">
        <f t="shared" ref="E76:F76" si="16">D76*102%</f>
        <v>0</v>
      </c>
      <c r="F76" s="23">
        <f t="shared" si="16"/>
        <v>0</v>
      </c>
    </row>
    <row r="77" spans="1:6" ht="18.75" x14ac:dyDescent="0.3">
      <c r="A77" s="9" t="s">
        <v>114</v>
      </c>
      <c r="B77" s="694" t="s">
        <v>115</v>
      </c>
      <c r="C77" s="694"/>
      <c r="D77" s="74">
        <f>SUM(D78:D80)</f>
        <v>0</v>
      </c>
      <c r="E77" s="74">
        <f>F77+G77</f>
        <v>0</v>
      </c>
      <c r="F77" s="74">
        <f>G77+H77</f>
        <v>0</v>
      </c>
    </row>
    <row r="78" spans="1:6" ht="18.75" x14ac:dyDescent="0.3">
      <c r="A78" s="9"/>
      <c r="B78" s="55" t="s">
        <v>43</v>
      </c>
      <c r="C78" s="56" t="s">
        <v>313</v>
      </c>
      <c r="D78" s="74"/>
      <c r="E78" s="74"/>
      <c r="F78" s="74"/>
    </row>
    <row r="79" spans="1:6" ht="18.75" x14ac:dyDescent="0.3">
      <c r="A79" s="9"/>
      <c r="B79" s="55" t="s">
        <v>45</v>
      </c>
      <c r="C79" s="56" t="s">
        <v>314</v>
      </c>
      <c r="D79" s="74"/>
      <c r="E79" s="74"/>
      <c r="F79" s="74"/>
    </row>
    <row r="80" spans="1:6" ht="18.75" x14ac:dyDescent="0.3">
      <c r="A80" s="9" t="s">
        <v>119</v>
      </c>
      <c r="B80" s="705" t="s">
        <v>520</v>
      </c>
      <c r="C80" s="706"/>
      <c r="D80" s="74"/>
      <c r="E80" s="74">
        <v>0</v>
      </c>
      <c r="F80" s="74">
        <v>0</v>
      </c>
    </row>
    <row r="81" spans="1:6" ht="18.75" x14ac:dyDescent="0.3">
      <c r="A81" s="36" t="s">
        <v>120</v>
      </c>
      <c r="B81" s="704" t="s">
        <v>315</v>
      </c>
      <c r="C81" s="704"/>
      <c r="D81" s="74"/>
      <c r="E81" s="66">
        <f>+E76+E77+E80</f>
        <v>0</v>
      </c>
      <c r="F81" s="66">
        <f>+F76+F77+F80</f>
        <v>0</v>
      </c>
    </row>
    <row r="82" spans="1:6" ht="19.5" thickBot="1" x14ac:dyDescent="0.35">
      <c r="A82" s="36" t="s">
        <v>122</v>
      </c>
      <c r="B82" s="704" t="s">
        <v>123</v>
      </c>
      <c r="C82" s="704"/>
      <c r="D82" s="83">
        <f>D30+D81</f>
        <v>766302718</v>
      </c>
      <c r="E82" s="83">
        <f t="shared" ref="E82:F82" si="17">E30+E81</f>
        <v>447355602.47999996</v>
      </c>
      <c r="F82" s="83">
        <f t="shared" si="17"/>
        <v>320689226.3664</v>
      </c>
    </row>
    <row r="83" spans="1:6" ht="19.5" thickBot="1" x14ac:dyDescent="0.35">
      <c r="A83" s="361" t="s">
        <v>124</v>
      </c>
      <c r="B83" s="362" t="s">
        <v>125</v>
      </c>
      <c r="C83" s="362"/>
      <c r="D83" s="83">
        <f>+D61+D75+D63</f>
        <v>766302718</v>
      </c>
      <c r="E83" s="83">
        <f t="shared" ref="E83:F83" si="18">+E61+E75+E63</f>
        <v>447355601.62000006</v>
      </c>
      <c r="F83" s="83">
        <f t="shared" si="18"/>
        <v>320689226.37240005</v>
      </c>
    </row>
    <row r="84" spans="1:6" ht="15.75" x14ac:dyDescent="0.25">
      <c r="A84" s="2"/>
      <c r="B84" s="85"/>
      <c r="C84" s="85"/>
      <c r="E84" s="86"/>
      <c r="F84" s="86"/>
    </row>
  </sheetData>
  <mergeCells count="59">
    <mergeCell ref="B82:C82"/>
    <mergeCell ref="B74:C74"/>
    <mergeCell ref="B75:C75"/>
    <mergeCell ref="B76:C76"/>
    <mergeCell ref="B77:C77"/>
    <mergeCell ref="B80:C80"/>
    <mergeCell ref="B81:C81"/>
    <mergeCell ref="B69:C69"/>
    <mergeCell ref="B51:C51"/>
    <mergeCell ref="B54:C54"/>
    <mergeCell ref="B58:C58"/>
    <mergeCell ref="B59:C59"/>
    <mergeCell ref="B60:C60"/>
    <mergeCell ref="B61:C61"/>
    <mergeCell ref="B62:C62"/>
    <mergeCell ref="B63:C63"/>
    <mergeCell ref="B64:C64"/>
    <mergeCell ref="B67:C67"/>
    <mergeCell ref="B68:C68"/>
    <mergeCell ref="B48:C48"/>
    <mergeCell ref="B27:C27"/>
    <mergeCell ref="B28:C28"/>
    <mergeCell ref="B29:C29"/>
    <mergeCell ref="B30:C30"/>
    <mergeCell ref="B31:C31"/>
    <mergeCell ref="B32:C32"/>
    <mergeCell ref="B33:C33"/>
    <mergeCell ref="B34:C34"/>
    <mergeCell ref="B38:C38"/>
    <mergeCell ref="B42:C42"/>
    <mergeCell ref="B47:C47"/>
    <mergeCell ref="B26:C26"/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24:C24"/>
    <mergeCell ref="B25:C25"/>
    <mergeCell ref="B13:C13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  <mergeCell ref="D8:F8"/>
    <mergeCell ref="B9:C9"/>
    <mergeCell ref="B10:C10"/>
    <mergeCell ref="B11:C11"/>
    <mergeCell ref="B12:C1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6" workbookViewId="0">
      <selection activeCell="H23" sqref="H23"/>
    </sheetView>
  </sheetViews>
  <sheetFormatPr defaultColWidth="52.5703125" defaultRowHeight="15" x14ac:dyDescent="0.25"/>
  <cols>
    <col min="1" max="1" width="3.7109375" customWidth="1"/>
    <col min="2" max="2" width="45.7109375" customWidth="1"/>
    <col min="3" max="3" width="8.140625" customWidth="1"/>
    <col min="4" max="4" width="19.42578125" customWidth="1"/>
    <col min="5" max="5" width="3.85546875" bestFit="1" customWidth="1"/>
    <col min="7" max="7" width="27.7109375" customWidth="1"/>
    <col min="8" max="8" width="19.140625" bestFit="1" customWidth="1"/>
  </cols>
  <sheetData>
    <row r="1" spans="1:8" ht="18.75" x14ac:dyDescent="0.3">
      <c r="B1" s="667" t="s">
        <v>631</v>
      </c>
      <c r="C1" s="667"/>
      <c r="D1" s="667"/>
      <c r="E1" s="667"/>
      <c r="F1" s="667"/>
      <c r="G1" s="667"/>
      <c r="H1" s="667"/>
    </row>
    <row r="2" spans="1:8" ht="15.75" x14ac:dyDescent="0.25">
      <c r="B2" s="669" t="s">
        <v>3</v>
      </c>
      <c r="C2" s="669"/>
      <c r="D2" s="669"/>
      <c r="E2" s="669"/>
      <c r="F2" s="669"/>
      <c r="G2" s="669"/>
      <c r="H2" s="669"/>
    </row>
    <row r="3" spans="1:8" ht="15.75" x14ac:dyDescent="0.25">
      <c r="B3" s="669" t="s">
        <v>126</v>
      </c>
      <c r="C3" s="669"/>
      <c r="D3" s="669"/>
      <c r="E3" s="669"/>
      <c r="F3" s="669"/>
      <c r="G3" s="669"/>
      <c r="H3" s="669"/>
    </row>
    <row r="4" spans="1:8" ht="15.75" x14ac:dyDescent="0.25">
      <c r="B4" s="670" t="s">
        <v>127</v>
      </c>
      <c r="C4" s="670"/>
      <c r="D4" s="670"/>
      <c r="E4" s="670"/>
      <c r="F4" s="670"/>
      <c r="G4" s="670"/>
      <c r="H4" s="670"/>
    </row>
    <row r="5" spans="1:8" ht="16.5" thickBot="1" x14ac:dyDescent="0.3">
      <c r="A5" s="88"/>
      <c r="B5" s="89"/>
      <c r="C5" s="89"/>
      <c r="D5" s="89"/>
      <c r="E5" s="89"/>
      <c r="F5" s="89"/>
      <c r="G5" s="89"/>
      <c r="H5" s="89"/>
    </row>
    <row r="6" spans="1:8" ht="28.5" x14ac:dyDescent="0.25">
      <c r="A6" s="90"/>
      <c r="B6" s="710" t="s">
        <v>6</v>
      </c>
      <c r="C6" s="712" t="s">
        <v>7</v>
      </c>
      <c r="D6" s="91" t="s">
        <v>128</v>
      </c>
      <c r="E6" s="91"/>
      <c r="F6" s="674" t="s">
        <v>7</v>
      </c>
      <c r="G6" s="715"/>
      <c r="H6" s="717" t="s">
        <v>128</v>
      </c>
    </row>
    <row r="7" spans="1:8" x14ac:dyDescent="0.25">
      <c r="A7" s="92"/>
      <c r="B7" s="711"/>
      <c r="C7" s="713"/>
      <c r="D7" s="93"/>
      <c r="E7" s="93"/>
      <c r="F7" s="675"/>
      <c r="G7" s="716"/>
      <c r="H7" s="718"/>
    </row>
    <row r="8" spans="1:8" ht="12.75" customHeight="1" x14ac:dyDescent="0.25">
      <c r="A8" s="92"/>
      <c r="B8" s="711"/>
      <c r="C8" s="714"/>
      <c r="D8" s="93"/>
      <c r="E8" s="93"/>
      <c r="F8" s="675"/>
      <c r="G8" s="716"/>
      <c r="H8" s="419"/>
    </row>
    <row r="9" spans="1:8" ht="15.75" x14ac:dyDescent="0.25">
      <c r="A9" s="92"/>
      <c r="B9" s="719" t="s">
        <v>42</v>
      </c>
      <c r="C9" s="719"/>
      <c r="D9" s="18"/>
      <c r="E9" s="93"/>
      <c r="F9" s="675" t="s">
        <v>12</v>
      </c>
      <c r="G9" s="716"/>
      <c r="H9" s="420"/>
    </row>
    <row r="10" spans="1:8" ht="15.75" x14ac:dyDescent="0.25">
      <c r="A10" s="92" t="s">
        <v>43</v>
      </c>
      <c r="B10" s="694" t="s">
        <v>129</v>
      </c>
      <c r="C10" s="694"/>
      <c r="D10" s="18">
        <v>14451020</v>
      </c>
      <c r="E10" s="94" t="s">
        <v>43</v>
      </c>
      <c r="F10" s="666" t="s">
        <v>13</v>
      </c>
      <c r="G10" s="720"/>
      <c r="H10" s="421">
        <v>136778464</v>
      </c>
    </row>
    <row r="11" spans="1:8" ht="15.75" x14ac:dyDescent="0.25">
      <c r="A11" s="92" t="s">
        <v>45</v>
      </c>
      <c r="B11" s="694" t="s">
        <v>46</v>
      </c>
      <c r="C11" s="694"/>
      <c r="D11" s="18">
        <v>40830000</v>
      </c>
      <c r="E11" s="94" t="s">
        <v>45</v>
      </c>
      <c r="F11" s="666" t="s">
        <v>14</v>
      </c>
      <c r="G11" s="720"/>
      <c r="H11" s="421">
        <v>27499244</v>
      </c>
    </row>
    <row r="12" spans="1:8" ht="15.75" x14ac:dyDescent="0.25">
      <c r="A12" s="92" t="s">
        <v>53</v>
      </c>
      <c r="B12" s="694" t="s">
        <v>54</v>
      </c>
      <c r="C12" s="694"/>
      <c r="D12" s="18">
        <v>152161604</v>
      </c>
      <c r="E12" s="94" t="s">
        <v>53</v>
      </c>
      <c r="F12" s="666" t="s">
        <v>15</v>
      </c>
      <c r="G12" s="720"/>
      <c r="H12" s="421">
        <v>152267444</v>
      </c>
    </row>
    <row r="13" spans="1:8" ht="15.75" x14ac:dyDescent="0.25">
      <c r="A13" s="92" t="s">
        <v>16</v>
      </c>
      <c r="B13" s="694" t="s">
        <v>61</v>
      </c>
      <c r="C13" s="694"/>
      <c r="D13" s="18">
        <v>14483373</v>
      </c>
      <c r="E13" s="94" t="s">
        <v>16</v>
      </c>
      <c r="F13" s="685" t="s">
        <v>19</v>
      </c>
      <c r="G13" s="721"/>
      <c r="H13" s="422">
        <f>SUM(H14:H18)-H16</f>
        <v>18280262</v>
      </c>
    </row>
    <row r="14" spans="1:8" ht="15.75" x14ac:dyDescent="0.25">
      <c r="A14" s="95"/>
      <c r="B14" s="722"/>
      <c r="C14" s="722"/>
      <c r="D14" s="96"/>
      <c r="E14" s="94" t="s">
        <v>20</v>
      </c>
      <c r="F14" s="686" t="s">
        <v>130</v>
      </c>
      <c r="G14" s="723"/>
      <c r="H14" s="422"/>
    </row>
    <row r="15" spans="1:8" ht="15.75" x14ac:dyDescent="0.25">
      <c r="A15" s="95"/>
      <c r="B15" s="722"/>
      <c r="C15" s="722"/>
      <c r="D15" s="96"/>
      <c r="E15" s="94" t="s">
        <v>21</v>
      </c>
      <c r="F15" s="686" t="s">
        <v>131</v>
      </c>
      <c r="G15" s="723"/>
      <c r="H15" s="421">
        <v>8161962</v>
      </c>
    </row>
    <row r="16" spans="1:8" ht="15.75" customHeight="1" x14ac:dyDescent="0.25">
      <c r="A16" s="95"/>
      <c r="B16" s="722"/>
      <c r="C16" s="722"/>
      <c r="D16" s="96"/>
      <c r="E16" s="94" t="s">
        <v>23</v>
      </c>
      <c r="F16" s="689"/>
      <c r="G16" s="724"/>
      <c r="H16" s="422"/>
    </row>
    <row r="17" spans="1:8" ht="16.5" x14ac:dyDescent="0.25">
      <c r="A17" s="97"/>
      <c r="B17" s="725"/>
      <c r="C17" s="725"/>
      <c r="D17" s="98"/>
      <c r="E17" s="99" t="s">
        <v>25</v>
      </c>
      <c r="F17" s="726" t="s">
        <v>133</v>
      </c>
      <c r="G17" s="727"/>
      <c r="H17" s="423"/>
    </row>
    <row r="18" spans="1:8" ht="15.75" x14ac:dyDescent="0.25">
      <c r="A18" s="100"/>
      <c r="B18" s="101"/>
      <c r="C18" s="101"/>
      <c r="D18" s="102"/>
      <c r="E18" s="103" t="s">
        <v>18</v>
      </c>
      <c r="F18" s="689" t="s">
        <v>24</v>
      </c>
      <c r="G18" s="728"/>
      <c r="H18" s="423">
        <v>10118300</v>
      </c>
    </row>
    <row r="19" spans="1:8" ht="16.5" customHeight="1" thickBot="1" x14ac:dyDescent="0.3">
      <c r="A19" s="100"/>
      <c r="B19" s="101"/>
      <c r="C19" s="101"/>
      <c r="D19" s="102"/>
      <c r="E19" s="104"/>
      <c r="F19" s="729" t="s">
        <v>26</v>
      </c>
      <c r="G19" s="730"/>
      <c r="H19" s="424">
        <v>30175954</v>
      </c>
    </row>
    <row r="20" spans="1:8" s="109" customFormat="1" ht="15.75" thickBot="1" x14ac:dyDescent="0.3">
      <c r="A20" s="105" t="s">
        <v>40</v>
      </c>
      <c r="B20" s="731" t="s">
        <v>134</v>
      </c>
      <c r="C20" s="731"/>
      <c r="D20" s="106">
        <f>SUM(D10:D18)</f>
        <v>221925997</v>
      </c>
      <c r="E20" s="107" t="s">
        <v>40</v>
      </c>
      <c r="F20" s="108" t="s">
        <v>28</v>
      </c>
      <c r="G20" s="416"/>
      <c r="H20" s="425">
        <f>+H10+H11+H12+H13+H19</f>
        <v>365001368</v>
      </c>
    </row>
    <row r="21" spans="1:8" s="109" customFormat="1" x14ac:dyDescent="0.25">
      <c r="A21" s="110" t="s">
        <v>1</v>
      </c>
      <c r="B21" s="732" t="s">
        <v>135</v>
      </c>
      <c r="C21" s="733"/>
      <c r="D21" s="111">
        <f>D20-H20</f>
        <v>-143075371</v>
      </c>
      <c r="E21" s="112"/>
      <c r="F21" s="113"/>
      <c r="G21" s="417"/>
      <c r="H21" s="426"/>
    </row>
    <row r="22" spans="1:8" ht="15.75" x14ac:dyDescent="0.25">
      <c r="A22" s="114" t="s">
        <v>18</v>
      </c>
      <c r="B22" s="734" t="s">
        <v>71</v>
      </c>
      <c r="C22" s="734"/>
      <c r="D22" s="115">
        <v>7867898</v>
      </c>
      <c r="E22" s="116" t="s">
        <v>29</v>
      </c>
      <c r="F22" s="735" t="s">
        <v>136</v>
      </c>
      <c r="G22" s="736"/>
      <c r="H22" s="427">
        <v>399314520</v>
      </c>
    </row>
    <row r="23" spans="1:8" ht="15.75" x14ac:dyDescent="0.25">
      <c r="A23" s="92" t="s">
        <v>29</v>
      </c>
      <c r="B23" s="694" t="s">
        <v>76</v>
      </c>
      <c r="C23" s="694"/>
      <c r="D23" s="18"/>
      <c r="E23" s="94" t="s">
        <v>31</v>
      </c>
      <c r="F23" s="666" t="s">
        <v>32</v>
      </c>
      <c r="G23" s="720"/>
      <c r="H23" s="422">
        <v>850000</v>
      </c>
    </row>
    <row r="24" spans="1:8" ht="16.5" thickBot="1" x14ac:dyDescent="0.3">
      <c r="A24" s="117" t="s">
        <v>31</v>
      </c>
      <c r="B24" s="739" t="s">
        <v>81</v>
      </c>
      <c r="C24" s="739"/>
      <c r="D24" s="118">
        <v>269478267</v>
      </c>
      <c r="E24" s="99" t="s">
        <v>33</v>
      </c>
      <c r="F24" s="740" t="s">
        <v>137</v>
      </c>
      <c r="G24" s="741"/>
      <c r="H24" s="423"/>
    </row>
    <row r="25" spans="1:8" s="109" customFormat="1" ht="15.75" thickBot="1" x14ac:dyDescent="0.3">
      <c r="A25" s="105" t="s">
        <v>91</v>
      </c>
      <c r="B25" s="731" t="s">
        <v>88</v>
      </c>
      <c r="C25" s="731"/>
      <c r="D25" s="106">
        <f>SUM(D22:D24)</f>
        <v>277346165</v>
      </c>
      <c r="E25" s="107" t="s">
        <v>91</v>
      </c>
      <c r="F25" s="742" t="s">
        <v>138</v>
      </c>
      <c r="G25" s="743"/>
      <c r="H25" s="428">
        <f>SUM(H22:H24)</f>
        <v>400164520</v>
      </c>
    </row>
    <row r="26" spans="1:8" s="109" customFormat="1" x14ac:dyDescent="0.25">
      <c r="A26" s="110" t="s">
        <v>35</v>
      </c>
      <c r="B26" s="732" t="s">
        <v>139</v>
      </c>
      <c r="C26" s="733"/>
      <c r="D26" s="111">
        <f>+D25-H25</f>
        <v>-122818355</v>
      </c>
      <c r="E26" s="112"/>
      <c r="F26" s="119" t="s">
        <v>632</v>
      </c>
      <c r="G26" s="418"/>
      <c r="H26" s="429">
        <v>1136830</v>
      </c>
    </row>
    <row r="27" spans="1:8" ht="15.75" x14ac:dyDescent="0.25">
      <c r="A27" s="114" t="s">
        <v>33</v>
      </c>
      <c r="B27" s="734" t="s">
        <v>89</v>
      </c>
      <c r="C27" s="734"/>
      <c r="D27" s="115"/>
      <c r="E27" s="120"/>
      <c r="F27" s="737"/>
      <c r="G27" s="738"/>
      <c r="H27" s="430"/>
    </row>
    <row r="28" spans="1:8" ht="15.75" x14ac:dyDescent="0.25">
      <c r="A28" s="92" t="s">
        <v>140</v>
      </c>
      <c r="B28" s="694" t="s">
        <v>95</v>
      </c>
      <c r="C28" s="694"/>
      <c r="D28" s="18">
        <v>267030556</v>
      </c>
      <c r="E28" s="121"/>
      <c r="F28" s="744"/>
      <c r="G28" s="745"/>
      <c r="H28" s="430"/>
    </row>
    <row r="29" spans="1:8" ht="15.75" x14ac:dyDescent="0.25">
      <c r="A29" s="92" t="s">
        <v>141</v>
      </c>
      <c r="B29" s="694" t="s">
        <v>101</v>
      </c>
      <c r="C29" s="694"/>
      <c r="D29" s="18"/>
      <c r="E29" s="120"/>
      <c r="F29" s="737"/>
      <c r="G29" s="738"/>
      <c r="H29" s="430"/>
    </row>
    <row r="30" spans="1:8" ht="15.75" x14ac:dyDescent="0.25">
      <c r="A30" s="92" t="s">
        <v>142</v>
      </c>
      <c r="B30" s="694" t="s">
        <v>143</v>
      </c>
      <c r="C30" s="694"/>
      <c r="D30" s="18"/>
      <c r="E30" s="120"/>
      <c r="F30" s="738"/>
      <c r="G30" s="746"/>
      <c r="H30" s="430"/>
    </row>
    <row r="31" spans="1:8" ht="15.75" x14ac:dyDescent="0.25">
      <c r="A31" s="122" t="s">
        <v>98</v>
      </c>
      <c r="B31" s="747" t="s">
        <v>144</v>
      </c>
      <c r="C31" s="747"/>
      <c r="D31" s="123">
        <f>SUM(D27:D30)</f>
        <v>267030556</v>
      </c>
      <c r="E31" s="124" t="s">
        <v>108</v>
      </c>
      <c r="F31" s="748" t="s">
        <v>145</v>
      </c>
      <c r="G31" s="749"/>
      <c r="H31" s="431"/>
    </row>
    <row r="32" spans="1:8" ht="18.75" x14ac:dyDescent="0.3">
      <c r="A32" s="92"/>
      <c r="B32" s="694" t="s">
        <v>113</v>
      </c>
      <c r="C32" s="694"/>
      <c r="D32" s="72"/>
      <c r="E32" s="121"/>
      <c r="F32" s="750"/>
      <c r="G32" s="751"/>
      <c r="H32" s="432"/>
    </row>
    <row r="33" spans="1:8" ht="18.75" x14ac:dyDescent="0.3">
      <c r="A33" s="122" t="s">
        <v>108</v>
      </c>
      <c r="B33" s="704" t="s">
        <v>146</v>
      </c>
      <c r="C33" s="704"/>
      <c r="D33" s="72">
        <f>+D20+D25+D31+D32</f>
        <v>766302718</v>
      </c>
      <c r="E33" s="126" t="s">
        <v>110</v>
      </c>
      <c r="F33" s="700" t="s">
        <v>147</v>
      </c>
      <c r="G33" s="753"/>
      <c r="H33" s="433">
        <f>+H20+H25+H29+H31+H27+H26</f>
        <v>766302718</v>
      </c>
    </row>
    <row r="34" spans="1:8" ht="19.5" thickBot="1" x14ac:dyDescent="0.35">
      <c r="A34" s="127"/>
      <c r="B34" s="754" t="s">
        <v>148</v>
      </c>
      <c r="C34" s="754"/>
      <c r="D34" s="128"/>
      <c r="E34" s="129"/>
      <c r="F34" s="755"/>
      <c r="G34" s="756"/>
      <c r="H34" s="434"/>
    </row>
    <row r="35" spans="1:8" ht="15.75" x14ac:dyDescent="0.25">
      <c r="B35" s="130"/>
      <c r="C35" s="130"/>
      <c r="D35" s="130"/>
      <c r="E35" s="130"/>
      <c r="F35" s="752"/>
      <c r="G35" s="752"/>
      <c r="H35" s="131"/>
    </row>
    <row r="36" spans="1:8" ht="15.75" x14ac:dyDescent="0.25">
      <c r="B36" s="130"/>
      <c r="C36" s="130"/>
      <c r="D36" s="132"/>
      <c r="E36" s="130"/>
      <c r="F36" s="752"/>
      <c r="G36" s="752"/>
      <c r="H36" s="131"/>
    </row>
    <row r="37" spans="1:8" ht="15.75" x14ac:dyDescent="0.25">
      <c r="B37" s="130"/>
      <c r="C37" s="130"/>
      <c r="D37" s="130"/>
      <c r="E37" s="130"/>
      <c r="F37" s="752"/>
      <c r="G37" s="752"/>
      <c r="H37" s="131"/>
    </row>
    <row r="38" spans="1:8" ht="15.75" x14ac:dyDescent="0.25">
      <c r="B38" s="130"/>
      <c r="C38" s="130"/>
      <c r="D38" s="130"/>
      <c r="E38" s="130"/>
      <c r="F38" s="752"/>
      <c r="G38" s="752"/>
      <c r="H38" s="131"/>
    </row>
    <row r="39" spans="1:8" ht="15.75" x14ac:dyDescent="0.25">
      <c r="B39" s="130"/>
      <c r="C39" s="130"/>
      <c r="D39" s="130"/>
      <c r="E39" s="130"/>
      <c r="F39" s="752"/>
      <c r="G39" s="752"/>
      <c r="H39" s="131"/>
    </row>
    <row r="40" spans="1:8" ht="15.75" x14ac:dyDescent="0.25">
      <c r="B40" s="130"/>
      <c r="C40" s="130"/>
      <c r="D40" s="130"/>
      <c r="E40" s="130"/>
      <c r="F40" s="752"/>
      <c r="G40" s="752"/>
      <c r="H40" s="131"/>
    </row>
    <row r="41" spans="1:8" ht="15.75" x14ac:dyDescent="0.25">
      <c r="B41" s="130"/>
      <c r="C41" s="130"/>
      <c r="D41" s="130"/>
      <c r="E41" s="130"/>
      <c r="F41" s="752"/>
      <c r="G41" s="752"/>
      <c r="H41" s="131"/>
    </row>
    <row r="42" spans="1:8" ht="15.75" x14ac:dyDescent="0.25">
      <c r="B42" s="130"/>
      <c r="C42" s="130"/>
      <c r="D42" s="130"/>
      <c r="E42" s="130"/>
      <c r="F42" s="752"/>
      <c r="G42" s="752"/>
      <c r="H42" s="131"/>
    </row>
    <row r="43" spans="1:8" ht="15.75" x14ac:dyDescent="0.25">
      <c r="B43" s="130"/>
      <c r="C43" s="130"/>
      <c r="D43" s="130"/>
      <c r="E43" s="130"/>
      <c r="F43" s="752"/>
      <c r="G43" s="752"/>
      <c r="H43" s="131"/>
    </row>
    <row r="44" spans="1:8" ht="15.75" x14ac:dyDescent="0.25">
      <c r="B44" s="130"/>
      <c r="C44" s="130"/>
      <c r="D44" s="130"/>
      <c r="E44" s="130"/>
      <c r="F44" s="752"/>
      <c r="G44" s="752"/>
      <c r="H44" s="131"/>
    </row>
    <row r="45" spans="1:8" ht="15.75" x14ac:dyDescent="0.25">
      <c r="B45" s="130"/>
      <c r="C45" s="130"/>
      <c r="D45" s="130"/>
      <c r="E45" s="130"/>
      <c r="F45" s="752"/>
      <c r="G45" s="752"/>
      <c r="H45" s="131"/>
    </row>
    <row r="46" spans="1:8" ht="15.75" x14ac:dyDescent="0.25">
      <c r="B46" s="130"/>
      <c r="C46" s="130"/>
      <c r="D46" s="130"/>
      <c r="E46" s="130"/>
      <c r="F46" s="752"/>
      <c r="G46" s="752"/>
      <c r="H46" s="131"/>
    </row>
    <row r="47" spans="1:8" ht="15.75" x14ac:dyDescent="0.25">
      <c r="B47" s="130"/>
      <c r="C47" s="130"/>
      <c r="D47" s="130"/>
      <c r="E47" s="130"/>
      <c r="F47" s="752"/>
      <c r="G47" s="752"/>
      <c r="H47" s="131"/>
    </row>
    <row r="48" spans="1:8" ht="18.75" x14ac:dyDescent="0.3">
      <c r="B48" s="130"/>
      <c r="C48" s="130"/>
      <c r="D48" s="130"/>
      <c r="E48" s="130"/>
      <c r="F48" s="752"/>
      <c r="G48" s="752"/>
      <c r="H48" s="133"/>
    </row>
    <row r="49" spans="2:8" ht="18.75" x14ac:dyDescent="0.3">
      <c r="B49" s="134"/>
      <c r="C49" s="134"/>
      <c r="D49" s="134"/>
      <c r="E49" s="134"/>
      <c r="F49" s="757"/>
      <c r="G49" s="757"/>
      <c r="H49" s="133"/>
    </row>
    <row r="50" spans="2:8" ht="18.75" x14ac:dyDescent="0.3">
      <c r="B50" s="130"/>
      <c r="C50" s="130"/>
      <c r="D50" s="130"/>
      <c r="E50" s="130"/>
      <c r="F50" s="757"/>
      <c r="G50" s="757"/>
      <c r="H50" s="135"/>
    </row>
  </sheetData>
  <mergeCells count="71">
    <mergeCell ref="F49:G49"/>
    <mergeCell ref="F50:G50"/>
    <mergeCell ref="F43:G43"/>
    <mergeCell ref="F44:G44"/>
    <mergeCell ref="F45:G45"/>
    <mergeCell ref="F46:G46"/>
    <mergeCell ref="F47:G47"/>
    <mergeCell ref="F48:G48"/>
    <mergeCell ref="F42:G42"/>
    <mergeCell ref="B33:C33"/>
    <mergeCell ref="F33:G33"/>
    <mergeCell ref="B34:C34"/>
    <mergeCell ref="F34:G34"/>
    <mergeCell ref="F35:G35"/>
    <mergeCell ref="F36:G36"/>
    <mergeCell ref="F37:G37"/>
    <mergeCell ref="F38:G38"/>
    <mergeCell ref="F39:G39"/>
    <mergeCell ref="F40:G40"/>
    <mergeCell ref="F41:G41"/>
    <mergeCell ref="B30:C30"/>
    <mergeCell ref="F30:G30"/>
    <mergeCell ref="B31:C31"/>
    <mergeCell ref="F31:G31"/>
    <mergeCell ref="B32:C32"/>
    <mergeCell ref="F32:G32"/>
    <mergeCell ref="B29:C29"/>
    <mergeCell ref="F29:G29"/>
    <mergeCell ref="B23:C23"/>
    <mergeCell ref="F23:G23"/>
    <mergeCell ref="B24:C24"/>
    <mergeCell ref="F24:G24"/>
    <mergeCell ref="B25:C25"/>
    <mergeCell ref="F25:G25"/>
    <mergeCell ref="B26:C26"/>
    <mergeCell ref="B27:C27"/>
    <mergeCell ref="F27:G27"/>
    <mergeCell ref="B28:C28"/>
    <mergeCell ref="F28:G28"/>
    <mergeCell ref="F18:G18"/>
    <mergeCell ref="F19:G19"/>
    <mergeCell ref="B20:C20"/>
    <mergeCell ref="B21:C21"/>
    <mergeCell ref="B22:C22"/>
    <mergeCell ref="F22:G22"/>
    <mergeCell ref="B15:C15"/>
    <mergeCell ref="F15:G15"/>
    <mergeCell ref="B16:C16"/>
    <mergeCell ref="F16:G16"/>
    <mergeCell ref="B17:C17"/>
    <mergeCell ref="F17:G17"/>
    <mergeCell ref="B12:C12"/>
    <mergeCell ref="F12:G12"/>
    <mergeCell ref="B13:C13"/>
    <mergeCell ref="F13:G13"/>
    <mergeCell ref="B14:C14"/>
    <mergeCell ref="F14:G14"/>
    <mergeCell ref="B9:C9"/>
    <mergeCell ref="F9:G9"/>
    <mergeCell ref="B10:C10"/>
    <mergeCell ref="F10:G10"/>
    <mergeCell ref="B11:C11"/>
    <mergeCell ref="F11:G11"/>
    <mergeCell ref="B1:H1"/>
    <mergeCell ref="B2:H2"/>
    <mergeCell ref="B3:H3"/>
    <mergeCell ref="B4:H4"/>
    <mergeCell ref="B6:B8"/>
    <mergeCell ref="C6:C8"/>
    <mergeCell ref="F6:G8"/>
    <mergeCell ref="H6:H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opLeftCell="A58" workbookViewId="0">
      <selection activeCell="A55" sqref="A55:XFD55"/>
    </sheetView>
  </sheetViews>
  <sheetFormatPr defaultRowHeight="15" x14ac:dyDescent="0.25"/>
  <cols>
    <col min="1" max="1" width="70.85546875" style="195" bestFit="1" customWidth="1"/>
    <col min="2" max="2" width="22.28515625" style="138" bestFit="1" customWidth="1"/>
    <col min="3" max="3" width="14" style="138" customWidth="1"/>
    <col min="4" max="4" width="15.42578125" style="138" customWidth="1"/>
    <col min="5" max="5" width="22.28515625" style="138" bestFit="1" customWidth="1"/>
    <col min="6" max="6" width="11.5703125" style="138" bestFit="1" customWidth="1"/>
    <col min="7" max="7" width="17.5703125" style="139" customWidth="1"/>
    <col min="8" max="8" width="6.5703125" style="139" customWidth="1"/>
    <col min="9" max="9" width="15.7109375" style="139" bestFit="1" customWidth="1"/>
    <col min="11" max="11" width="14.28515625" customWidth="1"/>
  </cols>
  <sheetData>
    <row r="1" spans="1:11" ht="18.75" x14ac:dyDescent="0.25">
      <c r="A1" s="758" t="s">
        <v>633</v>
      </c>
      <c r="B1" s="758"/>
      <c r="C1" s="758"/>
      <c r="D1" s="758"/>
      <c r="E1" s="758"/>
    </row>
    <row r="2" spans="1:11" ht="18.75" x14ac:dyDescent="0.25">
      <c r="A2" s="758" t="s">
        <v>3</v>
      </c>
      <c r="B2" s="759"/>
      <c r="C2" s="759"/>
      <c r="D2" s="759"/>
      <c r="E2" s="759"/>
      <c r="F2" s="138" t="s">
        <v>149</v>
      </c>
    </row>
    <row r="3" spans="1:11" ht="18.75" x14ac:dyDescent="0.25">
      <c r="A3" s="758" t="s">
        <v>150</v>
      </c>
      <c r="B3" s="759"/>
      <c r="C3" s="759"/>
      <c r="D3" s="759"/>
      <c r="E3" s="759"/>
      <c r="F3" s="140" t="s">
        <v>151</v>
      </c>
    </row>
    <row r="4" spans="1:11" ht="19.5" thickBot="1" x14ac:dyDescent="0.3">
      <c r="A4" s="510"/>
      <c r="B4" s="511"/>
      <c r="C4" s="511"/>
      <c r="D4" s="511"/>
      <c r="E4" s="511"/>
      <c r="F4" s="140"/>
    </row>
    <row r="5" spans="1:11" ht="36.75" thickBot="1" x14ac:dyDescent="0.3">
      <c r="A5" s="141" t="s">
        <v>152</v>
      </c>
      <c r="B5" s="142" t="s">
        <v>153</v>
      </c>
      <c r="C5" s="142" t="s">
        <v>154</v>
      </c>
      <c r="D5" s="142" t="s">
        <v>634</v>
      </c>
      <c r="E5" s="142" t="s">
        <v>635</v>
      </c>
      <c r="F5" s="143" t="s">
        <v>636</v>
      </c>
    </row>
    <row r="6" spans="1:11" ht="15.75" thickBot="1" x14ac:dyDescent="0.3">
      <c r="A6" s="144">
        <v>1</v>
      </c>
      <c r="B6" s="145">
        <v>2</v>
      </c>
      <c r="C6" s="145">
        <v>3</v>
      </c>
      <c r="D6" s="145">
        <v>4</v>
      </c>
      <c r="E6" s="145">
        <v>5</v>
      </c>
      <c r="F6" s="146">
        <v>7</v>
      </c>
    </row>
    <row r="7" spans="1:11" s="151" customFormat="1" ht="20.25" customHeight="1" thickBot="1" x14ac:dyDescent="0.3">
      <c r="A7" s="147" t="s">
        <v>155</v>
      </c>
      <c r="B7" s="148">
        <f>B8+B9</f>
        <v>850000</v>
      </c>
      <c r="C7" s="148"/>
      <c r="D7" s="148">
        <f t="shared" ref="D7:E7" si="0">D8+D9</f>
        <v>0</v>
      </c>
      <c r="E7" s="148">
        <f t="shared" si="0"/>
        <v>850000</v>
      </c>
      <c r="F7" s="149"/>
      <c r="G7" s="150"/>
      <c r="H7" s="150"/>
      <c r="I7" s="150"/>
    </row>
    <row r="8" spans="1:11" ht="20.25" customHeight="1" x14ac:dyDescent="0.25">
      <c r="A8" s="452" t="s">
        <v>637</v>
      </c>
      <c r="B8" s="152">
        <v>700000</v>
      </c>
      <c r="C8" s="153">
        <v>2019</v>
      </c>
      <c r="D8" s="152"/>
      <c r="E8" s="152">
        <v>700000</v>
      </c>
      <c r="F8" s="154"/>
      <c r="K8" s="155"/>
    </row>
    <row r="9" spans="1:11" ht="20.25" customHeight="1" thickBot="1" x14ac:dyDescent="0.3">
      <c r="A9" s="506" t="s">
        <v>638</v>
      </c>
      <c r="B9" s="156">
        <v>150000</v>
      </c>
      <c r="C9" s="157">
        <v>2019</v>
      </c>
      <c r="D9" s="156"/>
      <c r="E9" s="156">
        <v>150000</v>
      </c>
      <c r="F9" s="158"/>
      <c r="K9" s="155"/>
    </row>
    <row r="10" spans="1:11" ht="20.25" customHeight="1" thickBot="1" x14ac:dyDescent="0.3">
      <c r="A10" s="159" t="s">
        <v>156</v>
      </c>
      <c r="B10" s="160">
        <f>B22+B27+B41+B47+B53+B65</f>
        <v>399314520</v>
      </c>
      <c r="C10" s="160">
        <f>C22+C27+C41+C47+C53+C65</f>
        <v>0</v>
      </c>
      <c r="D10" s="160">
        <f>D22+D27+D41+D47+D53+D65</f>
        <v>0</v>
      </c>
      <c r="E10" s="160">
        <f>E22+E27+E41+E47+E53+E65</f>
        <v>399314520</v>
      </c>
      <c r="F10" s="161"/>
      <c r="G10" s="162"/>
      <c r="H10" s="162"/>
      <c r="I10" s="162"/>
    </row>
    <row r="11" spans="1:11" ht="20.25" customHeight="1" thickBot="1" x14ac:dyDescent="0.3">
      <c r="A11" s="163" t="s">
        <v>157</v>
      </c>
      <c r="B11" s="164">
        <v>52500</v>
      </c>
      <c r="C11" s="157">
        <v>2019</v>
      </c>
      <c r="D11" s="165"/>
      <c r="E11" s="164">
        <v>52500</v>
      </c>
      <c r="F11" s="166"/>
      <c r="G11" s="162"/>
      <c r="H11" s="162"/>
      <c r="I11" s="162"/>
    </row>
    <row r="12" spans="1:11" ht="20.25" customHeight="1" thickBot="1" x14ac:dyDescent="0.3">
      <c r="A12" s="163" t="s">
        <v>639</v>
      </c>
      <c r="B12" s="167">
        <v>101600</v>
      </c>
      <c r="C12" s="157">
        <v>2019</v>
      </c>
      <c r="D12" s="169"/>
      <c r="E12" s="167">
        <v>101600</v>
      </c>
      <c r="F12" s="154"/>
      <c r="G12" s="162"/>
      <c r="H12" s="162"/>
      <c r="I12" s="162"/>
    </row>
    <row r="13" spans="1:11" ht="20.25" customHeight="1" thickBot="1" x14ac:dyDescent="0.3">
      <c r="A13" s="163" t="s">
        <v>158</v>
      </c>
      <c r="B13" s="167">
        <v>25400</v>
      </c>
      <c r="C13" s="157">
        <v>2019</v>
      </c>
      <c r="D13" s="169"/>
      <c r="E13" s="167">
        <v>25400</v>
      </c>
      <c r="F13" s="154"/>
      <c r="G13" s="162"/>
      <c r="H13" s="162"/>
      <c r="I13" s="162"/>
    </row>
    <row r="14" spans="1:11" ht="20.25" customHeight="1" thickBot="1" x14ac:dyDescent="0.3">
      <c r="A14" s="163" t="s">
        <v>159</v>
      </c>
      <c r="B14" s="167">
        <v>19050</v>
      </c>
      <c r="C14" s="157">
        <v>2019</v>
      </c>
      <c r="D14" s="169"/>
      <c r="E14" s="167">
        <v>19050</v>
      </c>
      <c r="F14" s="154"/>
      <c r="G14" s="162"/>
      <c r="H14" s="162"/>
      <c r="I14" s="162"/>
    </row>
    <row r="15" spans="1:11" ht="20.25" customHeight="1" thickBot="1" x14ac:dyDescent="0.3">
      <c r="A15" s="163" t="s">
        <v>160</v>
      </c>
      <c r="B15" s="167">
        <v>50800</v>
      </c>
      <c r="C15" s="157">
        <v>2019</v>
      </c>
      <c r="D15" s="169"/>
      <c r="E15" s="167">
        <v>50800</v>
      </c>
      <c r="F15" s="154"/>
      <c r="G15" s="162"/>
      <c r="H15" s="162"/>
      <c r="I15" s="162"/>
    </row>
    <row r="16" spans="1:11" ht="20.25" customHeight="1" thickBot="1" x14ac:dyDescent="0.3">
      <c r="A16" s="163" t="s">
        <v>640</v>
      </c>
      <c r="B16" s="167">
        <v>127000</v>
      </c>
      <c r="C16" s="157">
        <v>2019</v>
      </c>
      <c r="D16" s="169"/>
      <c r="E16" s="167">
        <v>127000</v>
      </c>
      <c r="F16" s="154"/>
      <c r="G16" s="162"/>
      <c r="H16" s="162"/>
      <c r="I16" s="162"/>
    </row>
    <row r="17" spans="1:11" ht="20.25" customHeight="1" thickBot="1" x14ac:dyDescent="0.3">
      <c r="A17" s="163" t="s">
        <v>161</v>
      </c>
      <c r="B17" s="167">
        <v>31750</v>
      </c>
      <c r="C17" s="157">
        <v>2019</v>
      </c>
      <c r="D17" s="169"/>
      <c r="E17" s="167">
        <v>31750</v>
      </c>
      <c r="F17" s="154"/>
      <c r="G17" s="162"/>
      <c r="H17" s="162"/>
      <c r="I17" s="162"/>
    </row>
    <row r="18" spans="1:11" ht="20.25" customHeight="1" thickBot="1" x14ac:dyDescent="0.3">
      <c r="A18" s="163" t="s">
        <v>162</v>
      </c>
      <c r="B18" s="167">
        <v>38100</v>
      </c>
      <c r="C18" s="157">
        <v>2019</v>
      </c>
      <c r="D18" s="169"/>
      <c r="E18" s="167">
        <v>38100</v>
      </c>
      <c r="F18" s="154"/>
      <c r="G18" s="162"/>
      <c r="H18" s="162"/>
      <c r="I18" s="162"/>
    </row>
    <row r="19" spans="1:11" ht="20.25" customHeight="1" thickBot="1" x14ac:dyDescent="0.3">
      <c r="A19" s="163" t="s">
        <v>163</v>
      </c>
      <c r="B19" s="167">
        <v>114300</v>
      </c>
      <c r="C19" s="157">
        <v>2019</v>
      </c>
      <c r="D19" s="169"/>
      <c r="E19" s="167">
        <v>114300</v>
      </c>
      <c r="F19" s="154"/>
      <c r="G19" s="162"/>
      <c r="H19" s="162"/>
      <c r="I19" s="162"/>
    </row>
    <row r="20" spans="1:11" ht="20.25" customHeight="1" thickBot="1" x14ac:dyDescent="0.3">
      <c r="A20" s="163" t="s">
        <v>164</v>
      </c>
      <c r="B20" s="167">
        <v>177800</v>
      </c>
      <c r="C20" s="157">
        <v>2019</v>
      </c>
      <c r="D20" s="169"/>
      <c r="E20" s="167">
        <v>177800</v>
      </c>
      <c r="F20" s="154"/>
      <c r="G20" s="162"/>
      <c r="H20" s="162"/>
      <c r="I20" s="162"/>
    </row>
    <row r="21" spans="1:11" ht="20.25" customHeight="1" thickBot="1" x14ac:dyDescent="0.3">
      <c r="A21" s="170" t="s">
        <v>165</v>
      </c>
      <c r="B21" s="171">
        <v>152400</v>
      </c>
      <c r="C21" s="157">
        <v>2019</v>
      </c>
      <c r="D21" s="173"/>
      <c r="E21" s="171">
        <v>152400</v>
      </c>
      <c r="F21" s="158"/>
      <c r="G21" s="162"/>
      <c r="H21" s="162"/>
      <c r="I21" s="162"/>
    </row>
    <row r="22" spans="1:11" ht="20.25" customHeight="1" thickBot="1" x14ac:dyDescent="0.3">
      <c r="A22" s="174" t="s">
        <v>166</v>
      </c>
      <c r="B22" s="175">
        <f>B11+B12+B13+B14+B16+B15+B17+B18+B19+B20+B21</f>
        <v>890700</v>
      </c>
      <c r="C22" s="175"/>
      <c r="D22" s="175">
        <f t="shared" ref="D22:E22" si="1">D11+D12+D13+D14+D16+D15+D17+D18+D19+D20+D21</f>
        <v>0</v>
      </c>
      <c r="E22" s="175">
        <f t="shared" si="1"/>
        <v>890700</v>
      </c>
      <c r="F22" s="161"/>
      <c r="G22" s="162"/>
      <c r="H22" s="162"/>
      <c r="I22" s="162"/>
    </row>
    <row r="23" spans="1:11" ht="20.25" customHeight="1" thickBot="1" x14ac:dyDescent="0.3">
      <c r="A23" s="176" t="s">
        <v>167</v>
      </c>
      <c r="B23" s="165">
        <v>63500</v>
      </c>
      <c r="C23" s="157">
        <v>2019</v>
      </c>
      <c r="D23" s="177"/>
      <c r="E23" s="178">
        <v>63500</v>
      </c>
      <c r="F23" s="166"/>
      <c r="G23" s="162"/>
      <c r="H23" s="162"/>
      <c r="I23" s="162"/>
    </row>
    <row r="24" spans="1:11" ht="20.25" customHeight="1" thickBot="1" x14ac:dyDescent="0.3">
      <c r="A24" s="163" t="s">
        <v>168</v>
      </c>
      <c r="B24" s="169">
        <v>25400</v>
      </c>
      <c r="C24" s="157">
        <v>2019</v>
      </c>
      <c r="D24" s="179"/>
      <c r="E24" s="180">
        <v>25400</v>
      </c>
      <c r="F24" s="154"/>
      <c r="G24" s="162"/>
      <c r="H24" s="162"/>
      <c r="I24" s="162"/>
    </row>
    <row r="25" spans="1:11" ht="20.25" customHeight="1" thickBot="1" x14ac:dyDescent="0.3">
      <c r="A25" s="163" t="s">
        <v>158</v>
      </c>
      <c r="B25" s="169">
        <v>15240</v>
      </c>
      <c r="C25" s="157">
        <v>2019</v>
      </c>
      <c r="D25" s="179"/>
      <c r="E25" s="180">
        <v>15240</v>
      </c>
      <c r="F25" s="154"/>
      <c r="G25" s="162"/>
      <c r="H25" s="162"/>
      <c r="I25" s="162"/>
    </row>
    <row r="26" spans="1:11" ht="20.25" customHeight="1" thickBot="1" x14ac:dyDescent="0.3">
      <c r="A26" s="163" t="s">
        <v>169</v>
      </c>
      <c r="B26" s="169">
        <v>63500</v>
      </c>
      <c r="C26" s="157">
        <v>2019</v>
      </c>
      <c r="D26" s="179"/>
      <c r="E26" s="180">
        <v>63500</v>
      </c>
      <c r="F26" s="154"/>
      <c r="G26" s="162"/>
      <c r="H26" s="162"/>
      <c r="I26" s="162"/>
    </row>
    <row r="27" spans="1:11" ht="20.25" customHeight="1" thickBot="1" x14ac:dyDescent="0.3">
      <c r="A27" s="174" t="s">
        <v>170</v>
      </c>
      <c r="B27" s="175">
        <f>B23+B24+B25+B26</f>
        <v>167640</v>
      </c>
      <c r="C27" s="175"/>
      <c r="D27" s="175">
        <f t="shared" ref="D27:E27" si="2">D23+D24+D25+D26</f>
        <v>0</v>
      </c>
      <c r="E27" s="175">
        <f t="shared" si="2"/>
        <v>167640</v>
      </c>
      <c r="F27" s="161"/>
      <c r="K27" s="155"/>
    </row>
    <row r="28" spans="1:11" ht="20.25" customHeight="1" x14ac:dyDescent="0.25">
      <c r="A28" s="516"/>
      <c r="B28" s="517"/>
      <c r="C28" s="517"/>
      <c r="D28" s="517"/>
      <c r="E28" s="517"/>
      <c r="F28" s="518"/>
      <c r="K28" s="155"/>
    </row>
    <row r="29" spans="1:11" ht="20.25" customHeight="1" x14ac:dyDescent="0.25">
      <c r="A29" s="758" t="s">
        <v>633</v>
      </c>
      <c r="B29" s="758"/>
      <c r="C29" s="758"/>
      <c r="D29" s="758"/>
      <c r="E29" s="758"/>
      <c r="K29" s="155"/>
    </row>
    <row r="30" spans="1:11" ht="20.25" customHeight="1" x14ac:dyDescent="0.25">
      <c r="A30" s="758" t="s">
        <v>3</v>
      </c>
      <c r="B30" s="759"/>
      <c r="C30" s="759"/>
      <c r="D30" s="759"/>
      <c r="E30" s="759"/>
      <c r="F30" s="138" t="s">
        <v>149</v>
      </c>
      <c r="K30" s="155"/>
    </row>
    <row r="31" spans="1:11" ht="20.25" customHeight="1" thickBot="1" x14ac:dyDescent="0.3">
      <c r="A31" s="758" t="s">
        <v>150</v>
      </c>
      <c r="B31" s="759"/>
      <c r="C31" s="759"/>
      <c r="D31" s="759"/>
      <c r="E31" s="759"/>
      <c r="F31" s="140" t="s">
        <v>151</v>
      </c>
      <c r="K31" s="155"/>
    </row>
    <row r="32" spans="1:11" ht="36.75" thickBot="1" x14ac:dyDescent="0.3">
      <c r="A32" s="141" t="s">
        <v>152</v>
      </c>
      <c r="B32" s="142" t="s">
        <v>153</v>
      </c>
      <c r="C32" s="142" t="s">
        <v>154</v>
      </c>
      <c r="D32" s="142" t="s">
        <v>634</v>
      </c>
      <c r="E32" s="533" t="s">
        <v>635</v>
      </c>
      <c r="F32" s="539" t="s">
        <v>636</v>
      </c>
    </row>
    <row r="33" spans="1:11" ht="15.75" customHeight="1" thickBot="1" x14ac:dyDescent="0.3">
      <c r="A33" s="163" t="s">
        <v>171</v>
      </c>
      <c r="B33" s="169">
        <v>355600</v>
      </c>
      <c r="C33" s="168">
        <v>2019</v>
      </c>
      <c r="D33" s="179"/>
      <c r="E33" s="535">
        <v>355600</v>
      </c>
      <c r="F33" s="541">
        <v>0</v>
      </c>
      <c r="K33" s="155"/>
    </row>
    <row r="34" spans="1:11" ht="20.25" customHeight="1" thickBot="1" x14ac:dyDescent="0.3">
      <c r="A34" s="176" t="s">
        <v>641</v>
      </c>
      <c r="B34" s="165">
        <v>19050</v>
      </c>
      <c r="C34" s="168">
        <v>2019</v>
      </c>
      <c r="D34" s="177"/>
      <c r="E34" s="536">
        <v>19050</v>
      </c>
      <c r="F34" s="542"/>
      <c r="K34" s="155"/>
    </row>
    <row r="35" spans="1:11" ht="20.25" customHeight="1" thickBot="1" x14ac:dyDescent="0.3">
      <c r="A35" s="163" t="s">
        <v>642</v>
      </c>
      <c r="B35" s="169">
        <v>38100</v>
      </c>
      <c r="C35" s="168">
        <v>2019</v>
      </c>
      <c r="D35" s="179"/>
      <c r="E35" s="535">
        <v>38100</v>
      </c>
      <c r="F35" s="543"/>
      <c r="K35" s="155"/>
    </row>
    <row r="36" spans="1:11" ht="20.25" customHeight="1" thickBot="1" x14ac:dyDescent="0.3">
      <c r="A36" s="163" t="s">
        <v>643</v>
      </c>
      <c r="B36" s="169">
        <v>12700</v>
      </c>
      <c r="C36" s="168">
        <v>2019</v>
      </c>
      <c r="D36" s="179"/>
      <c r="E36" s="535">
        <v>12700</v>
      </c>
      <c r="F36" s="543"/>
      <c r="K36" s="155"/>
    </row>
    <row r="37" spans="1:11" ht="20.25" customHeight="1" thickBot="1" x14ac:dyDescent="0.3">
      <c r="A37" s="163" t="s">
        <v>644</v>
      </c>
      <c r="B37" s="169">
        <v>38100</v>
      </c>
      <c r="C37" s="168">
        <v>2019</v>
      </c>
      <c r="D37" s="179"/>
      <c r="E37" s="535">
        <v>38100</v>
      </c>
      <c r="F37" s="543"/>
      <c r="K37" s="155"/>
    </row>
    <row r="38" spans="1:11" ht="20.25" customHeight="1" thickBot="1" x14ac:dyDescent="0.3">
      <c r="A38" s="163" t="s">
        <v>645</v>
      </c>
      <c r="B38" s="169">
        <v>254000</v>
      </c>
      <c r="C38" s="168">
        <v>2019</v>
      </c>
      <c r="D38" s="179"/>
      <c r="E38" s="535">
        <v>254000</v>
      </c>
      <c r="F38" s="543"/>
      <c r="I38"/>
      <c r="J38" s="155"/>
    </row>
    <row r="39" spans="1:11" ht="20.25" customHeight="1" thickBot="1" x14ac:dyDescent="0.3">
      <c r="A39" s="163" t="s">
        <v>646</v>
      </c>
      <c r="B39" s="169">
        <v>38100</v>
      </c>
      <c r="C39" s="168">
        <v>2019</v>
      </c>
      <c r="D39" s="179"/>
      <c r="E39" s="535">
        <v>38100</v>
      </c>
      <c r="F39" s="543"/>
      <c r="I39"/>
      <c r="J39" s="155"/>
    </row>
    <row r="40" spans="1:11" ht="20.25" customHeight="1" thickBot="1" x14ac:dyDescent="0.3">
      <c r="A40" s="163" t="s">
        <v>647</v>
      </c>
      <c r="B40" s="169">
        <v>127000</v>
      </c>
      <c r="C40" s="168">
        <v>2019</v>
      </c>
      <c r="D40" s="179"/>
      <c r="E40" s="535">
        <v>127000</v>
      </c>
      <c r="F40" s="548"/>
      <c r="G40" s="182"/>
      <c r="I40"/>
      <c r="J40" s="155"/>
    </row>
    <row r="41" spans="1:11" s="531" customFormat="1" ht="20.25" customHeight="1" thickBot="1" x14ac:dyDescent="0.3">
      <c r="A41" s="187" t="s">
        <v>172</v>
      </c>
      <c r="B41" s="529">
        <f>SUM(B33:B40)</f>
        <v>882650</v>
      </c>
      <c r="C41" s="529"/>
      <c r="D41" s="529">
        <f>SUM(D33:D40)</f>
        <v>0</v>
      </c>
      <c r="E41" s="537">
        <f>SUM(E33:E40)</f>
        <v>882650</v>
      </c>
      <c r="F41" s="550"/>
      <c r="G41" s="530"/>
      <c r="H41" s="530"/>
      <c r="J41" s="532"/>
    </row>
    <row r="42" spans="1:11" ht="36" customHeight="1" x14ac:dyDescent="0.25">
      <c r="A42" s="551" t="s">
        <v>173</v>
      </c>
      <c r="B42" s="184">
        <v>198182422</v>
      </c>
      <c r="C42" s="552">
        <v>2019</v>
      </c>
      <c r="D42" s="301"/>
      <c r="E42" s="186">
        <v>198182422</v>
      </c>
      <c r="F42" s="542"/>
      <c r="I42"/>
      <c r="J42" s="155"/>
    </row>
    <row r="43" spans="1:11" ht="20.25" customHeight="1" thickBot="1" x14ac:dyDescent="0.3">
      <c r="A43" s="435" t="s">
        <v>651</v>
      </c>
      <c r="B43" s="436">
        <v>6636471</v>
      </c>
      <c r="C43" s="185">
        <v>2019</v>
      </c>
      <c r="D43" s="152"/>
      <c r="E43" s="441">
        <v>6636471</v>
      </c>
      <c r="F43" s="543"/>
      <c r="K43" s="155"/>
    </row>
    <row r="44" spans="1:11" ht="19.5" customHeight="1" thickBot="1" x14ac:dyDescent="0.3">
      <c r="A44" s="527" t="s">
        <v>652</v>
      </c>
      <c r="B44" s="438">
        <v>152463696</v>
      </c>
      <c r="C44" s="185">
        <v>2019</v>
      </c>
      <c r="D44" s="437"/>
      <c r="E44" s="524">
        <v>152463696</v>
      </c>
      <c r="F44" s="543"/>
      <c r="K44" s="155"/>
    </row>
    <row r="45" spans="1:11" ht="19.5" customHeight="1" thickBot="1" x14ac:dyDescent="0.3">
      <c r="A45" s="528" t="s">
        <v>653</v>
      </c>
      <c r="B45" s="438">
        <v>1763471</v>
      </c>
      <c r="C45" s="185">
        <v>2019</v>
      </c>
      <c r="D45" s="519"/>
      <c r="E45" s="524">
        <v>1763471</v>
      </c>
      <c r="F45" s="543"/>
      <c r="K45" s="155"/>
    </row>
    <row r="46" spans="1:11" ht="19.5" customHeight="1" thickBot="1" x14ac:dyDescent="0.3">
      <c r="A46" s="528" t="s">
        <v>654</v>
      </c>
      <c r="B46" s="438">
        <v>37709870</v>
      </c>
      <c r="C46" s="553">
        <v>2019</v>
      </c>
      <c r="D46" s="519"/>
      <c r="E46" s="524">
        <v>37709870</v>
      </c>
      <c r="F46" s="548"/>
      <c r="K46" s="155"/>
    </row>
    <row r="47" spans="1:11" ht="19.5" customHeight="1" thickBot="1" x14ac:dyDescent="0.3">
      <c r="A47" s="520" t="s">
        <v>655</v>
      </c>
      <c r="B47" s="521">
        <f>B42+B43+B44+B45+B46</f>
        <v>396755930</v>
      </c>
      <c r="C47" s="521"/>
      <c r="D47" s="521">
        <f t="shared" ref="D47:E47" si="3">D42+D43+D44+D45+D46</f>
        <v>0</v>
      </c>
      <c r="E47" s="538">
        <f t="shared" si="3"/>
        <v>396755930</v>
      </c>
      <c r="F47" s="541"/>
      <c r="K47" s="155"/>
    </row>
    <row r="48" spans="1:11" ht="19.5" customHeight="1" thickBot="1" x14ac:dyDescent="0.3">
      <c r="A48" s="528" t="s">
        <v>656</v>
      </c>
      <c r="B48" s="523">
        <v>50000</v>
      </c>
      <c r="C48" s="526">
        <v>2019</v>
      </c>
      <c r="D48" s="519"/>
      <c r="E48" s="523">
        <v>50000</v>
      </c>
      <c r="F48" s="542"/>
      <c r="K48" s="155"/>
    </row>
    <row r="49" spans="1:11" ht="19.5" customHeight="1" thickBot="1" x14ac:dyDescent="0.3">
      <c r="A49" s="528" t="s">
        <v>657</v>
      </c>
      <c r="B49" s="524">
        <v>26000</v>
      </c>
      <c r="C49" s="525">
        <v>2019</v>
      </c>
      <c r="D49" s="519"/>
      <c r="E49" s="524">
        <v>26000</v>
      </c>
      <c r="F49" s="543"/>
      <c r="K49" s="155"/>
    </row>
    <row r="50" spans="1:11" ht="19.5" customHeight="1" thickBot="1" x14ac:dyDescent="0.3">
      <c r="A50" s="528" t="s">
        <v>658</v>
      </c>
      <c r="B50" s="524">
        <v>20000</v>
      </c>
      <c r="C50" s="525">
        <v>2019</v>
      </c>
      <c r="D50" s="519"/>
      <c r="E50" s="524">
        <v>20000</v>
      </c>
      <c r="F50" s="543"/>
      <c r="K50" s="155"/>
    </row>
    <row r="51" spans="1:11" ht="19.5" customHeight="1" thickBot="1" x14ac:dyDescent="0.3">
      <c r="A51" s="528" t="s">
        <v>659</v>
      </c>
      <c r="B51" s="524">
        <v>100000</v>
      </c>
      <c r="C51" s="525">
        <v>2019</v>
      </c>
      <c r="D51" s="519"/>
      <c r="E51" s="524">
        <v>100000</v>
      </c>
      <c r="F51" s="543"/>
      <c r="K51" s="155"/>
    </row>
    <row r="52" spans="1:11" ht="19.5" customHeight="1" thickBot="1" x14ac:dyDescent="0.3">
      <c r="A52" s="528" t="s">
        <v>660</v>
      </c>
      <c r="B52" s="524">
        <v>45000</v>
      </c>
      <c r="C52" s="525">
        <v>2019</v>
      </c>
      <c r="D52" s="519"/>
      <c r="E52" s="524">
        <v>45000</v>
      </c>
      <c r="F52" s="548"/>
      <c r="K52" s="155"/>
    </row>
    <row r="53" spans="1:11" ht="19.5" customHeight="1" thickBot="1" x14ac:dyDescent="0.3">
      <c r="A53" s="520" t="s">
        <v>661</v>
      </c>
      <c r="B53" s="521">
        <f>B48+B49+B50+B51+B52</f>
        <v>241000</v>
      </c>
      <c r="C53" s="522"/>
      <c r="D53" s="522"/>
      <c r="E53" s="538">
        <f>E48+E49+E50+E51+E52</f>
        <v>241000</v>
      </c>
      <c r="F53" s="541"/>
      <c r="K53" s="155"/>
    </row>
    <row r="54" spans="1:11" ht="19.5" customHeight="1" x14ac:dyDescent="0.25">
      <c r="A54" s="544"/>
      <c r="B54" s="545"/>
      <c r="C54" s="546"/>
      <c r="D54" s="546"/>
      <c r="E54" s="545"/>
      <c r="F54" s="518"/>
      <c r="K54" s="155"/>
    </row>
    <row r="55" spans="1:11" ht="19.5" customHeight="1" x14ac:dyDescent="0.25">
      <c r="A55" s="544"/>
      <c r="B55" s="545"/>
      <c r="C55" s="546"/>
      <c r="D55" s="546"/>
      <c r="E55" s="545"/>
      <c r="F55" s="518"/>
      <c r="K55" s="155"/>
    </row>
    <row r="56" spans="1:11" ht="19.5" customHeight="1" x14ac:dyDescent="0.25">
      <c r="A56" s="544"/>
      <c r="B56" s="545"/>
      <c r="C56" s="546"/>
      <c r="D56" s="546"/>
      <c r="E56" s="545"/>
      <c r="F56" s="518"/>
      <c r="K56" s="155"/>
    </row>
    <row r="57" spans="1:11" ht="18.75" x14ac:dyDescent="0.25">
      <c r="A57" s="758" t="s">
        <v>633</v>
      </c>
      <c r="B57" s="758"/>
      <c r="C57" s="758"/>
      <c r="D57" s="758"/>
      <c r="E57" s="758"/>
    </row>
    <row r="58" spans="1:11" ht="18.75" x14ac:dyDescent="0.25">
      <c r="A58" s="758" t="s">
        <v>3</v>
      </c>
      <c r="B58" s="759"/>
      <c r="C58" s="759"/>
      <c r="D58" s="759"/>
      <c r="E58" s="759"/>
      <c r="F58" s="138" t="s">
        <v>149</v>
      </c>
    </row>
    <row r="59" spans="1:11" ht="18.75" x14ac:dyDescent="0.25">
      <c r="A59" s="758" t="s">
        <v>150</v>
      </c>
      <c r="B59" s="759"/>
      <c r="C59" s="759"/>
      <c r="D59" s="759"/>
      <c r="E59" s="759"/>
      <c r="F59" s="140" t="s">
        <v>151</v>
      </c>
    </row>
    <row r="60" spans="1:11" ht="19.5" thickBot="1" x14ac:dyDescent="0.3">
      <c r="A60" s="510"/>
      <c r="B60" s="511"/>
      <c r="C60" s="511"/>
      <c r="D60" s="511"/>
      <c r="E60" s="511"/>
      <c r="F60" s="140"/>
    </row>
    <row r="61" spans="1:11" ht="36.75" thickBot="1" x14ac:dyDescent="0.3">
      <c r="A61" s="141" t="s">
        <v>152</v>
      </c>
      <c r="B61" s="142" t="s">
        <v>153</v>
      </c>
      <c r="C61" s="142" t="s">
        <v>154</v>
      </c>
      <c r="D61" s="142" t="s">
        <v>634</v>
      </c>
      <c r="E61" s="533" t="s">
        <v>635</v>
      </c>
      <c r="F61" s="539" t="s">
        <v>636</v>
      </c>
    </row>
    <row r="62" spans="1:11" ht="15.75" thickBot="1" x14ac:dyDescent="0.3">
      <c r="A62" s="144">
        <v>1</v>
      </c>
      <c r="B62" s="145">
        <v>2</v>
      </c>
      <c r="C62" s="145">
        <v>3</v>
      </c>
      <c r="D62" s="145">
        <v>4</v>
      </c>
      <c r="E62" s="534">
        <v>5</v>
      </c>
      <c r="F62" s="540">
        <v>7</v>
      </c>
    </row>
    <row r="63" spans="1:11" ht="20.25" customHeight="1" thickBot="1" x14ac:dyDescent="0.3">
      <c r="A63" s="163" t="s">
        <v>648</v>
      </c>
      <c r="B63" s="169">
        <v>85600</v>
      </c>
      <c r="C63" s="168">
        <v>2019</v>
      </c>
      <c r="D63" s="179"/>
      <c r="E63" s="535">
        <v>85600</v>
      </c>
      <c r="F63" s="543"/>
      <c r="I63"/>
      <c r="J63" s="155"/>
    </row>
    <row r="64" spans="1:11" ht="20.25" customHeight="1" thickBot="1" x14ac:dyDescent="0.3">
      <c r="A64" s="170" t="s">
        <v>649</v>
      </c>
      <c r="B64" s="173">
        <v>291000</v>
      </c>
      <c r="C64" s="172">
        <v>2019</v>
      </c>
      <c r="D64" s="181"/>
      <c r="E64" s="554">
        <v>291000</v>
      </c>
      <c r="F64" s="548"/>
      <c r="G64" s="182"/>
      <c r="I64"/>
      <c r="J64" s="155"/>
    </row>
    <row r="65" spans="1:11" ht="20.25" customHeight="1" thickBot="1" x14ac:dyDescent="0.3">
      <c r="A65" s="174" t="s">
        <v>650</v>
      </c>
      <c r="B65" s="183">
        <f>B63+B64</f>
        <v>376600</v>
      </c>
      <c r="C65" s="183"/>
      <c r="D65" s="183">
        <f t="shared" ref="D65:E65" si="4">D63+D64</f>
        <v>0</v>
      </c>
      <c r="E65" s="440">
        <f t="shared" si="4"/>
        <v>376600</v>
      </c>
      <c r="F65" s="541"/>
      <c r="I65"/>
      <c r="J65" s="155"/>
    </row>
    <row r="66" spans="1:11" s="190" customFormat="1" ht="20.25" customHeight="1" thickBot="1" x14ac:dyDescent="0.3">
      <c r="A66" s="187" t="s">
        <v>174</v>
      </c>
      <c r="B66" s="188">
        <f>B65+B53+B47+B41+B27+B22</f>
        <v>399314520</v>
      </c>
      <c r="C66" s="188">
        <f>C65+C53+C47+C41+C27+C22</f>
        <v>0</v>
      </c>
      <c r="D66" s="188">
        <f>D65+D53+D47+D41+D27+D22</f>
        <v>0</v>
      </c>
      <c r="E66" s="547">
        <f>E65+E53+E47+E41+E27+E22</f>
        <v>399314520</v>
      </c>
      <c r="F66" s="529">
        <f>F44+F63+F64+F65</f>
        <v>0</v>
      </c>
      <c r="G66" s="189"/>
      <c r="H66" s="189"/>
      <c r="I66" s="189"/>
      <c r="K66" s="191"/>
    </row>
    <row r="67" spans="1:11" s="193" customFormat="1" ht="21" thickBot="1" x14ac:dyDescent="0.35">
      <c r="A67" s="555" t="s">
        <v>175</v>
      </c>
      <c r="B67" s="556">
        <f>B7+B10</f>
        <v>400164520</v>
      </c>
      <c r="C67" s="556">
        <f>C7+C10</f>
        <v>0</v>
      </c>
      <c r="D67" s="556">
        <f>D7+D10</f>
        <v>0</v>
      </c>
      <c r="E67" s="557">
        <f>E7+E10</f>
        <v>400164520</v>
      </c>
      <c r="F67" s="549">
        <f>SUM(F7:F33)</f>
        <v>0</v>
      </c>
      <c r="G67" s="192"/>
      <c r="H67" s="192"/>
      <c r="I67" s="192"/>
      <c r="K67" s="194"/>
    </row>
    <row r="74" spans="1:11" x14ac:dyDescent="0.25">
      <c r="B74" s="196"/>
      <c r="C74" s="196"/>
      <c r="D74" s="196"/>
    </row>
    <row r="75" spans="1:11" ht="15.75" x14ac:dyDescent="0.25">
      <c r="A75" s="197"/>
      <c r="B75" s="198"/>
      <c r="C75" s="199"/>
      <c r="D75" s="200"/>
    </row>
    <row r="76" spans="1:11" ht="15.75" x14ac:dyDescent="0.25">
      <c r="A76" s="197"/>
      <c r="B76" s="201"/>
      <c r="C76" s="202"/>
      <c r="D76" s="200"/>
    </row>
    <row r="77" spans="1:11" ht="15.75" x14ac:dyDescent="0.25">
      <c r="A77" s="203"/>
      <c r="B77" s="201"/>
      <c r="C77" s="202"/>
      <c r="D77" s="200"/>
    </row>
    <row r="78" spans="1:11" ht="15.75" x14ac:dyDescent="0.25">
      <c r="A78" s="197"/>
      <c r="B78" s="201"/>
      <c r="C78" s="202"/>
    </row>
    <row r="79" spans="1:11" x14ac:dyDescent="0.25">
      <c r="A79" s="204"/>
      <c r="B79" s="201"/>
      <c r="C79" s="205"/>
    </row>
    <row r="80" spans="1:11" ht="15.75" x14ac:dyDescent="0.25">
      <c r="A80" s="137"/>
      <c r="B80" s="201"/>
      <c r="C80" s="202"/>
      <c r="D80" s="200"/>
    </row>
    <row r="81" spans="1:4" ht="15.75" x14ac:dyDescent="0.25">
      <c r="A81" s="137"/>
      <c r="C81" s="200"/>
      <c r="D81" s="200"/>
    </row>
    <row r="82" spans="1:4" ht="15.75" x14ac:dyDescent="0.25">
      <c r="A82" s="137"/>
      <c r="C82" s="200"/>
      <c r="D82" s="200"/>
    </row>
  </sheetData>
  <mergeCells count="9">
    <mergeCell ref="A57:E57"/>
    <mergeCell ref="A58:E58"/>
    <mergeCell ref="A59:E59"/>
    <mergeCell ref="A31:E31"/>
    <mergeCell ref="A1:E1"/>
    <mergeCell ref="A2:E2"/>
    <mergeCell ref="A3:E3"/>
    <mergeCell ref="A29:E29"/>
    <mergeCell ref="A30:E30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5"/>
  <sheetViews>
    <sheetView workbookViewId="0">
      <selection activeCell="A2" sqref="A2:AI2"/>
    </sheetView>
  </sheetViews>
  <sheetFormatPr defaultRowHeight="12.75" x14ac:dyDescent="0.2"/>
  <cols>
    <col min="1" max="6" width="3.28515625" style="208" customWidth="1"/>
    <col min="7" max="7" width="5.140625" style="208" customWidth="1"/>
    <col min="8" max="11" width="3.28515625" style="208" customWidth="1"/>
    <col min="12" max="12" width="4.28515625" style="208" customWidth="1"/>
    <col min="13" max="14" width="3.28515625" style="208" customWidth="1"/>
    <col min="15" max="15" width="4.42578125" style="208" customWidth="1"/>
    <col min="16" max="19" width="3.28515625" style="208" customWidth="1"/>
    <col min="20" max="20" width="2.42578125" style="208" customWidth="1"/>
    <col min="21" max="21" width="3.28515625" style="208" customWidth="1"/>
    <col min="22" max="22" width="16.5703125" style="210" customWidth="1"/>
    <col min="23" max="25" width="3.28515625" style="208" customWidth="1"/>
    <col min="26" max="26" width="1.85546875" style="208" customWidth="1"/>
    <col min="27" max="27" width="0.42578125" style="208" customWidth="1"/>
    <col min="28" max="35" width="3.28515625" style="208" hidden="1" customWidth="1"/>
    <col min="36" max="36" width="9.140625" style="208"/>
    <col min="37" max="37" width="12.5703125" style="208" bestFit="1" customWidth="1"/>
    <col min="38" max="16384" width="9.140625" style="208"/>
  </cols>
  <sheetData>
    <row r="1" spans="1:37" s="206" customFormat="1" ht="22.5" customHeight="1" x14ac:dyDescent="0.25">
      <c r="A1" s="760" t="s">
        <v>662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</row>
    <row r="2" spans="1:37" s="206" customFormat="1" ht="15.75" x14ac:dyDescent="0.25">
      <c r="A2" s="760" t="s">
        <v>813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  <c r="P2" s="760"/>
      <c r="Q2" s="760"/>
      <c r="R2" s="760"/>
      <c r="S2" s="760"/>
      <c r="T2" s="760"/>
      <c r="U2" s="760"/>
      <c r="V2" s="760"/>
      <c r="W2" s="760"/>
      <c r="X2" s="760"/>
      <c r="Y2" s="760"/>
      <c r="Z2" s="760"/>
      <c r="AA2" s="760"/>
      <c r="AB2" s="760"/>
      <c r="AC2" s="760"/>
      <c r="AD2" s="760"/>
      <c r="AE2" s="760"/>
      <c r="AF2" s="760"/>
      <c r="AG2" s="760"/>
      <c r="AH2" s="760"/>
      <c r="AI2" s="760"/>
    </row>
    <row r="3" spans="1:37" s="206" customFormat="1" ht="15.75" x14ac:dyDescent="0.25">
      <c r="A3" s="647"/>
      <c r="B3" s="647"/>
      <c r="C3" s="647"/>
      <c r="D3" s="647"/>
      <c r="E3" s="647"/>
      <c r="F3" s="760" t="s">
        <v>3</v>
      </c>
      <c r="G3" s="761"/>
      <c r="H3" s="760"/>
      <c r="I3" s="760"/>
      <c r="J3" s="760"/>
      <c r="K3" s="760"/>
      <c r="L3" s="760"/>
      <c r="M3" s="760"/>
      <c r="N3" s="760"/>
      <c r="O3" s="760"/>
      <c r="P3" s="760"/>
      <c r="Q3" s="760"/>
      <c r="R3" s="760"/>
      <c r="S3" s="760"/>
      <c r="T3" s="760"/>
      <c r="U3" s="760"/>
      <c r="V3" s="207"/>
      <c r="W3" s="647"/>
      <c r="X3" s="647"/>
      <c r="Y3" s="647"/>
      <c r="Z3" s="647"/>
      <c r="AA3" s="647"/>
      <c r="AB3" s="647"/>
      <c r="AC3" s="647"/>
      <c r="AD3" s="647"/>
      <c r="AE3" s="647"/>
      <c r="AF3" s="647"/>
      <c r="AG3" s="647"/>
      <c r="AH3" s="647"/>
      <c r="AI3" s="647"/>
    </row>
    <row r="4" spans="1:37" ht="15.75" x14ac:dyDescent="0.2">
      <c r="A4" s="762" t="s">
        <v>176</v>
      </c>
      <c r="B4" s="762"/>
      <c r="C4" s="762"/>
      <c r="D4" s="762"/>
      <c r="E4" s="762"/>
      <c r="F4" s="762"/>
      <c r="G4" s="762"/>
      <c r="H4" s="762"/>
      <c r="I4" s="762"/>
      <c r="J4" s="762"/>
      <c r="K4" s="762"/>
      <c r="L4" s="762"/>
      <c r="M4" s="762"/>
      <c r="N4" s="762"/>
      <c r="O4" s="762"/>
      <c r="P4" s="762"/>
      <c r="Q4" s="762"/>
      <c r="R4" s="762"/>
      <c r="S4" s="762"/>
      <c r="T4" s="762"/>
      <c r="U4" s="762"/>
      <c r="V4" s="762"/>
      <c r="W4" s="762"/>
      <c r="X4" s="762"/>
      <c r="Y4" s="762"/>
      <c r="Z4" s="762"/>
      <c r="AA4" s="762"/>
      <c r="AB4" s="762"/>
      <c r="AC4" s="762"/>
      <c r="AD4" s="762"/>
      <c r="AE4" s="762"/>
      <c r="AF4" s="762"/>
      <c r="AG4" s="762"/>
      <c r="AH4" s="762"/>
      <c r="AI4" s="762"/>
    </row>
    <row r="5" spans="1:37" ht="15.75" x14ac:dyDescent="0.2">
      <c r="A5" s="648"/>
      <c r="B5" s="648"/>
      <c r="C5" s="648"/>
      <c r="D5" s="648"/>
      <c r="E5" s="648"/>
      <c r="F5" s="648"/>
      <c r="G5" s="648"/>
      <c r="H5" s="648"/>
      <c r="I5" s="648"/>
      <c r="J5" s="648"/>
      <c r="K5" s="648"/>
      <c r="L5" s="648"/>
      <c r="M5" s="648"/>
      <c r="N5" s="648"/>
      <c r="O5" s="648"/>
      <c r="P5" s="648"/>
      <c r="Q5" s="648"/>
      <c r="R5" s="648"/>
      <c r="S5" s="648"/>
      <c r="T5" s="648"/>
      <c r="U5" s="648"/>
      <c r="V5" s="209"/>
      <c r="W5" s="648"/>
      <c r="X5" s="648"/>
      <c r="Y5" s="648"/>
      <c r="Z5" s="648"/>
      <c r="AA5" s="648"/>
      <c r="AB5" s="648"/>
      <c r="AC5" s="648"/>
      <c r="AD5" s="648"/>
      <c r="AE5" s="648"/>
      <c r="AF5" s="648"/>
      <c r="AG5" s="648"/>
      <c r="AH5" s="648"/>
      <c r="AI5" s="648"/>
    </row>
    <row r="6" spans="1:37" x14ac:dyDescent="0.2">
      <c r="AH6" s="211" t="s">
        <v>177</v>
      </c>
    </row>
    <row r="7" spans="1:37" ht="24.75" customHeight="1" x14ac:dyDescent="0.2">
      <c r="A7" s="763" t="s">
        <v>178</v>
      </c>
      <c r="B7" s="763"/>
      <c r="C7" s="763"/>
      <c r="D7" s="763"/>
      <c r="E7" s="763"/>
      <c r="F7" s="763"/>
      <c r="G7" s="763"/>
      <c r="H7" s="763"/>
      <c r="I7" s="763"/>
      <c r="J7" s="763"/>
      <c r="K7" s="763"/>
      <c r="L7" s="763"/>
      <c r="M7" s="763"/>
      <c r="N7" s="763"/>
      <c r="O7" s="763"/>
      <c r="P7" s="763"/>
      <c r="Q7" s="763"/>
      <c r="R7" s="763"/>
      <c r="S7" s="763"/>
      <c r="T7" s="764">
        <v>1</v>
      </c>
      <c r="U7" s="764"/>
      <c r="V7" s="212">
        <v>4000000</v>
      </c>
      <c r="W7" s="765"/>
      <c r="X7" s="765"/>
      <c r="Y7" s="765"/>
      <c r="Z7" s="765"/>
      <c r="AA7" s="765"/>
      <c r="AB7" s="766"/>
      <c r="AC7" s="766"/>
      <c r="AD7" s="766"/>
      <c r="AE7" s="766"/>
      <c r="AF7" s="766"/>
      <c r="AG7" s="649"/>
      <c r="AH7" s="649"/>
      <c r="AI7" s="649"/>
    </row>
    <row r="8" spans="1:37" ht="22.5" customHeight="1" x14ac:dyDescent="0.2">
      <c r="A8" s="763" t="s">
        <v>179</v>
      </c>
      <c r="B8" s="763"/>
      <c r="C8" s="763"/>
      <c r="D8" s="763"/>
      <c r="E8" s="763"/>
      <c r="F8" s="763"/>
      <c r="G8" s="763"/>
      <c r="H8" s="763"/>
      <c r="I8" s="763"/>
      <c r="J8" s="763"/>
      <c r="K8" s="763"/>
      <c r="L8" s="763"/>
      <c r="M8" s="763"/>
      <c r="N8" s="763"/>
      <c r="O8" s="763"/>
      <c r="P8" s="763"/>
      <c r="Q8" s="763"/>
      <c r="R8" s="763"/>
      <c r="S8" s="763"/>
      <c r="T8" s="764">
        <v>2</v>
      </c>
      <c r="U8" s="764"/>
      <c r="V8" s="212">
        <v>288000</v>
      </c>
      <c r="W8" s="765"/>
      <c r="X8" s="765"/>
      <c r="Y8" s="765"/>
      <c r="Z8" s="765"/>
      <c r="AA8" s="765"/>
      <c r="AB8" s="649"/>
      <c r="AC8" s="649"/>
      <c r="AD8" s="649"/>
      <c r="AE8" s="649"/>
      <c r="AF8" s="649"/>
      <c r="AG8" s="649"/>
      <c r="AH8" s="649"/>
      <c r="AI8" s="649"/>
    </row>
    <row r="9" spans="1:37" ht="19.5" customHeight="1" x14ac:dyDescent="0.2">
      <c r="A9" s="763" t="s">
        <v>180</v>
      </c>
      <c r="B9" s="763"/>
      <c r="C9" s="763"/>
      <c r="D9" s="763"/>
      <c r="E9" s="763"/>
      <c r="F9" s="763"/>
      <c r="G9" s="763"/>
      <c r="H9" s="763"/>
      <c r="I9" s="763"/>
      <c r="J9" s="763"/>
      <c r="K9" s="763"/>
      <c r="L9" s="763"/>
      <c r="M9" s="763"/>
      <c r="N9" s="763"/>
      <c r="O9" s="763"/>
      <c r="P9" s="763"/>
      <c r="Q9" s="763"/>
      <c r="R9" s="763"/>
      <c r="S9" s="763"/>
      <c r="T9" s="764">
        <v>3</v>
      </c>
      <c r="U9" s="764"/>
      <c r="V9" s="212"/>
      <c r="W9" s="767"/>
      <c r="X9" s="767"/>
      <c r="Y9" s="767"/>
      <c r="Z9" s="767"/>
      <c r="AA9" s="767"/>
      <c r="AB9" s="766"/>
      <c r="AC9" s="766"/>
      <c r="AD9" s="766"/>
      <c r="AE9" s="766"/>
      <c r="AF9" s="766"/>
      <c r="AG9" s="649"/>
      <c r="AH9" s="649"/>
      <c r="AI9" s="649"/>
    </row>
    <row r="10" spans="1:37" ht="19.5" customHeight="1" x14ac:dyDescent="0.2">
      <c r="A10" s="768" t="s">
        <v>181</v>
      </c>
      <c r="B10" s="769"/>
      <c r="C10" s="769"/>
      <c r="D10" s="769"/>
      <c r="E10" s="769"/>
      <c r="F10" s="769"/>
      <c r="G10" s="769"/>
      <c r="H10" s="769"/>
      <c r="I10" s="769"/>
      <c r="J10" s="769"/>
      <c r="K10" s="769"/>
      <c r="L10" s="769"/>
      <c r="M10" s="769"/>
      <c r="N10" s="769"/>
      <c r="O10" s="769"/>
      <c r="P10" s="769"/>
      <c r="Q10" s="769"/>
      <c r="R10" s="769"/>
      <c r="S10" s="769"/>
      <c r="T10" s="764">
        <v>4</v>
      </c>
      <c r="U10" s="764"/>
      <c r="V10" s="213">
        <f>SUM(V7:V9)</f>
        <v>4288000</v>
      </c>
      <c r="W10" s="767"/>
      <c r="X10" s="767"/>
      <c r="Y10" s="767"/>
      <c r="Z10" s="767"/>
      <c r="AA10" s="767"/>
      <c r="AB10" s="766"/>
      <c r="AC10" s="766"/>
      <c r="AD10" s="766"/>
      <c r="AE10" s="766"/>
      <c r="AF10" s="766"/>
      <c r="AG10" s="649"/>
      <c r="AH10" s="649"/>
      <c r="AI10" s="649"/>
    </row>
    <row r="11" spans="1:37" ht="19.5" customHeight="1" x14ac:dyDescent="0.2">
      <c r="A11" s="763" t="s">
        <v>182</v>
      </c>
      <c r="B11" s="763"/>
      <c r="C11" s="763"/>
      <c r="D11" s="763"/>
      <c r="E11" s="763"/>
      <c r="F11" s="763"/>
      <c r="G11" s="763"/>
      <c r="H11" s="763"/>
      <c r="I11" s="763"/>
      <c r="J11" s="763"/>
      <c r="K11" s="763"/>
      <c r="L11" s="763"/>
      <c r="M11" s="763"/>
      <c r="N11" s="763"/>
      <c r="O11" s="763"/>
      <c r="P11" s="763"/>
      <c r="Q11" s="763"/>
      <c r="R11" s="763"/>
      <c r="S11" s="763"/>
      <c r="T11" s="764">
        <v>5</v>
      </c>
      <c r="U11" s="764"/>
      <c r="V11" s="212">
        <v>1055900</v>
      </c>
      <c r="W11" s="767"/>
      <c r="X11" s="767"/>
      <c r="Y11" s="767"/>
      <c r="Z11" s="767"/>
      <c r="AA11" s="767"/>
      <c r="AB11" s="766"/>
      <c r="AC11" s="766"/>
      <c r="AD11" s="766"/>
      <c r="AE11" s="766"/>
      <c r="AF11" s="766"/>
      <c r="AG11" s="649"/>
      <c r="AH11" s="649"/>
      <c r="AI11" s="649"/>
      <c r="AK11" s="657"/>
    </row>
    <row r="12" spans="1:37" ht="19.5" customHeight="1" x14ac:dyDescent="0.2">
      <c r="A12" s="763" t="s">
        <v>183</v>
      </c>
      <c r="B12" s="763"/>
      <c r="C12" s="763"/>
      <c r="D12" s="763"/>
      <c r="E12" s="763"/>
      <c r="F12" s="763"/>
      <c r="G12" s="763"/>
      <c r="H12" s="763"/>
      <c r="I12" s="763"/>
      <c r="J12" s="763"/>
      <c r="K12" s="763"/>
      <c r="L12" s="763"/>
      <c r="M12" s="763"/>
      <c r="N12" s="763"/>
      <c r="O12" s="763"/>
      <c r="P12" s="763"/>
      <c r="Q12" s="763"/>
      <c r="R12" s="763"/>
      <c r="S12" s="763"/>
      <c r="T12" s="764">
        <v>6</v>
      </c>
      <c r="U12" s="764"/>
      <c r="V12" s="212">
        <f>5000*360</f>
        <v>1800000</v>
      </c>
      <c r="W12" s="767"/>
      <c r="X12" s="767"/>
      <c r="Y12" s="767"/>
      <c r="Z12" s="767"/>
      <c r="AA12" s="767"/>
      <c r="AB12" s="766"/>
      <c r="AC12" s="766"/>
      <c r="AD12" s="766"/>
      <c r="AE12" s="766"/>
      <c r="AF12" s="766"/>
      <c r="AG12" s="649"/>
      <c r="AH12" s="649"/>
      <c r="AI12" s="649"/>
    </row>
    <row r="13" spans="1:37" ht="19.5" customHeight="1" x14ac:dyDescent="0.2">
      <c r="A13" s="763" t="s">
        <v>184</v>
      </c>
      <c r="B13" s="763"/>
      <c r="C13" s="763"/>
      <c r="D13" s="763"/>
      <c r="E13" s="763"/>
      <c r="F13" s="763"/>
      <c r="G13" s="763"/>
      <c r="H13" s="763"/>
      <c r="I13" s="763"/>
      <c r="J13" s="763"/>
      <c r="K13" s="763"/>
      <c r="L13" s="763"/>
      <c r="M13" s="763"/>
      <c r="N13" s="763"/>
      <c r="O13" s="763"/>
      <c r="P13" s="763"/>
      <c r="Q13" s="763"/>
      <c r="R13" s="763"/>
      <c r="S13" s="763"/>
      <c r="T13" s="764">
        <v>7</v>
      </c>
      <c r="U13" s="764"/>
      <c r="V13" s="212">
        <f>5000*200</f>
        <v>1000000</v>
      </c>
      <c r="W13" s="767"/>
      <c r="X13" s="767"/>
      <c r="Y13" s="767"/>
      <c r="Z13" s="767"/>
      <c r="AA13" s="767"/>
      <c r="AB13" s="766"/>
      <c r="AC13" s="766"/>
      <c r="AD13" s="766"/>
      <c r="AE13" s="766"/>
      <c r="AF13" s="766"/>
      <c r="AG13" s="649"/>
      <c r="AH13" s="649"/>
      <c r="AI13" s="649"/>
    </row>
    <row r="14" spans="1:37" ht="19.5" customHeight="1" x14ac:dyDescent="0.2">
      <c r="A14" s="763" t="s">
        <v>185</v>
      </c>
      <c r="B14" s="763"/>
      <c r="C14" s="763"/>
      <c r="D14" s="763"/>
      <c r="E14" s="763"/>
      <c r="F14" s="763"/>
      <c r="G14" s="763"/>
      <c r="H14" s="763"/>
      <c r="I14" s="763"/>
      <c r="J14" s="763"/>
      <c r="K14" s="763"/>
      <c r="L14" s="763"/>
      <c r="M14" s="763"/>
      <c r="N14" s="763"/>
      <c r="O14" s="763"/>
      <c r="P14" s="763"/>
      <c r="Q14" s="763"/>
      <c r="R14" s="763"/>
      <c r="S14" s="763"/>
      <c r="T14" s="764">
        <v>8</v>
      </c>
      <c r="U14" s="764"/>
      <c r="V14" s="212">
        <v>1000000</v>
      </c>
      <c r="W14" s="767"/>
      <c r="X14" s="767"/>
      <c r="Y14" s="767"/>
      <c r="Z14" s="767"/>
      <c r="AA14" s="767"/>
      <c r="AB14" s="649"/>
      <c r="AC14" s="649"/>
      <c r="AD14" s="649"/>
      <c r="AE14" s="649"/>
      <c r="AF14" s="649"/>
      <c r="AG14" s="649"/>
      <c r="AH14" s="649"/>
      <c r="AI14" s="649"/>
    </row>
    <row r="15" spans="1:37" ht="19.5" customHeight="1" x14ac:dyDescent="0.2">
      <c r="A15" s="770" t="s">
        <v>186</v>
      </c>
      <c r="B15" s="770"/>
      <c r="C15" s="770"/>
      <c r="D15" s="770"/>
      <c r="E15" s="770"/>
      <c r="F15" s="770"/>
      <c r="G15" s="770"/>
      <c r="H15" s="770"/>
      <c r="I15" s="770"/>
      <c r="J15" s="770"/>
      <c r="K15" s="770"/>
      <c r="L15" s="770"/>
      <c r="M15" s="770"/>
      <c r="N15" s="770"/>
      <c r="O15" s="770"/>
      <c r="P15" s="770"/>
      <c r="Q15" s="770"/>
      <c r="R15" s="770"/>
      <c r="S15" s="770"/>
      <c r="T15" s="764">
        <v>9</v>
      </c>
      <c r="U15" s="764"/>
      <c r="V15" s="213">
        <f>SUM(V11:V14)</f>
        <v>4855900</v>
      </c>
      <c r="W15" s="767"/>
      <c r="X15" s="767"/>
      <c r="Y15" s="767"/>
      <c r="Z15" s="767"/>
      <c r="AA15" s="767"/>
      <c r="AB15" s="766"/>
      <c r="AC15" s="766"/>
      <c r="AD15" s="766"/>
      <c r="AE15" s="766"/>
      <c r="AF15" s="766"/>
      <c r="AG15" s="649"/>
      <c r="AH15" s="649"/>
      <c r="AI15" s="649"/>
    </row>
    <row r="16" spans="1:37" ht="27" customHeight="1" x14ac:dyDescent="0.2">
      <c r="A16" s="774" t="s">
        <v>187</v>
      </c>
      <c r="B16" s="774"/>
      <c r="C16" s="774"/>
      <c r="D16" s="774"/>
      <c r="E16" s="774"/>
      <c r="F16" s="774"/>
      <c r="G16" s="774"/>
      <c r="H16" s="774"/>
      <c r="I16" s="774"/>
      <c r="J16" s="774"/>
      <c r="K16" s="774"/>
      <c r="L16" s="774"/>
      <c r="M16" s="774"/>
      <c r="N16" s="774"/>
      <c r="O16" s="774"/>
      <c r="P16" s="774"/>
      <c r="Q16" s="774"/>
      <c r="R16" s="774"/>
      <c r="S16" s="774"/>
      <c r="T16" s="764">
        <v>10</v>
      </c>
      <c r="U16" s="764"/>
      <c r="V16" s="214">
        <f>V15+V10</f>
        <v>9143900</v>
      </c>
      <c r="W16" s="775"/>
      <c r="X16" s="775"/>
      <c r="Y16" s="775"/>
      <c r="Z16" s="775"/>
      <c r="AA16" s="775"/>
      <c r="AB16" s="776"/>
      <c r="AC16" s="776"/>
      <c r="AD16" s="776"/>
      <c r="AE16" s="776"/>
      <c r="AF16" s="776"/>
      <c r="AG16" s="651"/>
      <c r="AH16" s="651"/>
      <c r="AI16" s="651"/>
    </row>
    <row r="17" spans="1:35" ht="20.25" customHeight="1" x14ac:dyDescent="0.2">
      <c r="A17" s="770" t="s">
        <v>188</v>
      </c>
      <c r="B17" s="770"/>
      <c r="C17" s="770"/>
      <c r="D17" s="770"/>
      <c r="E17" s="770"/>
      <c r="F17" s="770"/>
      <c r="G17" s="770"/>
      <c r="H17" s="770"/>
      <c r="I17" s="770"/>
      <c r="J17" s="770"/>
      <c r="K17" s="770"/>
      <c r="L17" s="770"/>
      <c r="M17" s="770"/>
      <c r="N17" s="770"/>
      <c r="O17" s="770"/>
      <c r="P17" s="770"/>
      <c r="Q17" s="770"/>
      <c r="R17" s="770"/>
      <c r="S17" s="770"/>
      <c r="T17" s="764">
        <v>11</v>
      </c>
      <c r="U17" s="764"/>
      <c r="V17" s="212">
        <v>974400</v>
      </c>
      <c r="W17" s="777"/>
      <c r="X17" s="777"/>
      <c r="Y17" s="777"/>
      <c r="Z17" s="777"/>
      <c r="AA17" s="777"/>
      <c r="AB17" s="766"/>
      <c r="AC17" s="766"/>
      <c r="AD17" s="766"/>
      <c r="AE17" s="766"/>
      <c r="AF17" s="766"/>
      <c r="AG17" s="649"/>
      <c r="AH17" s="649"/>
      <c r="AI17" s="649"/>
    </row>
    <row r="18" spans="1:35" ht="21.95" customHeight="1" x14ac:dyDescent="0.2">
      <c r="A18" s="771" t="s">
        <v>189</v>
      </c>
      <c r="B18" s="771"/>
      <c r="C18" s="771"/>
      <c r="D18" s="771"/>
      <c r="E18" s="771"/>
      <c r="F18" s="771"/>
      <c r="G18" s="771"/>
      <c r="H18" s="771"/>
      <c r="I18" s="771"/>
      <c r="J18" s="771"/>
      <c r="K18" s="771"/>
      <c r="L18" s="771"/>
      <c r="M18" s="771"/>
      <c r="N18" s="771"/>
      <c r="O18" s="771"/>
      <c r="P18" s="771"/>
      <c r="Q18" s="771"/>
      <c r="R18" s="771"/>
      <c r="S18" s="771"/>
      <c r="T18" s="764">
        <v>12</v>
      </c>
      <c r="U18" s="764"/>
      <c r="V18" s="558">
        <f>V16+V17</f>
        <v>10118300</v>
      </c>
      <c r="W18" s="772"/>
      <c r="X18" s="772"/>
      <c r="Y18" s="772"/>
      <c r="Z18" s="772"/>
      <c r="AA18" s="772"/>
      <c r="AB18" s="773"/>
      <c r="AC18" s="773"/>
      <c r="AD18" s="773"/>
      <c r="AE18" s="773"/>
      <c r="AF18" s="773"/>
      <c r="AG18" s="650"/>
      <c r="AH18" s="650"/>
      <c r="AI18" s="650"/>
    </row>
    <row r="19" spans="1:35" ht="21.95" customHeight="1" x14ac:dyDescent="0.2"/>
    <row r="20" spans="1:35" ht="21.95" customHeight="1" x14ac:dyDescent="0.2"/>
    <row r="21" spans="1:35" ht="21.95" customHeight="1" x14ac:dyDescent="0.2"/>
    <row r="22" spans="1:35" ht="21.95" customHeight="1" x14ac:dyDescent="0.2"/>
    <row r="23" spans="1:35" ht="21.95" customHeight="1" x14ac:dyDescent="0.2"/>
    <row r="24" spans="1:35" ht="21.95" customHeight="1" x14ac:dyDescent="0.2"/>
    <row r="25" spans="1:35" ht="21.95" customHeight="1" x14ac:dyDescent="0.2"/>
    <row r="26" spans="1:35" ht="21.95" customHeight="1" x14ac:dyDescent="0.2"/>
    <row r="27" spans="1:35" ht="21.95" customHeight="1" x14ac:dyDescent="0.2"/>
    <row r="28" spans="1:35" ht="21.95" customHeight="1" x14ac:dyDescent="0.2"/>
    <row r="29" spans="1:35" ht="21.95" customHeight="1" x14ac:dyDescent="0.2"/>
    <row r="30" spans="1:35" ht="21.95" customHeight="1" x14ac:dyDescent="0.2"/>
    <row r="31" spans="1:35" ht="21.95" customHeight="1" x14ac:dyDescent="0.2"/>
    <row r="32" spans="1:35" ht="21.95" customHeight="1" x14ac:dyDescent="0.2"/>
    <row r="33" ht="21.95" customHeight="1" x14ac:dyDescent="0.2"/>
    <row r="34" ht="21.95" customHeight="1" x14ac:dyDescent="0.2"/>
    <row r="35" ht="21.95" customHeight="1" x14ac:dyDescent="0.2"/>
    <row r="36" ht="21.95" customHeight="1" x14ac:dyDescent="0.2"/>
    <row r="37" ht="21.95" customHeight="1" x14ac:dyDescent="0.2"/>
    <row r="38" ht="21.95" customHeight="1" x14ac:dyDescent="0.2"/>
    <row r="39" ht="21.95" customHeight="1" x14ac:dyDescent="0.2"/>
    <row r="40" ht="21.95" customHeight="1" x14ac:dyDescent="0.2"/>
    <row r="41" ht="21.95" customHeight="1" x14ac:dyDescent="0.2"/>
    <row r="42" ht="21.95" customHeight="1" x14ac:dyDescent="0.2"/>
    <row r="43" ht="21.95" customHeight="1" x14ac:dyDescent="0.2"/>
    <row r="44" ht="21.95" customHeight="1" x14ac:dyDescent="0.2"/>
    <row r="45" ht="21.95" customHeight="1" x14ac:dyDescent="0.2"/>
    <row r="46" ht="21.95" customHeight="1" x14ac:dyDescent="0.2"/>
    <row r="47" ht="21.95" customHeight="1" x14ac:dyDescent="0.2"/>
    <row r="48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spans="1:4" ht="21.95" customHeight="1" x14ac:dyDescent="0.2"/>
    <row r="82" spans="1:4" ht="21.95" customHeight="1" x14ac:dyDescent="0.2"/>
    <row r="83" spans="1:4" ht="21.95" customHeight="1" x14ac:dyDescent="0.2">
      <c r="A83" s="215"/>
      <c r="B83" s="215"/>
      <c r="C83" s="215"/>
      <c r="D83" s="215"/>
    </row>
    <row r="84" spans="1:4" ht="21.95" customHeight="1" x14ac:dyDescent="0.2">
      <c r="A84" s="215"/>
      <c r="B84" s="215"/>
      <c r="C84" s="215"/>
      <c r="D84" s="215"/>
    </row>
    <row r="85" spans="1:4" ht="21.95" customHeight="1" x14ac:dyDescent="0.2">
      <c r="A85" s="215"/>
      <c r="B85" s="215"/>
      <c r="C85" s="215"/>
      <c r="D85" s="215"/>
    </row>
    <row r="86" spans="1:4" ht="21.95" customHeight="1" x14ac:dyDescent="0.2">
      <c r="A86" s="215"/>
      <c r="B86" s="215"/>
      <c r="C86" s="215"/>
      <c r="D86" s="215"/>
    </row>
    <row r="87" spans="1:4" ht="21.95" customHeight="1" x14ac:dyDescent="0.2">
      <c r="A87" s="215"/>
      <c r="B87" s="215"/>
      <c r="C87" s="215"/>
      <c r="D87" s="215"/>
    </row>
    <row r="88" spans="1:4" ht="21.95" customHeight="1" x14ac:dyDescent="0.2">
      <c r="A88" s="215"/>
      <c r="B88" s="215"/>
      <c r="C88" s="215"/>
      <c r="D88" s="215"/>
    </row>
    <row r="89" spans="1:4" ht="21.95" customHeight="1" x14ac:dyDescent="0.2">
      <c r="A89" s="215"/>
      <c r="B89" s="215"/>
      <c r="C89" s="215"/>
      <c r="D89" s="215"/>
    </row>
    <row r="90" spans="1:4" ht="21.95" customHeight="1" x14ac:dyDescent="0.2">
      <c r="A90" s="215"/>
      <c r="B90" s="215"/>
      <c r="C90" s="215"/>
      <c r="D90" s="215"/>
    </row>
    <row r="91" spans="1:4" ht="21.95" customHeight="1" x14ac:dyDescent="0.2">
      <c r="A91" s="215"/>
      <c r="B91" s="215"/>
      <c r="C91" s="215"/>
      <c r="D91" s="215"/>
    </row>
    <row r="92" spans="1:4" ht="21.95" customHeight="1" x14ac:dyDescent="0.2">
      <c r="A92" s="215"/>
      <c r="B92" s="215"/>
      <c r="C92" s="215"/>
      <c r="D92" s="215"/>
    </row>
    <row r="93" spans="1:4" ht="21.95" customHeight="1" x14ac:dyDescent="0.2">
      <c r="A93" s="215"/>
      <c r="B93" s="215"/>
      <c r="C93" s="215"/>
      <c r="D93" s="215"/>
    </row>
    <row r="94" spans="1:4" ht="21.95" customHeight="1" x14ac:dyDescent="0.2">
      <c r="A94" s="215"/>
      <c r="B94" s="215"/>
      <c r="C94" s="215"/>
      <c r="D94" s="215"/>
    </row>
    <row r="95" spans="1:4" ht="21.95" customHeight="1" x14ac:dyDescent="0.2">
      <c r="A95" s="215"/>
      <c r="B95" s="215"/>
      <c r="C95" s="215"/>
      <c r="D95" s="215"/>
    </row>
    <row r="96" spans="1:4" ht="21.95" customHeight="1" x14ac:dyDescent="0.2">
      <c r="A96" s="215"/>
      <c r="B96" s="215"/>
      <c r="C96" s="215"/>
      <c r="D96" s="215"/>
    </row>
    <row r="97" spans="1:4" ht="21.95" customHeight="1" x14ac:dyDescent="0.2">
      <c r="A97" s="215"/>
      <c r="B97" s="215"/>
      <c r="C97" s="215"/>
      <c r="D97" s="215"/>
    </row>
    <row r="98" spans="1:4" ht="21.95" customHeight="1" x14ac:dyDescent="0.2">
      <c r="A98" s="215"/>
      <c r="B98" s="215"/>
      <c r="C98" s="215"/>
      <c r="D98" s="215"/>
    </row>
    <row r="99" spans="1:4" ht="21.95" customHeight="1" x14ac:dyDescent="0.2">
      <c r="A99" s="215"/>
      <c r="B99" s="215"/>
      <c r="C99" s="215"/>
      <c r="D99" s="215"/>
    </row>
    <row r="100" spans="1:4" ht="21.95" customHeight="1" x14ac:dyDescent="0.2">
      <c r="A100" s="215"/>
      <c r="B100" s="215"/>
      <c r="C100" s="215"/>
      <c r="D100" s="215"/>
    </row>
    <row r="101" spans="1:4" ht="21.95" customHeight="1" x14ac:dyDescent="0.2">
      <c r="A101" s="215"/>
      <c r="B101" s="215"/>
      <c r="C101" s="215"/>
      <c r="D101" s="215"/>
    </row>
    <row r="102" spans="1:4" ht="21.95" customHeight="1" x14ac:dyDescent="0.2">
      <c r="A102" s="215"/>
      <c r="B102" s="215"/>
      <c r="C102" s="215"/>
      <c r="D102" s="215"/>
    </row>
    <row r="103" spans="1:4" ht="21.95" customHeight="1" x14ac:dyDescent="0.2">
      <c r="A103" s="215"/>
      <c r="B103" s="215"/>
      <c r="C103" s="215"/>
      <c r="D103" s="215"/>
    </row>
    <row r="104" spans="1:4" ht="21.95" customHeight="1" x14ac:dyDescent="0.2">
      <c r="A104" s="215"/>
      <c r="B104" s="215"/>
      <c r="C104" s="215"/>
      <c r="D104" s="215"/>
    </row>
    <row r="105" spans="1:4" ht="21.95" customHeight="1" x14ac:dyDescent="0.2">
      <c r="A105" s="215"/>
      <c r="B105" s="215"/>
      <c r="C105" s="215"/>
      <c r="D105" s="215"/>
    </row>
    <row r="106" spans="1:4" ht="21.95" customHeight="1" x14ac:dyDescent="0.2">
      <c r="A106" s="215"/>
      <c r="B106" s="215"/>
      <c r="C106" s="215"/>
      <c r="D106" s="215"/>
    </row>
    <row r="107" spans="1:4" ht="21.95" customHeight="1" x14ac:dyDescent="0.2">
      <c r="A107" s="215"/>
      <c r="B107" s="215"/>
      <c r="C107" s="215"/>
      <c r="D107" s="215"/>
    </row>
    <row r="108" spans="1:4" ht="21.95" customHeight="1" x14ac:dyDescent="0.2">
      <c r="A108" s="215"/>
      <c r="B108" s="215"/>
      <c r="C108" s="215"/>
      <c r="D108" s="215"/>
    </row>
    <row r="109" spans="1:4" ht="21.95" customHeight="1" x14ac:dyDescent="0.2">
      <c r="A109" s="215"/>
      <c r="B109" s="215"/>
      <c r="C109" s="215"/>
      <c r="D109" s="215"/>
    </row>
    <row r="110" spans="1:4" ht="21.95" customHeight="1" x14ac:dyDescent="0.2">
      <c r="A110" s="215"/>
      <c r="B110" s="215"/>
      <c r="C110" s="215"/>
      <c r="D110" s="215"/>
    </row>
    <row r="111" spans="1:4" ht="21.95" customHeight="1" x14ac:dyDescent="0.2">
      <c r="A111" s="215"/>
      <c r="B111" s="215"/>
      <c r="C111" s="215"/>
      <c r="D111" s="215"/>
    </row>
    <row r="112" spans="1:4" ht="21.95" customHeight="1" x14ac:dyDescent="0.2">
      <c r="A112" s="215"/>
      <c r="B112" s="215"/>
      <c r="C112" s="215"/>
      <c r="D112" s="215"/>
    </row>
    <row r="113" spans="1:4" ht="21.95" customHeight="1" x14ac:dyDescent="0.2">
      <c r="A113" s="215"/>
      <c r="B113" s="215"/>
      <c r="C113" s="215"/>
      <c r="D113" s="215"/>
    </row>
    <row r="114" spans="1:4" ht="21.95" customHeight="1" x14ac:dyDescent="0.2">
      <c r="A114" s="215"/>
      <c r="B114" s="215"/>
      <c r="C114" s="215"/>
      <c r="D114" s="215"/>
    </row>
    <row r="115" spans="1:4" ht="21.95" customHeight="1" x14ac:dyDescent="0.2">
      <c r="A115" s="215"/>
      <c r="B115" s="215"/>
      <c r="C115" s="215"/>
      <c r="D115" s="215"/>
    </row>
    <row r="116" spans="1:4" ht="21.95" customHeight="1" x14ac:dyDescent="0.2">
      <c r="A116" s="215"/>
      <c r="B116" s="215"/>
      <c r="C116" s="215"/>
      <c r="D116" s="215"/>
    </row>
    <row r="117" spans="1:4" ht="21.95" customHeight="1" x14ac:dyDescent="0.2">
      <c r="A117" s="215"/>
      <c r="B117" s="215"/>
      <c r="C117" s="215"/>
      <c r="D117" s="215"/>
    </row>
    <row r="118" spans="1:4" ht="21.95" customHeight="1" x14ac:dyDescent="0.2">
      <c r="A118" s="215"/>
      <c r="B118" s="215"/>
      <c r="C118" s="215"/>
      <c r="D118" s="215"/>
    </row>
    <row r="119" spans="1:4" ht="21.95" customHeight="1" x14ac:dyDescent="0.2">
      <c r="A119" s="215"/>
      <c r="B119" s="215"/>
      <c r="C119" s="215"/>
      <c r="D119" s="215"/>
    </row>
    <row r="120" spans="1:4" ht="21.95" customHeight="1" x14ac:dyDescent="0.2">
      <c r="A120" s="215"/>
      <c r="B120" s="215"/>
      <c r="C120" s="215"/>
      <c r="D120" s="215"/>
    </row>
    <row r="121" spans="1:4" ht="21.95" customHeight="1" x14ac:dyDescent="0.2">
      <c r="A121" s="215"/>
      <c r="B121" s="215"/>
      <c r="C121" s="215"/>
      <c r="D121" s="215"/>
    </row>
    <row r="122" spans="1:4" ht="21.95" customHeight="1" x14ac:dyDescent="0.2">
      <c r="A122" s="215"/>
      <c r="B122" s="215"/>
      <c r="C122" s="215"/>
      <c r="D122" s="215"/>
    </row>
    <row r="123" spans="1:4" ht="21.95" customHeight="1" x14ac:dyDescent="0.2">
      <c r="A123" s="215"/>
      <c r="B123" s="215"/>
      <c r="C123" s="215"/>
      <c r="D123" s="215"/>
    </row>
    <row r="124" spans="1:4" ht="21.95" customHeight="1" x14ac:dyDescent="0.2">
      <c r="A124" s="215"/>
      <c r="B124" s="215"/>
      <c r="C124" s="215"/>
      <c r="D124" s="215"/>
    </row>
    <row r="125" spans="1:4" ht="21.95" customHeight="1" x14ac:dyDescent="0.2">
      <c r="A125" s="215"/>
      <c r="B125" s="215"/>
      <c r="C125" s="215"/>
      <c r="D125" s="215"/>
    </row>
    <row r="126" spans="1:4" ht="21.95" customHeight="1" x14ac:dyDescent="0.2">
      <c r="A126" s="215"/>
      <c r="B126" s="215"/>
      <c r="C126" s="215"/>
      <c r="D126" s="215"/>
    </row>
    <row r="127" spans="1:4" ht="21.95" customHeight="1" x14ac:dyDescent="0.2">
      <c r="A127" s="215"/>
      <c r="B127" s="215"/>
      <c r="C127" s="215"/>
      <c r="D127" s="215"/>
    </row>
    <row r="128" spans="1:4" ht="21.95" customHeight="1" x14ac:dyDescent="0.2">
      <c r="A128" s="215"/>
      <c r="B128" s="215"/>
      <c r="C128" s="215"/>
      <c r="D128" s="215"/>
    </row>
    <row r="129" spans="1:4" ht="21.95" customHeight="1" x14ac:dyDescent="0.2">
      <c r="A129" s="215"/>
      <c r="B129" s="215"/>
      <c r="C129" s="215"/>
      <c r="D129" s="215"/>
    </row>
    <row r="130" spans="1:4" ht="21.95" customHeight="1" x14ac:dyDescent="0.2">
      <c r="A130" s="215"/>
      <c r="B130" s="215"/>
      <c r="C130" s="215"/>
      <c r="D130" s="215"/>
    </row>
    <row r="131" spans="1:4" ht="21.95" customHeight="1" x14ac:dyDescent="0.2">
      <c r="A131" s="215"/>
      <c r="B131" s="215"/>
      <c r="C131" s="215"/>
      <c r="D131" s="215"/>
    </row>
    <row r="132" spans="1:4" ht="21.95" customHeight="1" x14ac:dyDescent="0.2">
      <c r="A132" s="215"/>
      <c r="B132" s="215"/>
      <c r="C132" s="215"/>
      <c r="D132" s="215"/>
    </row>
    <row r="133" spans="1:4" ht="21.95" customHeight="1" x14ac:dyDescent="0.2">
      <c r="A133" s="215"/>
      <c r="B133" s="215"/>
      <c r="C133" s="215"/>
      <c r="D133" s="215"/>
    </row>
    <row r="134" spans="1:4" ht="21.95" customHeight="1" x14ac:dyDescent="0.2">
      <c r="A134" s="215"/>
      <c r="B134" s="215"/>
      <c r="C134" s="215"/>
      <c r="D134" s="215"/>
    </row>
    <row r="135" spans="1:4" ht="21.95" customHeight="1" x14ac:dyDescent="0.2">
      <c r="A135" s="215"/>
      <c r="B135" s="215"/>
      <c r="C135" s="215"/>
      <c r="D135" s="215"/>
    </row>
    <row r="136" spans="1:4" ht="21.95" customHeight="1" x14ac:dyDescent="0.2">
      <c r="A136" s="215"/>
      <c r="B136" s="215"/>
      <c r="C136" s="215"/>
      <c r="D136" s="215"/>
    </row>
    <row r="137" spans="1:4" ht="21.95" customHeight="1" x14ac:dyDescent="0.2">
      <c r="A137" s="215"/>
      <c r="B137" s="215"/>
      <c r="C137" s="215"/>
      <c r="D137" s="215"/>
    </row>
    <row r="138" spans="1:4" ht="21.95" customHeight="1" x14ac:dyDescent="0.2">
      <c r="A138" s="215"/>
      <c r="B138" s="215"/>
      <c r="C138" s="215"/>
      <c r="D138" s="215"/>
    </row>
    <row r="139" spans="1:4" ht="21.95" customHeight="1" x14ac:dyDescent="0.2">
      <c r="A139" s="215"/>
      <c r="B139" s="215"/>
      <c r="C139" s="215"/>
      <c r="D139" s="215"/>
    </row>
    <row r="140" spans="1:4" ht="21.95" customHeight="1" x14ac:dyDescent="0.2">
      <c r="A140" s="215"/>
      <c r="B140" s="215"/>
      <c r="C140" s="215"/>
      <c r="D140" s="215"/>
    </row>
    <row r="141" spans="1:4" ht="21.95" customHeight="1" x14ac:dyDescent="0.2">
      <c r="A141" s="215"/>
      <c r="B141" s="215"/>
      <c r="C141" s="215"/>
      <c r="D141" s="215"/>
    </row>
    <row r="142" spans="1:4" ht="21.95" customHeight="1" x14ac:dyDescent="0.2">
      <c r="A142" s="215"/>
      <c r="B142" s="215"/>
      <c r="C142" s="215"/>
      <c r="D142" s="215"/>
    </row>
    <row r="143" spans="1:4" ht="21.95" customHeight="1" x14ac:dyDescent="0.2">
      <c r="A143" s="215"/>
      <c r="B143" s="215"/>
      <c r="C143" s="215"/>
      <c r="D143" s="215"/>
    </row>
    <row r="144" spans="1:4" ht="21.95" customHeight="1" x14ac:dyDescent="0.2">
      <c r="A144" s="215"/>
      <c r="B144" s="215"/>
      <c r="C144" s="215"/>
      <c r="D144" s="215"/>
    </row>
    <row r="145" spans="1:4" ht="21.95" customHeight="1" x14ac:dyDescent="0.2">
      <c r="A145" s="215"/>
      <c r="B145" s="215"/>
      <c r="C145" s="215"/>
      <c r="D145" s="215"/>
    </row>
    <row r="146" spans="1:4" ht="21.95" customHeight="1" x14ac:dyDescent="0.2">
      <c r="A146" s="215"/>
      <c r="B146" s="215"/>
      <c r="C146" s="215"/>
      <c r="D146" s="215"/>
    </row>
    <row r="147" spans="1:4" ht="21.95" customHeight="1" x14ac:dyDescent="0.2">
      <c r="A147" s="215"/>
      <c r="B147" s="215"/>
      <c r="C147" s="215"/>
      <c r="D147" s="215"/>
    </row>
    <row r="148" spans="1:4" ht="21.95" customHeight="1" x14ac:dyDescent="0.2">
      <c r="A148" s="215"/>
      <c r="B148" s="215"/>
      <c r="C148" s="215"/>
      <c r="D148" s="215"/>
    </row>
    <row r="149" spans="1:4" ht="21.95" customHeight="1" x14ac:dyDescent="0.2">
      <c r="A149" s="215"/>
      <c r="B149" s="215"/>
      <c r="C149" s="215"/>
      <c r="D149" s="215"/>
    </row>
    <row r="150" spans="1:4" ht="21.95" customHeight="1" x14ac:dyDescent="0.2">
      <c r="A150" s="215"/>
      <c r="B150" s="215"/>
      <c r="C150" s="215"/>
      <c r="D150" s="215"/>
    </row>
    <row r="151" spans="1:4" ht="21.95" customHeight="1" x14ac:dyDescent="0.2">
      <c r="A151" s="215"/>
      <c r="B151" s="215"/>
      <c r="C151" s="215"/>
      <c r="D151" s="215"/>
    </row>
    <row r="152" spans="1:4" ht="21.95" customHeight="1" x14ac:dyDescent="0.2">
      <c r="A152" s="215"/>
      <c r="B152" s="215"/>
      <c r="C152" s="215"/>
      <c r="D152" s="215"/>
    </row>
    <row r="153" spans="1:4" ht="21.95" customHeight="1" x14ac:dyDescent="0.2">
      <c r="A153" s="215"/>
      <c r="B153" s="215"/>
      <c r="C153" s="215"/>
      <c r="D153" s="215"/>
    </row>
    <row r="154" spans="1:4" ht="21.95" customHeight="1" x14ac:dyDescent="0.2">
      <c r="A154" s="215"/>
      <c r="B154" s="215"/>
      <c r="C154" s="215"/>
      <c r="D154" s="215"/>
    </row>
    <row r="155" spans="1:4" ht="21.95" customHeight="1" x14ac:dyDescent="0.2">
      <c r="A155" s="215"/>
      <c r="B155" s="215"/>
      <c r="C155" s="215"/>
      <c r="D155" s="215"/>
    </row>
    <row r="156" spans="1:4" ht="21.95" customHeight="1" x14ac:dyDescent="0.2">
      <c r="A156" s="215"/>
      <c r="B156" s="215"/>
      <c r="C156" s="215"/>
      <c r="D156" s="215"/>
    </row>
    <row r="157" spans="1:4" ht="21.95" customHeight="1" x14ac:dyDescent="0.2">
      <c r="A157" s="215"/>
      <c r="B157" s="215"/>
      <c r="C157" s="215"/>
      <c r="D157" s="215"/>
    </row>
    <row r="158" spans="1:4" ht="21.95" customHeight="1" x14ac:dyDescent="0.2">
      <c r="A158" s="215"/>
      <c r="B158" s="215"/>
      <c r="C158" s="215"/>
      <c r="D158" s="215"/>
    </row>
    <row r="159" spans="1:4" x14ac:dyDescent="0.2">
      <c r="A159" s="215"/>
      <c r="B159" s="215"/>
      <c r="C159" s="215"/>
      <c r="D159" s="215"/>
    </row>
    <row r="160" spans="1:4" x14ac:dyDescent="0.2">
      <c r="A160" s="215"/>
      <c r="B160" s="215"/>
      <c r="C160" s="215"/>
      <c r="D160" s="215"/>
    </row>
    <row r="161" spans="1:4" x14ac:dyDescent="0.2">
      <c r="A161" s="215"/>
      <c r="B161" s="215"/>
      <c r="C161" s="215"/>
      <c r="D161" s="215"/>
    </row>
    <row r="162" spans="1:4" x14ac:dyDescent="0.2">
      <c r="A162" s="215"/>
      <c r="B162" s="215"/>
      <c r="C162" s="215"/>
      <c r="D162" s="215"/>
    </row>
    <row r="163" spans="1:4" x14ac:dyDescent="0.2">
      <c r="A163" s="215"/>
      <c r="B163" s="215"/>
      <c r="C163" s="215"/>
      <c r="D163" s="215"/>
    </row>
    <row r="164" spans="1:4" x14ac:dyDescent="0.2">
      <c r="A164" s="215"/>
      <c r="B164" s="215"/>
      <c r="C164" s="215"/>
      <c r="D164" s="215"/>
    </row>
    <row r="165" spans="1:4" x14ac:dyDescent="0.2">
      <c r="A165" s="215"/>
      <c r="B165" s="215"/>
      <c r="C165" s="215"/>
      <c r="D165" s="215"/>
    </row>
  </sheetData>
  <mergeCells count="50">
    <mergeCell ref="A18:S18"/>
    <mergeCell ref="T18:U18"/>
    <mergeCell ref="W18:AA18"/>
    <mergeCell ref="AB18:AF18"/>
    <mergeCell ref="AB15:AF15"/>
    <mergeCell ref="A16:S16"/>
    <mergeCell ref="T16:U16"/>
    <mergeCell ref="W16:AA16"/>
    <mergeCell ref="AB16:AF16"/>
    <mergeCell ref="A17:S17"/>
    <mergeCell ref="T17:U17"/>
    <mergeCell ref="W17:AA17"/>
    <mergeCell ref="AB17:AF17"/>
    <mergeCell ref="A14:S14"/>
    <mergeCell ref="T14:U14"/>
    <mergeCell ref="W14:AA14"/>
    <mergeCell ref="A15:S15"/>
    <mergeCell ref="T15:U15"/>
    <mergeCell ref="W15:AA15"/>
    <mergeCell ref="A12:S12"/>
    <mergeCell ref="T12:U12"/>
    <mergeCell ref="W12:AA12"/>
    <mergeCell ref="AB12:AF12"/>
    <mergeCell ref="A13:S13"/>
    <mergeCell ref="T13:U13"/>
    <mergeCell ref="W13:AA13"/>
    <mergeCell ref="AB13:AF13"/>
    <mergeCell ref="A11:S11"/>
    <mergeCell ref="T11:U11"/>
    <mergeCell ref="W11:AA11"/>
    <mergeCell ref="AB11:AF11"/>
    <mergeCell ref="A8:S8"/>
    <mergeCell ref="T8:U8"/>
    <mergeCell ref="W8:AA8"/>
    <mergeCell ref="A9:S9"/>
    <mergeCell ref="T9:U9"/>
    <mergeCell ref="W9:AA9"/>
    <mergeCell ref="AB9:AF9"/>
    <mergeCell ref="A10:S10"/>
    <mergeCell ref="T10:U10"/>
    <mergeCell ref="W10:AA10"/>
    <mergeCell ref="AB10:AF10"/>
    <mergeCell ref="A1:AI1"/>
    <mergeCell ref="A2:AI2"/>
    <mergeCell ref="F3:U3"/>
    <mergeCell ref="A4:AI4"/>
    <mergeCell ref="A7:S7"/>
    <mergeCell ref="T7:U7"/>
    <mergeCell ref="W7:AA7"/>
    <mergeCell ref="AB7:AF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2"/>
  <sheetViews>
    <sheetView workbookViewId="0">
      <selection activeCell="B1" sqref="B1:AH2"/>
    </sheetView>
  </sheetViews>
  <sheetFormatPr defaultRowHeight="12.75" x14ac:dyDescent="0.2"/>
  <cols>
    <col min="1" max="1" width="5.28515625" style="559" customWidth="1"/>
    <col min="2" max="7" width="3.28515625" style="559" customWidth="1"/>
    <col min="8" max="8" width="5.140625" style="559" customWidth="1"/>
    <col min="9" max="12" width="3.28515625" style="559" customWidth="1"/>
    <col min="13" max="13" width="4.28515625" style="559" customWidth="1"/>
    <col min="14" max="15" width="3.28515625" style="559" customWidth="1"/>
    <col min="16" max="16" width="4.42578125" style="559" customWidth="1"/>
    <col min="17" max="19" width="3.28515625" style="559" customWidth="1"/>
    <col min="20" max="20" width="6.28515625" style="559" customWidth="1"/>
    <col min="21" max="24" width="3.28515625" style="559" customWidth="1"/>
    <col min="25" max="25" width="6.42578125" style="559" customWidth="1"/>
    <col min="26" max="26" width="3.42578125" style="559" customWidth="1"/>
    <col min="27" max="27" width="5.140625" style="559" customWidth="1"/>
    <col min="28" max="28" width="4.42578125" style="559" customWidth="1"/>
    <col min="29" max="29" width="4.7109375" style="559" customWidth="1"/>
    <col min="30" max="30" width="4" style="559" customWidth="1"/>
    <col min="31" max="31" width="5.140625" style="559" customWidth="1"/>
    <col min="32" max="32" width="2.42578125" style="559" customWidth="1"/>
    <col min="33" max="33" width="2.85546875" style="559" customWidth="1"/>
    <col min="34" max="34" width="4.140625" style="559" customWidth="1"/>
    <col min="35" max="36" width="9.140625" style="559"/>
    <col min="37" max="37" width="11.42578125" style="559" bestFit="1" customWidth="1"/>
    <col min="38" max="16384" width="9.140625" style="559"/>
  </cols>
  <sheetData>
    <row r="1" spans="1:34" ht="12.75" customHeight="1" x14ac:dyDescent="0.2">
      <c r="B1" s="778" t="s">
        <v>835</v>
      </c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  <c r="O1" s="778"/>
      <c r="P1" s="778"/>
      <c r="Q1" s="778"/>
      <c r="R1" s="778"/>
      <c r="S1" s="778"/>
      <c r="T1" s="778"/>
      <c r="U1" s="778"/>
      <c r="V1" s="778"/>
      <c r="W1" s="778"/>
      <c r="X1" s="778"/>
      <c r="Y1" s="778"/>
      <c r="Z1" s="778"/>
      <c r="AA1" s="778"/>
      <c r="AB1" s="778"/>
      <c r="AC1" s="778"/>
      <c r="AD1" s="778"/>
      <c r="AE1" s="778"/>
      <c r="AF1" s="778"/>
      <c r="AG1" s="778"/>
      <c r="AH1" s="778"/>
    </row>
    <row r="2" spans="1:34" ht="12.75" customHeight="1" x14ac:dyDescent="0.2"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778"/>
      <c r="T2" s="778"/>
      <c r="U2" s="778"/>
      <c r="V2" s="778"/>
      <c r="W2" s="778"/>
      <c r="X2" s="778"/>
      <c r="Y2" s="778"/>
      <c r="Z2" s="778"/>
      <c r="AA2" s="778"/>
      <c r="AB2" s="778"/>
      <c r="AC2" s="778"/>
      <c r="AD2" s="778"/>
      <c r="AE2" s="778"/>
      <c r="AF2" s="778"/>
      <c r="AG2" s="778"/>
      <c r="AH2" s="778"/>
    </row>
    <row r="3" spans="1:34" s="560" customFormat="1" ht="15.75" x14ac:dyDescent="0.25">
      <c r="B3" s="778" t="s">
        <v>663</v>
      </c>
      <c r="C3" s="778"/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  <c r="U3" s="778"/>
      <c r="V3" s="778"/>
      <c r="W3" s="778"/>
      <c r="X3" s="778"/>
      <c r="Y3" s="778"/>
      <c r="Z3" s="778"/>
      <c r="AA3" s="778"/>
      <c r="AB3" s="778"/>
      <c r="AC3" s="778"/>
      <c r="AD3" s="778"/>
      <c r="AE3" s="778"/>
      <c r="AF3" s="778"/>
      <c r="AG3" s="778"/>
      <c r="AH3" s="778"/>
    </row>
    <row r="4" spans="1:34" s="560" customFormat="1" ht="15.75" x14ac:dyDescent="0.25"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778"/>
      <c r="AC4" s="778"/>
      <c r="AD4" s="778"/>
      <c r="AE4" s="778"/>
      <c r="AF4" s="778"/>
      <c r="AG4" s="778"/>
      <c r="AH4" s="778"/>
    </row>
    <row r="5" spans="1:34" s="560" customFormat="1" ht="15.75" x14ac:dyDescent="0.25">
      <c r="B5" s="652"/>
      <c r="C5" s="652"/>
      <c r="D5" s="652"/>
      <c r="E5" s="652"/>
      <c r="F5" s="652"/>
      <c r="G5" s="778" t="s">
        <v>3</v>
      </c>
      <c r="H5" s="779"/>
      <c r="I5" s="778"/>
      <c r="J5" s="778"/>
      <c r="K5" s="778"/>
      <c r="L5" s="778"/>
      <c r="M5" s="778"/>
      <c r="N5" s="778"/>
      <c r="O5" s="778"/>
      <c r="P5" s="778"/>
      <c r="Q5" s="778"/>
      <c r="R5" s="778"/>
      <c r="S5" s="778"/>
      <c r="T5" s="778"/>
      <c r="U5" s="778"/>
      <c r="V5" s="652"/>
      <c r="W5" s="652"/>
      <c r="X5" s="652"/>
      <c r="Y5" s="652"/>
      <c r="Z5" s="652"/>
      <c r="AA5" s="652"/>
      <c r="AB5" s="652"/>
      <c r="AC5" s="652"/>
      <c r="AD5" s="652"/>
      <c r="AE5" s="652"/>
      <c r="AF5" s="652"/>
      <c r="AG5" s="652"/>
      <c r="AH5" s="652"/>
    </row>
    <row r="6" spans="1:34" ht="15.75" x14ac:dyDescent="0.2">
      <c r="B6" s="780" t="s">
        <v>191</v>
      </c>
      <c r="C6" s="780"/>
      <c r="D6" s="780"/>
      <c r="E6" s="780"/>
      <c r="F6" s="780"/>
      <c r="G6" s="780"/>
      <c r="H6" s="780"/>
      <c r="I6" s="780"/>
      <c r="J6" s="780"/>
      <c r="K6" s="780"/>
      <c r="L6" s="780"/>
      <c r="M6" s="780"/>
      <c r="N6" s="780"/>
      <c r="O6" s="780"/>
      <c r="P6" s="780"/>
      <c r="Q6" s="780"/>
      <c r="R6" s="780"/>
      <c r="S6" s="780"/>
      <c r="T6" s="780"/>
      <c r="U6" s="780"/>
      <c r="V6" s="780"/>
      <c r="W6" s="780"/>
      <c r="X6" s="780"/>
      <c r="Y6" s="780"/>
      <c r="Z6" s="780"/>
      <c r="AA6" s="780"/>
      <c r="AB6" s="780"/>
      <c r="AC6" s="780"/>
      <c r="AD6" s="780"/>
      <c r="AE6" s="780"/>
      <c r="AF6" s="780"/>
      <c r="AG6" s="780"/>
      <c r="AH6" s="780"/>
    </row>
    <row r="7" spans="1:34" ht="16.5" thickBot="1" x14ac:dyDescent="0.25">
      <c r="B7" s="653"/>
      <c r="C7" s="653"/>
      <c r="D7" s="653"/>
      <c r="E7" s="653"/>
      <c r="F7" s="653"/>
      <c r="G7" s="653"/>
      <c r="H7" s="653"/>
      <c r="I7" s="653"/>
      <c r="J7" s="653"/>
      <c r="K7" s="653"/>
      <c r="L7" s="653"/>
      <c r="M7" s="653"/>
      <c r="N7" s="653"/>
      <c r="O7" s="653"/>
      <c r="P7" s="653"/>
      <c r="Q7" s="653"/>
      <c r="R7" s="653"/>
      <c r="S7" s="653"/>
      <c r="T7" s="653"/>
      <c r="U7" s="653"/>
      <c r="V7" s="653"/>
      <c r="W7" s="653"/>
      <c r="X7" s="653"/>
      <c r="Y7" s="653"/>
      <c r="Z7" s="653"/>
      <c r="AA7" s="653"/>
      <c r="AB7" s="653"/>
      <c r="AC7" s="653"/>
      <c r="AD7" s="653"/>
      <c r="AE7" s="653"/>
      <c r="AF7" s="653"/>
      <c r="AG7" s="653"/>
      <c r="AH7" s="653"/>
    </row>
    <row r="8" spans="1:34" ht="13.5" thickBot="1" x14ac:dyDescent="0.25">
      <c r="V8" s="781" t="s">
        <v>664</v>
      </c>
      <c r="W8" s="782"/>
      <c r="X8" s="782"/>
      <c r="Y8" s="782"/>
      <c r="Z8" s="782"/>
      <c r="AA8" s="782"/>
      <c r="AB8" s="782"/>
      <c r="AC8" s="782"/>
      <c r="AD8" s="783"/>
      <c r="AF8" s="561" t="s">
        <v>192</v>
      </c>
    </row>
    <row r="9" spans="1:34" ht="12.75" customHeight="1" x14ac:dyDescent="0.2">
      <c r="A9" s="784"/>
      <c r="B9" s="785" t="s">
        <v>7</v>
      </c>
      <c r="C9" s="785"/>
      <c r="D9" s="785"/>
      <c r="E9" s="785"/>
      <c r="F9" s="785"/>
      <c r="G9" s="785"/>
      <c r="H9" s="785"/>
      <c r="I9" s="785"/>
      <c r="J9" s="785"/>
      <c r="K9" s="785"/>
      <c r="L9" s="785"/>
      <c r="M9" s="785"/>
      <c r="N9" s="785"/>
      <c r="O9" s="785"/>
      <c r="P9" s="785"/>
      <c r="Q9" s="785"/>
      <c r="R9" s="785"/>
      <c r="S9" s="785"/>
      <c r="T9" s="785"/>
      <c r="U9" s="785" t="s">
        <v>193</v>
      </c>
      <c r="V9" s="786"/>
      <c r="W9" s="786"/>
      <c r="X9" s="786"/>
      <c r="Y9" s="786"/>
      <c r="Z9" s="786" t="s">
        <v>194</v>
      </c>
      <c r="AA9" s="786"/>
      <c r="AB9" s="786"/>
      <c r="AC9" s="786"/>
      <c r="AD9" s="786"/>
      <c r="AE9" s="785"/>
      <c r="AF9" s="787"/>
      <c r="AG9" s="787"/>
      <c r="AH9" s="787"/>
    </row>
    <row r="10" spans="1:34" ht="12.75" customHeight="1" x14ac:dyDescent="0.2">
      <c r="A10" s="784"/>
      <c r="B10" s="562"/>
      <c r="C10" s="562"/>
      <c r="D10" s="562"/>
      <c r="E10" s="562"/>
      <c r="F10" s="562"/>
      <c r="G10" s="562"/>
      <c r="H10" s="562"/>
      <c r="I10" s="562"/>
      <c r="J10" s="562"/>
      <c r="K10" s="562"/>
      <c r="L10" s="562"/>
      <c r="M10" s="562"/>
      <c r="N10" s="562"/>
      <c r="O10" s="562"/>
      <c r="P10" s="562"/>
      <c r="Q10" s="562"/>
      <c r="R10" s="562"/>
      <c r="S10" s="562"/>
      <c r="T10" s="562"/>
      <c r="U10" s="785"/>
      <c r="V10" s="785"/>
      <c r="W10" s="785"/>
      <c r="X10" s="785"/>
      <c r="Y10" s="785"/>
      <c r="Z10" s="785"/>
      <c r="AA10" s="785"/>
      <c r="AB10" s="785"/>
      <c r="AC10" s="785"/>
      <c r="AD10" s="785"/>
      <c r="AE10" s="787"/>
      <c r="AF10" s="787"/>
      <c r="AG10" s="787"/>
      <c r="AH10" s="787"/>
    </row>
    <row r="11" spans="1:34" ht="12.75" customHeight="1" x14ac:dyDescent="0.2">
      <c r="A11" s="563"/>
      <c r="B11" s="789" t="s">
        <v>195</v>
      </c>
      <c r="C11" s="789"/>
      <c r="D11" s="789"/>
      <c r="E11" s="789"/>
      <c r="F11" s="789"/>
      <c r="G11" s="789"/>
      <c r="H11" s="789"/>
      <c r="I11" s="789"/>
      <c r="J11" s="789"/>
      <c r="K11" s="789"/>
      <c r="L11" s="789"/>
      <c r="M11" s="789"/>
      <c r="N11" s="789"/>
      <c r="O11" s="789"/>
      <c r="P11" s="789"/>
      <c r="Q11" s="789"/>
      <c r="R11" s="789"/>
      <c r="S11" s="789"/>
      <c r="T11" s="789"/>
      <c r="U11" s="790"/>
      <c r="V11" s="790"/>
      <c r="W11" s="790"/>
      <c r="X11" s="790"/>
      <c r="Y11" s="790"/>
      <c r="Z11" s="784"/>
      <c r="AA11" s="784"/>
      <c r="AB11" s="784"/>
      <c r="AC11" s="784"/>
      <c r="AD11" s="784"/>
      <c r="AE11" s="784"/>
      <c r="AF11" s="784"/>
      <c r="AG11" s="784"/>
      <c r="AH11" s="784"/>
    </row>
    <row r="12" spans="1:34" ht="12.75" customHeight="1" x14ac:dyDescent="0.2">
      <c r="A12" s="563"/>
      <c r="B12" s="793" t="s">
        <v>196</v>
      </c>
      <c r="C12" s="793"/>
      <c r="D12" s="793"/>
      <c r="E12" s="793"/>
      <c r="F12" s="793"/>
      <c r="G12" s="793"/>
      <c r="H12" s="793"/>
      <c r="I12" s="793"/>
      <c r="J12" s="793"/>
      <c r="K12" s="793"/>
      <c r="L12" s="793"/>
      <c r="M12" s="793"/>
      <c r="N12" s="793"/>
      <c r="O12" s="793"/>
      <c r="P12" s="793"/>
      <c r="Q12" s="793"/>
      <c r="R12" s="793"/>
      <c r="S12" s="793"/>
      <c r="T12" s="793"/>
      <c r="U12" s="792">
        <f>12*2500*12</f>
        <v>360000</v>
      </c>
      <c r="V12" s="792"/>
      <c r="W12" s="792"/>
      <c r="X12" s="792"/>
      <c r="Y12" s="792"/>
      <c r="Z12" s="784" t="s">
        <v>197</v>
      </c>
      <c r="AA12" s="784"/>
      <c r="AB12" s="784"/>
      <c r="AC12" s="784"/>
      <c r="AD12" s="784"/>
      <c r="AE12" s="784"/>
      <c r="AF12" s="784"/>
      <c r="AG12" s="784"/>
      <c r="AH12" s="784"/>
    </row>
    <row r="13" spans="1:34" ht="29.25" customHeight="1" x14ac:dyDescent="0.2">
      <c r="A13" s="563"/>
      <c r="B13" s="788" t="s">
        <v>834</v>
      </c>
      <c r="C13" s="788"/>
      <c r="D13" s="788"/>
      <c r="E13" s="788"/>
      <c r="F13" s="788"/>
      <c r="G13" s="788"/>
      <c r="H13" s="788"/>
      <c r="I13" s="788"/>
      <c r="J13" s="788"/>
      <c r="K13" s="788"/>
      <c r="L13" s="788"/>
      <c r="M13" s="788"/>
      <c r="N13" s="788"/>
      <c r="O13" s="788"/>
      <c r="P13" s="788"/>
      <c r="Q13" s="788"/>
      <c r="R13" s="788"/>
      <c r="S13" s="788"/>
      <c r="T13" s="788"/>
      <c r="U13" s="765">
        <v>2580723</v>
      </c>
      <c r="V13" s="765"/>
      <c r="W13" s="765"/>
      <c r="X13" s="765"/>
      <c r="Y13" s="765"/>
      <c r="Z13" s="784" t="s">
        <v>198</v>
      </c>
      <c r="AA13" s="784"/>
      <c r="AB13" s="784"/>
      <c r="AC13" s="784"/>
      <c r="AD13" s="784"/>
      <c r="AE13" s="784"/>
      <c r="AF13" s="784"/>
      <c r="AG13" s="784"/>
      <c r="AH13" s="784"/>
    </row>
    <row r="14" spans="1:34" x14ac:dyDescent="0.2">
      <c r="A14" s="563"/>
      <c r="B14" s="791" t="s">
        <v>665</v>
      </c>
      <c r="C14" s="791"/>
      <c r="D14" s="791"/>
      <c r="E14" s="791"/>
      <c r="F14" s="791"/>
      <c r="G14" s="791"/>
      <c r="H14" s="791"/>
      <c r="I14" s="791"/>
      <c r="J14" s="791"/>
      <c r="K14" s="791"/>
      <c r="L14" s="791"/>
      <c r="M14" s="791"/>
      <c r="N14" s="791"/>
      <c r="O14" s="791"/>
      <c r="P14" s="791"/>
      <c r="Q14" s="791"/>
      <c r="R14" s="791"/>
      <c r="S14" s="791"/>
      <c r="T14" s="791"/>
      <c r="U14" s="792">
        <f>25*1842</f>
        <v>46050</v>
      </c>
      <c r="V14" s="792"/>
      <c r="W14" s="792"/>
      <c r="X14" s="792"/>
      <c r="Y14" s="792"/>
      <c r="Z14" s="784" t="s">
        <v>199</v>
      </c>
      <c r="AA14" s="784"/>
      <c r="AB14" s="784"/>
      <c r="AC14" s="784"/>
      <c r="AD14" s="784"/>
      <c r="AE14" s="784"/>
      <c r="AF14" s="784"/>
      <c r="AG14" s="784"/>
      <c r="AH14" s="784"/>
    </row>
    <row r="15" spans="1:34" ht="12.75" customHeight="1" x14ac:dyDescent="0.2">
      <c r="A15" s="563"/>
      <c r="B15" s="788" t="s">
        <v>666</v>
      </c>
      <c r="C15" s="788"/>
      <c r="D15" s="788"/>
      <c r="E15" s="788"/>
      <c r="F15" s="788"/>
      <c r="G15" s="788"/>
      <c r="H15" s="788"/>
      <c r="I15" s="788"/>
      <c r="J15" s="788"/>
      <c r="K15" s="788"/>
      <c r="L15" s="788"/>
      <c r="M15" s="788"/>
      <c r="N15" s="788"/>
      <c r="O15" s="788"/>
      <c r="P15" s="788"/>
      <c r="Q15" s="788"/>
      <c r="R15" s="788"/>
      <c r="S15" s="788"/>
      <c r="T15" s="788"/>
      <c r="U15" s="792">
        <v>150000</v>
      </c>
      <c r="V15" s="792"/>
      <c r="W15" s="792"/>
      <c r="X15" s="792"/>
      <c r="Y15" s="792"/>
      <c r="Z15" s="784" t="s">
        <v>198</v>
      </c>
      <c r="AA15" s="784"/>
      <c r="AB15" s="784"/>
      <c r="AC15" s="784"/>
      <c r="AD15" s="784"/>
      <c r="AE15" s="784"/>
      <c r="AF15" s="784"/>
      <c r="AG15" s="784"/>
      <c r="AH15" s="784"/>
    </row>
    <row r="16" spans="1:34" ht="12.75" customHeight="1" x14ac:dyDescent="0.2">
      <c r="A16" s="563"/>
      <c r="B16" s="788" t="s">
        <v>667</v>
      </c>
      <c r="C16" s="788"/>
      <c r="D16" s="788"/>
      <c r="E16" s="788"/>
      <c r="F16" s="788"/>
      <c r="G16" s="788"/>
      <c r="H16" s="788"/>
      <c r="I16" s="788"/>
      <c r="J16" s="788"/>
      <c r="K16" s="788"/>
      <c r="L16" s="788"/>
      <c r="M16" s="788"/>
      <c r="N16" s="788"/>
      <c r="O16" s="788"/>
      <c r="P16" s="788"/>
      <c r="Q16" s="788"/>
      <c r="R16" s="788"/>
      <c r="S16" s="788"/>
      <c r="T16" s="788"/>
      <c r="U16" s="765">
        <f>200*1842</f>
        <v>368400</v>
      </c>
      <c r="V16" s="765"/>
      <c r="W16" s="765"/>
      <c r="X16" s="765"/>
      <c r="Y16" s="765"/>
      <c r="Z16" s="784" t="s">
        <v>198</v>
      </c>
      <c r="AA16" s="784"/>
      <c r="AB16" s="784"/>
      <c r="AC16" s="784"/>
      <c r="AD16" s="784"/>
      <c r="AE16" s="784"/>
      <c r="AF16" s="784"/>
      <c r="AG16" s="784"/>
      <c r="AH16" s="784"/>
    </row>
    <row r="17" spans="1:37" ht="12.75" customHeight="1" x14ac:dyDescent="0.2">
      <c r="A17" s="563"/>
      <c r="B17" s="794" t="s">
        <v>668</v>
      </c>
      <c r="C17" s="795"/>
      <c r="D17" s="795"/>
      <c r="E17" s="795"/>
      <c r="F17" s="795"/>
      <c r="G17" s="795"/>
      <c r="H17" s="795"/>
      <c r="I17" s="795"/>
      <c r="J17" s="795"/>
      <c r="K17" s="795"/>
      <c r="L17" s="795"/>
      <c r="M17" s="795"/>
      <c r="N17" s="795"/>
      <c r="O17" s="795"/>
      <c r="P17" s="795"/>
      <c r="Q17" s="795"/>
      <c r="R17" s="795"/>
      <c r="S17" s="795"/>
      <c r="T17" s="796"/>
      <c r="U17" s="797">
        <f>1842*80*12</f>
        <v>1768320</v>
      </c>
      <c r="V17" s="798"/>
      <c r="W17" s="798"/>
      <c r="X17" s="798"/>
      <c r="Y17" s="799"/>
      <c r="Z17" s="654"/>
      <c r="AA17" s="654"/>
      <c r="AB17" s="654"/>
      <c r="AC17" s="654"/>
      <c r="AD17" s="654"/>
      <c r="AE17" s="654"/>
      <c r="AF17" s="654"/>
      <c r="AG17" s="654"/>
      <c r="AH17" s="654"/>
    </row>
    <row r="18" spans="1:37" ht="23.25" customHeight="1" x14ac:dyDescent="0.2">
      <c r="A18" s="563"/>
      <c r="B18" s="788" t="s">
        <v>669</v>
      </c>
      <c r="C18" s="788"/>
      <c r="D18" s="788"/>
      <c r="E18" s="788"/>
      <c r="F18" s="788"/>
      <c r="G18" s="788"/>
      <c r="H18" s="788"/>
      <c r="I18" s="788"/>
      <c r="J18" s="788"/>
      <c r="K18" s="788"/>
      <c r="L18" s="788"/>
      <c r="M18" s="788"/>
      <c r="N18" s="788"/>
      <c r="O18" s="788"/>
      <c r="P18" s="788"/>
      <c r="Q18" s="788"/>
      <c r="R18" s="788"/>
      <c r="S18" s="788"/>
      <c r="T18" s="788"/>
      <c r="U18" s="765">
        <f>60*1842</f>
        <v>110520</v>
      </c>
      <c r="V18" s="765"/>
      <c r="W18" s="765"/>
      <c r="X18" s="765"/>
      <c r="Y18" s="765"/>
      <c r="Z18" s="784" t="s">
        <v>198</v>
      </c>
      <c r="AA18" s="784"/>
      <c r="AB18" s="784"/>
      <c r="AC18" s="784"/>
      <c r="AD18" s="784"/>
      <c r="AE18" s="654"/>
      <c r="AF18" s="654"/>
      <c r="AG18" s="654"/>
      <c r="AH18" s="654"/>
    </row>
    <row r="19" spans="1:37" ht="23.25" customHeight="1" x14ac:dyDescent="0.2">
      <c r="A19" s="563"/>
      <c r="B19" s="793" t="s">
        <v>670</v>
      </c>
      <c r="C19" s="793"/>
      <c r="D19" s="793"/>
      <c r="E19" s="793"/>
      <c r="F19" s="793"/>
      <c r="G19" s="793"/>
      <c r="H19" s="793"/>
      <c r="I19" s="793"/>
      <c r="J19" s="793"/>
      <c r="K19" s="793"/>
      <c r="L19" s="793"/>
      <c r="M19" s="793"/>
      <c r="N19" s="793"/>
      <c r="O19" s="793"/>
      <c r="P19" s="793"/>
      <c r="Q19" s="793"/>
      <c r="R19" s="793"/>
      <c r="S19" s="793"/>
      <c r="T19" s="793"/>
      <c r="U19" s="765">
        <v>397149</v>
      </c>
      <c r="V19" s="765"/>
      <c r="W19" s="765"/>
      <c r="X19" s="765"/>
      <c r="Y19" s="765"/>
      <c r="Z19" s="784" t="s">
        <v>198</v>
      </c>
      <c r="AA19" s="784"/>
      <c r="AB19" s="784"/>
      <c r="AC19" s="784"/>
      <c r="AD19" s="784"/>
      <c r="AE19" s="784"/>
      <c r="AF19" s="784"/>
      <c r="AG19" s="784"/>
      <c r="AH19" s="784"/>
    </row>
    <row r="20" spans="1:37" ht="19.5" customHeight="1" x14ac:dyDescent="0.2">
      <c r="A20" s="563"/>
      <c r="B20" s="802" t="s">
        <v>200</v>
      </c>
      <c r="C20" s="802"/>
      <c r="D20" s="802"/>
      <c r="E20" s="802"/>
      <c r="F20" s="802"/>
      <c r="G20" s="802"/>
      <c r="H20" s="802"/>
      <c r="I20" s="802"/>
      <c r="J20" s="802"/>
      <c r="K20" s="802"/>
      <c r="L20" s="802"/>
      <c r="M20" s="802"/>
      <c r="N20" s="802"/>
      <c r="O20" s="802"/>
      <c r="P20" s="802"/>
      <c r="Q20" s="802"/>
      <c r="R20" s="802"/>
      <c r="S20" s="802"/>
      <c r="T20" s="802"/>
      <c r="U20" s="803">
        <f>SUM(U12:Y19)</f>
        <v>5781162</v>
      </c>
      <c r="V20" s="803"/>
      <c r="W20" s="803"/>
      <c r="X20" s="803"/>
      <c r="Y20" s="803"/>
      <c r="Z20" s="784"/>
      <c r="AA20" s="784"/>
      <c r="AB20" s="784"/>
      <c r="AC20" s="784"/>
      <c r="AD20" s="784"/>
      <c r="AE20" s="784"/>
      <c r="AF20" s="784"/>
      <c r="AG20" s="784"/>
      <c r="AH20" s="784"/>
      <c r="AK20" s="564"/>
    </row>
    <row r="21" spans="1:37" ht="19.5" customHeight="1" x14ac:dyDescent="0.2">
      <c r="A21" s="563"/>
      <c r="B21" s="800"/>
      <c r="C21" s="800"/>
      <c r="D21" s="800"/>
      <c r="E21" s="800"/>
      <c r="F21" s="800"/>
      <c r="G21" s="800"/>
      <c r="H21" s="800"/>
      <c r="I21" s="800"/>
      <c r="J21" s="800"/>
      <c r="K21" s="800"/>
      <c r="L21" s="800"/>
      <c r="M21" s="800"/>
      <c r="N21" s="800"/>
      <c r="O21" s="800"/>
      <c r="P21" s="800"/>
      <c r="Q21" s="800"/>
      <c r="R21" s="800"/>
      <c r="S21" s="800"/>
      <c r="T21" s="800"/>
      <c r="U21" s="801"/>
      <c r="V21" s="801"/>
      <c r="W21" s="801"/>
      <c r="X21" s="801"/>
      <c r="Y21" s="801"/>
      <c r="Z21" s="801"/>
      <c r="AA21" s="801"/>
      <c r="AB21" s="801"/>
      <c r="AC21" s="801"/>
      <c r="AD21" s="801"/>
      <c r="AE21" s="784"/>
      <c r="AF21" s="784"/>
      <c r="AG21" s="784"/>
      <c r="AH21" s="784"/>
    </row>
    <row r="22" spans="1:37" ht="19.5" customHeight="1" x14ac:dyDescent="0.2">
      <c r="A22" s="563"/>
      <c r="B22" s="789" t="s">
        <v>201</v>
      </c>
      <c r="C22" s="789"/>
      <c r="D22" s="789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789"/>
      <c r="S22" s="789"/>
      <c r="T22" s="789"/>
      <c r="U22" s="790"/>
      <c r="V22" s="790"/>
      <c r="W22" s="790"/>
      <c r="X22" s="790"/>
      <c r="Y22" s="790"/>
      <c r="Z22" s="784"/>
      <c r="AA22" s="784"/>
      <c r="AB22" s="784"/>
      <c r="AC22" s="784"/>
      <c r="AD22" s="784"/>
      <c r="AE22" s="784"/>
      <c r="AF22" s="784"/>
      <c r="AG22" s="784"/>
      <c r="AH22" s="784"/>
    </row>
    <row r="23" spans="1:37" ht="19.5" customHeight="1" x14ac:dyDescent="0.2">
      <c r="A23" s="563"/>
      <c r="B23" s="791" t="s">
        <v>202</v>
      </c>
      <c r="C23" s="804"/>
      <c r="D23" s="804"/>
      <c r="E23" s="804"/>
      <c r="F23" s="804"/>
      <c r="G23" s="804"/>
      <c r="H23" s="804"/>
      <c r="I23" s="804"/>
      <c r="J23" s="804"/>
      <c r="K23" s="804"/>
      <c r="L23" s="804"/>
      <c r="M23" s="804"/>
      <c r="N23" s="804"/>
      <c r="O23" s="804"/>
      <c r="P23" s="804"/>
      <c r="Q23" s="804"/>
      <c r="R23" s="804"/>
      <c r="S23" s="804"/>
      <c r="T23" s="804"/>
      <c r="U23" s="765">
        <v>500000</v>
      </c>
      <c r="V23" s="765"/>
      <c r="W23" s="765"/>
      <c r="X23" s="765"/>
      <c r="Y23" s="765"/>
      <c r="Z23" s="784"/>
      <c r="AA23" s="784"/>
      <c r="AB23" s="784"/>
      <c r="AC23" s="784"/>
      <c r="AD23" s="784"/>
      <c r="AE23" s="784"/>
      <c r="AF23" s="784"/>
      <c r="AG23" s="784"/>
      <c r="AH23" s="784"/>
    </row>
    <row r="24" spans="1:37" ht="19.5" customHeight="1" x14ac:dyDescent="0.2">
      <c r="A24" s="563"/>
      <c r="B24" s="791" t="s">
        <v>203</v>
      </c>
      <c r="C24" s="791"/>
      <c r="D24" s="791"/>
      <c r="E24" s="791"/>
      <c r="F24" s="791"/>
      <c r="G24" s="791"/>
      <c r="H24" s="791"/>
      <c r="I24" s="791"/>
      <c r="J24" s="791"/>
      <c r="K24" s="791"/>
      <c r="L24" s="791"/>
      <c r="M24" s="791"/>
      <c r="N24" s="791"/>
      <c r="O24" s="791"/>
      <c r="P24" s="791"/>
      <c r="Q24" s="791"/>
      <c r="R24" s="791"/>
      <c r="S24" s="791"/>
      <c r="T24" s="791"/>
      <c r="U24" s="790">
        <v>1700000</v>
      </c>
      <c r="V24" s="790"/>
      <c r="W24" s="790"/>
      <c r="X24" s="790"/>
      <c r="Y24" s="790"/>
      <c r="Z24" s="784" t="s">
        <v>204</v>
      </c>
      <c r="AA24" s="784"/>
      <c r="AB24" s="784"/>
      <c r="AC24" s="784"/>
      <c r="AD24" s="784"/>
      <c r="AE24" s="784"/>
      <c r="AF24" s="784"/>
      <c r="AG24" s="784"/>
      <c r="AH24" s="784"/>
    </row>
    <row r="25" spans="1:37" ht="19.5" customHeight="1" x14ac:dyDescent="0.2">
      <c r="A25" s="563"/>
      <c r="B25" s="791" t="s">
        <v>671</v>
      </c>
      <c r="C25" s="791"/>
      <c r="D25" s="791"/>
      <c r="E25" s="791"/>
      <c r="F25" s="791"/>
      <c r="G25" s="791"/>
      <c r="H25" s="791"/>
      <c r="I25" s="791"/>
      <c r="J25" s="791"/>
      <c r="K25" s="791"/>
      <c r="L25" s="791"/>
      <c r="M25" s="791"/>
      <c r="N25" s="791"/>
      <c r="O25" s="791"/>
      <c r="P25" s="791"/>
      <c r="Q25" s="791"/>
      <c r="R25" s="791"/>
      <c r="S25" s="791"/>
      <c r="T25" s="791"/>
      <c r="U25" s="790">
        <v>50000</v>
      </c>
      <c r="V25" s="790"/>
      <c r="W25" s="790"/>
      <c r="X25" s="790"/>
      <c r="Y25" s="790"/>
      <c r="Z25" s="784" t="s">
        <v>205</v>
      </c>
      <c r="AA25" s="784"/>
      <c r="AB25" s="784"/>
      <c r="AC25" s="784"/>
      <c r="AD25" s="784"/>
      <c r="AE25" s="784"/>
      <c r="AF25" s="784"/>
      <c r="AG25" s="784"/>
      <c r="AH25" s="784"/>
    </row>
    <row r="26" spans="1:37" ht="19.5" customHeight="1" x14ac:dyDescent="0.2">
      <c r="A26" s="563"/>
      <c r="B26" s="791" t="s">
        <v>206</v>
      </c>
      <c r="C26" s="791"/>
      <c r="D26" s="791"/>
      <c r="E26" s="791"/>
      <c r="F26" s="791"/>
      <c r="G26" s="791"/>
      <c r="H26" s="791"/>
      <c r="I26" s="791"/>
      <c r="J26" s="791"/>
      <c r="K26" s="791"/>
      <c r="L26" s="791"/>
      <c r="M26" s="791"/>
      <c r="N26" s="791"/>
      <c r="O26" s="791"/>
      <c r="P26" s="791"/>
      <c r="Q26" s="791"/>
      <c r="R26" s="791"/>
      <c r="S26" s="791"/>
      <c r="T26" s="791"/>
      <c r="U26" s="790">
        <v>30000</v>
      </c>
      <c r="V26" s="790"/>
      <c r="W26" s="790"/>
      <c r="X26" s="790"/>
      <c r="Y26" s="790"/>
      <c r="Z26" s="784" t="s">
        <v>205</v>
      </c>
      <c r="AA26" s="784"/>
      <c r="AB26" s="784"/>
      <c r="AC26" s="784"/>
      <c r="AD26" s="784"/>
      <c r="AE26" s="784"/>
      <c r="AF26" s="784"/>
      <c r="AG26" s="784"/>
      <c r="AH26" s="784"/>
    </row>
    <row r="27" spans="1:37" ht="19.5" customHeight="1" x14ac:dyDescent="0.2">
      <c r="A27" s="563"/>
      <c r="B27" s="791"/>
      <c r="C27" s="791"/>
      <c r="D27" s="791"/>
      <c r="E27" s="791"/>
      <c r="F27" s="791"/>
      <c r="G27" s="791"/>
      <c r="H27" s="791"/>
      <c r="I27" s="791"/>
      <c r="J27" s="791"/>
      <c r="K27" s="791"/>
      <c r="L27" s="791"/>
      <c r="M27" s="791"/>
      <c r="N27" s="791"/>
      <c r="O27" s="791"/>
      <c r="P27" s="791"/>
      <c r="Q27" s="791"/>
      <c r="R27" s="791"/>
      <c r="S27" s="791"/>
      <c r="T27" s="791"/>
      <c r="U27" s="790"/>
      <c r="V27" s="790"/>
      <c r="W27" s="790"/>
      <c r="X27" s="790"/>
      <c r="Y27" s="790"/>
      <c r="Z27" s="784"/>
      <c r="AA27" s="784"/>
      <c r="AB27" s="784"/>
      <c r="AC27" s="784"/>
      <c r="AD27" s="784"/>
      <c r="AE27" s="784"/>
      <c r="AF27" s="784"/>
      <c r="AG27" s="784"/>
      <c r="AH27" s="784"/>
    </row>
    <row r="28" spans="1:37" ht="19.5" customHeight="1" x14ac:dyDescent="0.2">
      <c r="A28" s="563"/>
      <c r="B28" s="791" t="s">
        <v>672</v>
      </c>
      <c r="C28" s="791"/>
      <c r="D28" s="791"/>
      <c r="E28" s="791"/>
      <c r="F28" s="791"/>
      <c r="G28" s="791"/>
      <c r="H28" s="791"/>
      <c r="I28" s="791"/>
      <c r="J28" s="791"/>
      <c r="K28" s="791"/>
      <c r="L28" s="791"/>
      <c r="M28" s="791"/>
      <c r="N28" s="791"/>
      <c r="O28" s="791"/>
      <c r="P28" s="791"/>
      <c r="Q28" s="791"/>
      <c r="R28" s="791"/>
      <c r="S28" s="791"/>
      <c r="T28" s="791"/>
      <c r="U28" s="792">
        <f>8400*12</f>
        <v>100800</v>
      </c>
      <c r="V28" s="792"/>
      <c r="W28" s="792"/>
      <c r="X28" s="792"/>
      <c r="Y28" s="792"/>
      <c r="Z28" s="784" t="s">
        <v>207</v>
      </c>
      <c r="AA28" s="784"/>
      <c r="AB28" s="784"/>
      <c r="AC28" s="784"/>
      <c r="AD28" s="784"/>
      <c r="AE28" s="784"/>
      <c r="AF28" s="784"/>
      <c r="AG28" s="784"/>
      <c r="AH28" s="784"/>
    </row>
    <row r="29" spans="1:37" ht="19.5" customHeight="1" x14ac:dyDescent="0.2">
      <c r="A29" s="563"/>
      <c r="B29" s="793"/>
      <c r="C29" s="793"/>
      <c r="D29" s="793"/>
      <c r="E29" s="793"/>
      <c r="F29" s="793"/>
      <c r="G29" s="793"/>
      <c r="H29" s="793"/>
      <c r="I29" s="793"/>
      <c r="J29" s="793"/>
      <c r="K29" s="793"/>
      <c r="L29" s="793"/>
      <c r="M29" s="793"/>
      <c r="N29" s="793"/>
      <c r="O29" s="793"/>
      <c r="P29" s="793"/>
      <c r="Q29" s="793"/>
      <c r="R29" s="793"/>
      <c r="S29" s="793"/>
      <c r="T29" s="793"/>
      <c r="U29" s="790"/>
      <c r="V29" s="790"/>
      <c r="W29" s="790"/>
      <c r="X29" s="790"/>
      <c r="Y29" s="790"/>
      <c r="Z29" s="784"/>
      <c r="AA29" s="784"/>
      <c r="AB29" s="784"/>
      <c r="AC29" s="784"/>
      <c r="AD29" s="784"/>
      <c r="AE29" s="784"/>
      <c r="AF29" s="784"/>
      <c r="AG29" s="784"/>
      <c r="AH29" s="784"/>
    </row>
    <row r="30" spans="1:37" ht="19.5" customHeight="1" x14ac:dyDescent="0.2">
      <c r="A30" s="563"/>
      <c r="B30" s="802" t="s">
        <v>208</v>
      </c>
      <c r="C30" s="802"/>
      <c r="D30" s="802"/>
      <c r="E30" s="802"/>
      <c r="F30" s="802"/>
      <c r="G30" s="802"/>
      <c r="H30" s="802"/>
      <c r="I30" s="802"/>
      <c r="J30" s="802"/>
      <c r="K30" s="802"/>
      <c r="L30" s="802"/>
      <c r="M30" s="802"/>
      <c r="N30" s="802"/>
      <c r="O30" s="802"/>
      <c r="P30" s="802"/>
      <c r="Q30" s="802"/>
      <c r="R30" s="802"/>
      <c r="S30" s="802"/>
      <c r="T30" s="802"/>
      <c r="U30" s="803">
        <f>SUM(U23:Y29)</f>
        <v>2380800</v>
      </c>
      <c r="V30" s="803"/>
      <c r="W30" s="803"/>
      <c r="X30" s="803"/>
      <c r="Y30" s="803"/>
      <c r="Z30" s="784"/>
      <c r="AA30" s="784"/>
      <c r="AB30" s="784"/>
      <c r="AC30" s="784"/>
      <c r="AD30" s="784"/>
      <c r="AE30" s="784"/>
      <c r="AF30" s="784"/>
      <c r="AG30" s="784"/>
      <c r="AH30" s="784"/>
      <c r="AK30" s="564"/>
    </row>
    <row r="31" spans="1:37" ht="19.5" customHeight="1" x14ac:dyDescent="0.2">
      <c r="A31" s="563"/>
      <c r="B31" s="802" t="s">
        <v>209</v>
      </c>
      <c r="C31" s="802"/>
      <c r="D31" s="802"/>
      <c r="E31" s="802"/>
      <c r="F31" s="802"/>
      <c r="G31" s="802"/>
      <c r="H31" s="802"/>
      <c r="I31" s="802"/>
      <c r="J31" s="802"/>
      <c r="K31" s="802"/>
      <c r="L31" s="802"/>
      <c r="M31" s="802"/>
      <c r="N31" s="802"/>
      <c r="O31" s="802"/>
      <c r="P31" s="802"/>
      <c r="Q31" s="802"/>
      <c r="R31" s="802"/>
      <c r="S31" s="802"/>
      <c r="T31" s="802"/>
      <c r="U31" s="803">
        <f>+U30+U20</f>
        <v>8161962</v>
      </c>
      <c r="V31" s="803"/>
      <c r="W31" s="803"/>
      <c r="X31" s="803"/>
      <c r="Y31" s="803"/>
      <c r="Z31" s="784"/>
      <c r="AA31" s="784"/>
      <c r="AB31" s="784"/>
      <c r="AC31" s="784"/>
      <c r="AD31" s="784"/>
      <c r="AE31" s="784"/>
      <c r="AF31" s="784"/>
      <c r="AG31" s="784"/>
      <c r="AH31" s="784"/>
      <c r="AK31" s="564"/>
    </row>
    <row r="32" spans="1:37" ht="19.5" customHeight="1" x14ac:dyDescent="0.2">
      <c r="A32" s="563"/>
      <c r="B32" s="788"/>
      <c r="C32" s="788"/>
      <c r="D32" s="788"/>
      <c r="E32" s="788"/>
      <c r="F32" s="788"/>
      <c r="G32" s="788"/>
      <c r="H32" s="788"/>
      <c r="I32" s="788"/>
      <c r="J32" s="788"/>
      <c r="K32" s="788"/>
      <c r="L32" s="788"/>
      <c r="M32" s="788"/>
      <c r="N32" s="788"/>
      <c r="O32" s="788"/>
      <c r="P32" s="788"/>
      <c r="Q32" s="788"/>
      <c r="R32" s="788"/>
      <c r="S32" s="788"/>
      <c r="T32" s="788"/>
      <c r="U32" s="790"/>
      <c r="V32" s="790"/>
      <c r="W32" s="790"/>
      <c r="X32" s="790"/>
      <c r="Y32" s="790"/>
      <c r="Z32" s="784" t="s">
        <v>210</v>
      </c>
      <c r="AA32" s="784"/>
      <c r="AB32" s="784"/>
      <c r="AC32" s="784"/>
      <c r="AD32" s="784"/>
      <c r="AE32" s="784"/>
      <c r="AF32" s="784"/>
      <c r="AG32" s="784"/>
      <c r="AH32" s="784"/>
      <c r="AK32" s="564"/>
    </row>
    <row r="33" spans="1:37" ht="19.5" customHeight="1" x14ac:dyDescent="0.2">
      <c r="A33" s="563"/>
      <c r="B33" s="788"/>
      <c r="C33" s="788"/>
      <c r="D33" s="788"/>
      <c r="E33" s="788"/>
      <c r="F33" s="788"/>
      <c r="G33" s="788"/>
      <c r="H33" s="788"/>
      <c r="I33" s="788"/>
      <c r="J33" s="788"/>
      <c r="K33" s="788"/>
      <c r="L33" s="788"/>
      <c r="M33" s="788"/>
      <c r="N33" s="788"/>
      <c r="O33" s="788"/>
      <c r="P33" s="788"/>
      <c r="Q33" s="788"/>
      <c r="R33" s="788"/>
      <c r="S33" s="788"/>
      <c r="T33" s="788"/>
      <c r="U33" s="790"/>
      <c r="V33" s="790"/>
      <c r="W33" s="790"/>
      <c r="X33" s="790"/>
      <c r="Y33" s="790"/>
      <c r="Z33" s="784" t="s">
        <v>211</v>
      </c>
      <c r="AA33" s="784"/>
      <c r="AB33" s="784"/>
      <c r="AC33" s="784"/>
      <c r="AD33" s="784"/>
      <c r="AE33" s="784"/>
      <c r="AF33" s="784"/>
      <c r="AG33" s="784"/>
      <c r="AH33" s="784"/>
      <c r="AK33" s="564"/>
    </row>
    <row r="34" spans="1:37" ht="19.5" customHeight="1" x14ac:dyDescent="0.2">
      <c r="A34" s="563"/>
      <c r="B34" s="802" t="s">
        <v>212</v>
      </c>
      <c r="C34" s="802"/>
      <c r="D34" s="802"/>
      <c r="E34" s="802"/>
      <c r="F34" s="802"/>
      <c r="G34" s="802"/>
      <c r="H34" s="802"/>
      <c r="I34" s="802"/>
      <c r="J34" s="802"/>
      <c r="K34" s="802"/>
      <c r="L34" s="802"/>
      <c r="M34" s="802"/>
      <c r="N34" s="802"/>
      <c r="O34" s="802"/>
      <c r="P34" s="802"/>
      <c r="Q34" s="802"/>
      <c r="R34" s="802"/>
      <c r="S34" s="802"/>
      <c r="T34" s="802"/>
      <c r="U34" s="803">
        <f>+U32+U33</f>
        <v>0</v>
      </c>
      <c r="V34" s="803"/>
      <c r="W34" s="803"/>
      <c r="X34" s="803"/>
      <c r="Y34" s="803"/>
      <c r="Z34" s="784"/>
      <c r="AA34" s="784"/>
      <c r="AB34" s="784"/>
      <c r="AC34" s="784"/>
      <c r="AD34" s="784"/>
      <c r="AE34" s="784"/>
      <c r="AF34" s="784"/>
      <c r="AG34" s="784"/>
      <c r="AH34" s="784"/>
      <c r="AK34" s="564"/>
    </row>
    <row r="35" spans="1:37" ht="21.95" customHeight="1" x14ac:dyDescent="0.2">
      <c r="AK35" s="564"/>
    </row>
    <row r="36" spans="1:37" ht="21.95" customHeight="1" x14ac:dyDescent="0.2"/>
    <row r="37" spans="1:37" ht="21.95" customHeight="1" x14ac:dyDescent="0.2"/>
    <row r="38" spans="1:37" ht="21.95" customHeight="1" x14ac:dyDescent="0.2"/>
    <row r="39" spans="1:37" ht="21.95" customHeight="1" x14ac:dyDescent="0.2"/>
    <row r="40" spans="1:37" ht="21.95" customHeight="1" x14ac:dyDescent="0.2"/>
    <row r="41" spans="1:37" ht="21.95" customHeight="1" x14ac:dyDescent="0.2"/>
    <row r="42" spans="1:37" ht="21.95" customHeight="1" x14ac:dyDescent="0.2"/>
    <row r="43" spans="1:37" ht="21.95" customHeight="1" x14ac:dyDescent="0.2"/>
    <row r="44" spans="1:37" ht="21.95" customHeight="1" x14ac:dyDescent="0.2"/>
    <row r="45" spans="1:37" ht="21.95" customHeight="1" x14ac:dyDescent="0.2"/>
    <row r="46" spans="1:37" ht="21.95" customHeight="1" x14ac:dyDescent="0.2"/>
    <row r="47" spans="1:37" ht="21.95" customHeight="1" x14ac:dyDescent="0.2"/>
    <row r="48" spans="1:37" ht="21.95" customHeight="1" x14ac:dyDescent="0.2"/>
    <row r="100" spans="2:5" x14ac:dyDescent="0.2">
      <c r="B100" s="565"/>
      <c r="C100" s="565"/>
      <c r="D100" s="565"/>
      <c r="E100" s="565"/>
    </row>
    <row r="101" spans="2:5" x14ac:dyDescent="0.2">
      <c r="B101" s="565"/>
      <c r="C101" s="565"/>
      <c r="D101" s="565"/>
      <c r="E101" s="565"/>
    </row>
    <row r="102" spans="2:5" x14ac:dyDescent="0.2">
      <c r="B102" s="565"/>
      <c r="C102" s="565"/>
      <c r="D102" s="565"/>
      <c r="E102" s="565"/>
    </row>
    <row r="103" spans="2:5" x14ac:dyDescent="0.2">
      <c r="B103" s="565"/>
      <c r="C103" s="565"/>
      <c r="D103" s="565"/>
      <c r="E103" s="565"/>
    </row>
    <row r="104" spans="2:5" x14ac:dyDescent="0.2">
      <c r="B104" s="565"/>
      <c r="C104" s="565"/>
      <c r="D104" s="565"/>
      <c r="E104" s="565"/>
    </row>
    <row r="105" spans="2:5" x14ac:dyDescent="0.2">
      <c r="B105" s="565"/>
      <c r="C105" s="565"/>
      <c r="D105" s="565"/>
      <c r="E105" s="565"/>
    </row>
    <row r="106" spans="2:5" x14ac:dyDescent="0.2">
      <c r="B106" s="565"/>
      <c r="C106" s="565"/>
      <c r="D106" s="565"/>
      <c r="E106" s="565"/>
    </row>
    <row r="107" spans="2:5" x14ac:dyDescent="0.2">
      <c r="B107" s="565"/>
      <c r="C107" s="565"/>
      <c r="D107" s="565"/>
      <c r="E107" s="565"/>
    </row>
    <row r="108" spans="2:5" x14ac:dyDescent="0.2">
      <c r="B108" s="565"/>
      <c r="C108" s="565"/>
      <c r="D108" s="565"/>
      <c r="E108" s="565"/>
    </row>
    <row r="109" spans="2:5" x14ac:dyDescent="0.2">
      <c r="B109" s="565"/>
      <c r="C109" s="565"/>
      <c r="D109" s="565"/>
      <c r="E109" s="565"/>
    </row>
    <row r="110" spans="2:5" x14ac:dyDescent="0.2">
      <c r="B110" s="565"/>
      <c r="C110" s="565"/>
      <c r="D110" s="565"/>
      <c r="E110" s="565"/>
    </row>
    <row r="111" spans="2:5" x14ac:dyDescent="0.2">
      <c r="B111" s="565"/>
      <c r="C111" s="565"/>
      <c r="D111" s="565"/>
      <c r="E111" s="565"/>
    </row>
    <row r="112" spans="2:5" x14ac:dyDescent="0.2">
      <c r="B112" s="565"/>
      <c r="C112" s="565"/>
      <c r="D112" s="565"/>
      <c r="E112" s="565"/>
    </row>
    <row r="113" spans="2:5" x14ac:dyDescent="0.2">
      <c r="B113" s="565"/>
      <c r="C113" s="565"/>
      <c r="D113" s="565"/>
      <c r="E113" s="565"/>
    </row>
    <row r="114" spans="2:5" x14ac:dyDescent="0.2">
      <c r="B114" s="565"/>
      <c r="C114" s="565"/>
      <c r="D114" s="565"/>
      <c r="E114" s="565"/>
    </row>
    <row r="115" spans="2:5" x14ac:dyDescent="0.2">
      <c r="B115" s="565"/>
      <c r="C115" s="565"/>
      <c r="D115" s="565"/>
      <c r="E115" s="565"/>
    </row>
    <row r="116" spans="2:5" x14ac:dyDescent="0.2">
      <c r="B116" s="565"/>
      <c r="C116" s="565"/>
      <c r="D116" s="565"/>
      <c r="E116" s="565"/>
    </row>
    <row r="117" spans="2:5" x14ac:dyDescent="0.2">
      <c r="B117" s="565"/>
      <c r="C117" s="565"/>
      <c r="D117" s="565"/>
      <c r="E117" s="565"/>
    </row>
    <row r="118" spans="2:5" x14ac:dyDescent="0.2">
      <c r="B118" s="565"/>
      <c r="C118" s="565"/>
      <c r="D118" s="565"/>
      <c r="E118" s="565"/>
    </row>
    <row r="119" spans="2:5" x14ac:dyDescent="0.2">
      <c r="B119" s="565"/>
      <c r="C119" s="565"/>
      <c r="D119" s="565"/>
      <c r="E119" s="565"/>
    </row>
    <row r="120" spans="2:5" x14ac:dyDescent="0.2">
      <c r="B120" s="565"/>
      <c r="C120" s="565"/>
      <c r="D120" s="565"/>
      <c r="E120" s="565"/>
    </row>
    <row r="121" spans="2:5" x14ac:dyDescent="0.2">
      <c r="B121" s="565"/>
      <c r="C121" s="565"/>
      <c r="D121" s="565"/>
      <c r="E121" s="565"/>
    </row>
    <row r="122" spans="2:5" x14ac:dyDescent="0.2">
      <c r="B122" s="565"/>
      <c r="C122" s="565"/>
      <c r="D122" s="565"/>
      <c r="E122" s="565"/>
    </row>
    <row r="123" spans="2:5" x14ac:dyDescent="0.2">
      <c r="B123" s="565"/>
      <c r="C123" s="565"/>
      <c r="D123" s="565"/>
      <c r="E123" s="565"/>
    </row>
    <row r="124" spans="2:5" x14ac:dyDescent="0.2">
      <c r="B124" s="565"/>
      <c r="C124" s="565"/>
      <c r="D124" s="565"/>
      <c r="E124" s="565"/>
    </row>
    <row r="125" spans="2:5" x14ac:dyDescent="0.2">
      <c r="B125" s="565"/>
      <c r="C125" s="565"/>
      <c r="D125" s="565"/>
      <c r="E125" s="565"/>
    </row>
    <row r="126" spans="2:5" x14ac:dyDescent="0.2">
      <c r="B126" s="565"/>
      <c r="C126" s="565"/>
      <c r="D126" s="565"/>
      <c r="E126" s="565"/>
    </row>
    <row r="127" spans="2:5" x14ac:dyDescent="0.2">
      <c r="B127" s="565"/>
      <c r="C127" s="565"/>
      <c r="D127" s="565"/>
      <c r="E127" s="565"/>
    </row>
    <row r="128" spans="2:5" x14ac:dyDescent="0.2">
      <c r="B128" s="565"/>
      <c r="C128" s="565"/>
      <c r="D128" s="565"/>
      <c r="E128" s="565"/>
    </row>
    <row r="129" spans="2:5" x14ac:dyDescent="0.2">
      <c r="B129" s="565"/>
      <c r="C129" s="565"/>
      <c r="D129" s="565"/>
      <c r="E129" s="565"/>
    </row>
    <row r="130" spans="2:5" x14ac:dyDescent="0.2">
      <c r="B130" s="565"/>
      <c r="C130" s="565"/>
      <c r="D130" s="565"/>
      <c r="E130" s="565"/>
    </row>
    <row r="131" spans="2:5" x14ac:dyDescent="0.2">
      <c r="B131" s="565"/>
      <c r="C131" s="565"/>
      <c r="D131" s="565"/>
      <c r="E131" s="565"/>
    </row>
    <row r="132" spans="2:5" x14ac:dyDescent="0.2">
      <c r="B132" s="565"/>
      <c r="C132" s="565"/>
      <c r="D132" s="565"/>
      <c r="E132" s="565"/>
    </row>
    <row r="133" spans="2:5" x14ac:dyDescent="0.2">
      <c r="B133" s="565"/>
      <c r="C133" s="565"/>
      <c r="D133" s="565"/>
      <c r="E133" s="565"/>
    </row>
    <row r="134" spans="2:5" x14ac:dyDescent="0.2">
      <c r="B134" s="565"/>
      <c r="C134" s="565"/>
      <c r="D134" s="565"/>
      <c r="E134" s="565"/>
    </row>
    <row r="135" spans="2:5" x14ac:dyDescent="0.2">
      <c r="B135" s="565"/>
      <c r="C135" s="565"/>
      <c r="D135" s="565"/>
      <c r="E135" s="565"/>
    </row>
    <row r="136" spans="2:5" x14ac:dyDescent="0.2">
      <c r="B136" s="565"/>
      <c r="C136" s="565"/>
      <c r="D136" s="565"/>
      <c r="E136" s="565"/>
    </row>
    <row r="137" spans="2:5" x14ac:dyDescent="0.2">
      <c r="B137" s="565"/>
      <c r="C137" s="565"/>
      <c r="D137" s="565"/>
      <c r="E137" s="565"/>
    </row>
    <row r="138" spans="2:5" x14ac:dyDescent="0.2">
      <c r="B138" s="565"/>
      <c r="C138" s="565"/>
      <c r="D138" s="565"/>
      <c r="E138" s="565"/>
    </row>
    <row r="139" spans="2:5" x14ac:dyDescent="0.2">
      <c r="B139" s="565"/>
      <c r="C139" s="565"/>
      <c r="D139" s="565"/>
      <c r="E139" s="565"/>
    </row>
    <row r="140" spans="2:5" x14ac:dyDescent="0.2">
      <c r="B140" s="565"/>
      <c r="C140" s="565"/>
      <c r="D140" s="565"/>
      <c r="E140" s="565"/>
    </row>
    <row r="141" spans="2:5" x14ac:dyDescent="0.2">
      <c r="B141" s="565"/>
      <c r="C141" s="565"/>
      <c r="D141" s="565"/>
      <c r="E141" s="565"/>
    </row>
    <row r="142" spans="2:5" x14ac:dyDescent="0.2">
      <c r="B142" s="565"/>
      <c r="C142" s="565"/>
      <c r="D142" s="565"/>
      <c r="E142" s="565"/>
    </row>
    <row r="143" spans="2:5" x14ac:dyDescent="0.2">
      <c r="B143" s="565"/>
      <c r="C143" s="565"/>
      <c r="D143" s="565"/>
      <c r="E143" s="565"/>
    </row>
    <row r="144" spans="2:5" x14ac:dyDescent="0.2">
      <c r="B144" s="565"/>
      <c r="C144" s="565"/>
      <c r="D144" s="565"/>
      <c r="E144" s="565"/>
    </row>
    <row r="145" spans="2:5" x14ac:dyDescent="0.2">
      <c r="B145" s="565"/>
      <c r="C145" s="565"/>
      <c r="D145" s="565"/>
      <c r="E145" s="565"/>
    </row>
    <row r="146" spans="2:5" x14ac:dyDescent="0.2">
      <c r="B146" s="565"/>
      <c r="C146" s="565"/>
      <c r="D146" s="565"/>
      <c r="E146" s="565"/>
    </row>
    <row r="147" spans="2:5" x14ac:dyDescent="0.2">
      <c r="B147" s="565"/>
      <c r="C147" s="565"/>
      <c r="D147" s="565"/>
      <c r="E147" s="565"/>
    </row>
    <row r="148" spans="2:5" x14ac:dyDescent="0.2">
      <c r="B148" s="565"/>
      <c r="C148" s="565"/>
      <c r="D148" s="565"/>
      <c r="E148" s="565"/>
    </row>
    <row r="149" spans="2:5" x14ac:dyDescent="0.2">
      <c r="B149" s="565"/>
      <c r="C149" s="565"/>
      <c r="D149" s="565"/>
      <c r="E149" s="565"/>
    </row>
    <row r="150" spans="2:5" x14ac:dyDescent="0.2">
      <c r="B150" s="565"/>
      <c r="C150" s="565"/>
      <c r="D150" s="565"/>
      <c r="E150" s="565"/>
    </row>
    <row r="151" spans="2:5" x14ac:dyDescent="0.2">
      <c r="B151" s="565"/>
      <c r="C151" s="565"/>
      <c r="D151" s="565"/>
      <c r="E151" s="565"/>
    </row>
    <row r="152" spans="2:5" x14ac:dyDescent="0.2">
      <c r="B152" s="565"/>
      <c r="C152" s="565"/>
      <c r="D152" s="565"/>
      <c r="E152" s="565"/>
    </row>
    <row r="153" spans="2:5" x14ac:dyDescent="0.2">
      <c r="B153" s="565"/>
      <c r="C153" s="565"/>
      <c r="D153" s="565"/>
      <c r="E153" s="565"/>
    </row>
    <row r="154" spans="2:5" x14ac:dyDescent="0.2">
      <c r="B154" s="565"/>
      <c r="C154" s="565"/>
      <c r="D154" s="565"/>
      <c r="E154" s="565"/>
    </row>
    <row r="155" spans="2:5" x14ac:dyDescent="0.2">
      <c r="B155" s="565"/>
      <c r="C155" s="565"/>
      <c r="D155" s="565"/>
      <c r="E155" s="565"/>
    </row>
    <row r="156" spans="2:5" x14ac:dyDescent="0.2">
      <c r="B156" s="565"/>
      <c r="C156" s="565"/>
      <c r="D156" s="565"/>
      <c r="E156" s="565"/>
    </row>
    <row r="157" spans="2:5" x14ac:dyDescent="0.2">
      <c r="B157" s="565"/>
      <c r="C157" s="565"/>
      <c r="D157" s="565"/>
      <c r="E157" s="565"/>
    </row>
    <row r="158" spans="2:5" x14ac:dyDescent="0.2">
      <c r="B158" s="565"/>
      <c r="C158" s="565"/>
      <c r="D158" s="565"/>
      <c r="E158" s="565"/>
    </row>
    <row r="159" spans="2:5" x14ac:dyDescent="0.2">
      <c r="B159" s="565"/>
      <c r="C159" s="565"/>
      <c r="D159" s="565"/>
      <c r="E159" s="565"/>
    </row>
    <row r="160" spans="2:5" x14ac:dyDescent="0.2">
      <c r="B160" s="565"/>
      <c r="C160" s="565"/>
      <c r="D160" s="565"/>
      <c r="E160" s="565"/>
    </row>
    <row r="161" spans="2:5" x14ac:dyDescent="0.2">
      <c r="B161" s="565"/>
      <c r="C161" s="565"/>
      <c r="D161" s="565"/>
      <c r="E161" s="565"/>
    </row>
    <row r="162" spans="2:5" x14ac:dyDescent="0.2">
      <c r="B162" s="565"/>
      <c r="C162" s="565"/>
      <c r="D162" s="565"/>
      <c r="E162" s="565"/>
    </row>
    <row r="163" spans="2:5" x14ac:dyDescent="0.2">
      <c r="B163" s="565"/>
      <c r="C163" s="565"/>
      <c r="D163" s="565"/>
      <c r="E163" s="565"/>
    </row>
    <row r="164" spans="2:5" x14ac:dyDescent="0.2">
      <c r="B164" s="565"/>
      <c r="C164" s="565"/>
      <c r="D164" s="565"/>
      <c r="E164" s="565"/>
    </row>
    <row r="165" spans="2:5" x14ac:dyDescent="0.2">
      <c r="B165" s="565"/>
      <c r="C165" s="565"/>
      <c r="D165" s="565"/>
      <c r="E165" s="565"/>
    </row>
    <row r="166" spans="2:5" x14ac:dyDescent="0.2">
      <c r="B166" s="565"/>
      <c r="C166" s="565"/>
      <c r="D166" s="565"/>
      <c r="E166" s="565"/>
    </row>
    <row r="167" spans="2:5" x14ac:dyDescent="0.2">
      <c r="B167" s="565"/>
      <c r="C167" s="565"/>
      <c r="D167" s="565"/>
      <c r="E167" s="565"/>
    </row>
    <row r="168" spans="2:5" x14ac:dyDescent="0.2">
      <c r="B168" s="565"/>
      <c r="C168" s="565"/>
      <c r="D168" s="565"/>
      <c r="E168" s="565"/>
    </row>
    <row r="169" spans="2:5" x14ac:dyDescent="0.2">
      <c r="B169" s="565"/>
      <c r="C169" s="565"/>
      <c r="D169" s="565"/>
      <c r="E169" s="565"/>
    </row>
    <row r="170" spans="2:5" x14ac:dyDescent="0.2">
      <c r="B170" s="565"/>
      <c r="C170" s="565"/>
      <c r="D170" s="565"/>
      <c r="E170" s="565"/>
    </row>
    <row r="171" spans="2:5" x14ac:dyDescent="0.2">
      <c r="B171" s="565"/>
      <c r="C171" s="565"/>
      <c r="D171" s="565"/>
      <c r="E171" s="565"/>
    </row>
    <row r="172" spans="2:5" x14ac:dyDescent="0.2">
      <c r="B172" s="565"/>
      <c r="C172" s="565"/>
      <c r="D172" s="565"/>
      <c r="E172" s="565"/>
    </row>
    <row r="173" spans="2:5" x14ac:dyDescent="0.2">
      <c r="B173" s="565"/>
      <c r="C173" s="565"/>
      <c r="D173" s="565"/>
      <c r="E173" s="565"/>
    </row>
    <row r="174" spans="2:5" x14ac:dyDescent="0.2">
      <c r="B174" s="565"/>
      <c r="C174" s="565"/>
      <c r="D174" s="565"/>
      <c r="E174" s="565"/>
    </row>
    <row r="175" spans="2:5" x14ac:dyDescent="0.2">
      <c r="B175" s="565"/>
      <c r="C175" s="565"/>
      <c r="D175" s="565"/>
      <c r="E175" s="565"/>
    </row>
    <row r="176" spans="2:5" x14ac:dyDescent="0.2">
      <c r="B176" s="565"/>
      <c r="C176" s="565"/>
      <c r="D176" s="565"/>
      <c r="E176" s="565"/>
    </row>
    <row r="177" spans="2:5" x14ac:dyDescent="0.2">
      <c r="B177" s="565"/>
      <c r="C177" s="565"/>
      <c r="D177" s="565"/>
      <c r="E177" s="565"/>
    </row>
    <row r="178" spans="2:5" x14ac:dyDescent="0.2">
      <c r="B178" s="565"/>
      <c r="C178" s="565"/>
      <c r="D178" s="565"/>
      <c r="E178" s="565"/>
    </row>
    <row r="179" spans="2:5" x14ac:dyDescent="0.2">
      <c r="B179" s="565"/>
      <c r="C179" s="565"/>
      <c r="D179" s="565"/>
      <c r="E179" s="565"/>
    </row>
    <row r="180" spans="2:5" x14ac:dyDescent="0.2">
      <c r="B180" s="565"/>
      <c r="C180" s="565"/>
      <c r="D180" s="565"/>
      <c r="E180" s="565"/>
    </row>
    <row r="181" spans="2:5" x14ac:dyDescent="0.2">
      <c r="B181" s="565"/>
      <c r="C181" s="565"/>
      <c r="D181" s="565"/>
      <c r="E181" s="565"/>
    </row>
    <row r="182" spans="2:5" x14ac:dyDescent="0.2">
      <c r="B182" s="565"/>
      <c r="C182" s="565"/>
      <c r="D182" s="565"/>
      <c r="E182" s="565"/>
    </row>
  </sheetData>
  <mergeCells count="104">
    <mergeCell ref="B33:T33"/>
    <mergeCell ref="U33:Y33"/>
    <mergeCell ref="Z33:AD33"/>
    <mergeCell ref="AE33:AH33"/>
    <mergeCell ref="U34:Y34"/>
    <mergeCell ref="B31:T31"/>
    <mergeCell ref="U31:Y31"/>
    <mergeCell ref="Z31:AD31"/>
    <mergeCell ref="AE31:AH31"/>
    <mergeCell ref="B32:T32"/>
    <mergeCell ref="U32:Y32"/>
    <mergeCell ref="Z32:AD32"/>
    <mergeCell ref="AE32:AH32"/>
    <mergeCell ref="B34:T34"/>
    <mergeCell ref="Z34:AD34"/>
    <mergeCell ref="AE34:AH34"/>
    <mergeCell ref="B29:T29"/>
    <mergeCell ref="U29:Y29"/>
    <mergeCell ref="Z29:AD29"/>
    <mergeCell ref="AE29:AH29"/>
    <mergeCell ref="B30:T30"/>
    <mergeCell ref="U30:Y30"/>
    <mergeCell ref="Z30:AD30"/>
    <mergeCell ref="AE30:AH30"/>
    <mergeCell ref="B27:T27"/>
    <mergeCell ref="U27:Y27"/>
    <mergeCell ref="Z27:AD27"/>
    <mergeCell ref="AE27:AH27"/>
    <mergeCell ref="B28:T28"/>
    <mergeCell ref="U28:Y28"/>
    <mergeCell ref="Z28:AD28"/>
    <mergeCell ref="AE28:AH28"/>
    <mergeCell ref="B25:T25"/>
    <mergeCell ref="U25:Y25"/>
    <mergeCell ref="Z25:AD25"/>
    <mergeCell ref="AE25:AH25"/>
    <mergeCell ref="B26:T26"/>
    <mergeCell ref="U26:Y26"/>
    <mergeCell ref="Z26:AD26"/>
    <mergeCell ref="AE26:AH26"/>
    <mergeCell ref="B23:T23"/>
    <mergeCell ref="U23:Y23"/>
    <mergeCell ref="Z23:AD23"/>
    <mergeCell ref="AE23:AH23"/>
    <mergeCell ref="B24:T24"/>
    <mergeCell ref="U24:Y24"/>
    <mergeCell ref="Z24:AD24"/>
    <mergeCell ref="AE24:AH24"/>
    <mergeCell ref="B21:T21"/>
    <mergeCell ref="U21:Y21"/>
    <mergeCell ref="Z21:AD21"/>
    <mergeCell ref="AE21:AH21"/>
    <mergeCell ref="B22:T22"/>
    <mergeCell ref="U22:Y22"/>
    <mergeCell ref="Z22:AD22"/>
    <mergeCell ref="AE22:AH22"/>
    <mergeCell ref="B19:T19"/>
    <mergeCell ref="U19:Y19"/>
    <mergeCell ref="Z19:AD19"/>
    <mergeCell ref="AE19:AH19"/>
    <mergeCell ref="B20:T20"/>
    <mergeCell ref="U20:Y20"/>
    <mergeCell ref="Z20:AD20"/>
    <mergeCell ref="AE20:AH20"/>
    <mergeCell ref="B17:T17"/>
    <mergeCell ref="U17:Y17"/>
    <mergeCell ref="B18:T18"/>
    <mergeCell ref="U18:Y18"/>
    <mergeCell ref="Z18:AD18"/>
    <mergeCell ref="B15:T15"/>
    <mergeCell ref="U15:Y15"/>
    <mergeCell ref="Z15:AD15"/>
    <mergeCell ref="AE15:AH15"/>
    <mergeCell ref="B16:T16"/>
    <mergeCell ref="U16:Y16"/>
    <mergeCell ref="Z16:AD16"/>
    <mergeCell ref="AE16:AH16"/>
    <mergeCell ref="B13:T13"/>
    <mergeCell ref="U13:Y13"/>
    <mergeCell ref="Z13:AD13"/>
    <mergeCell ref="AE13:AH13"/>
    <mergeCell ref="B11:T11"/>
    <mergeCell ref="U11:Y11"/>
    <mergeCell ref="Z11:AD11"/>
    <mergeCell ref="AE11:AH11"/>
    <mergeCell ref="B14:T14"/>
    <mergeCell ref="U14:Y14"/>
    <mergeCell ref="Z14:AD14"/>
    <mergeCell ref="AE14:AH14"/>
    <mergeCell ref="B12:T12"/>
    <mergeCell ref="U12:Y12"/>
    <mergeCell ref="Z12:AD12"/>
    <mergeCell ref="AE12:AH12"/>
    <mergeCell ref="B1:AH2"/>
    <mergeCell ref="B3:AH3"/>
    <mergeCell ref="B4:AH4"/>
    <mergeCell ref="G5:U5"/>
    <mergeCell ref="B6:AH6"/>
    <mergeCell ref="V8:AD8"/>
    <mergeCell ref="A9:A10"/>
    <mergeCell ref="B9:T9"/>
    <mergeCell ref="U9:Y10"/>
    <mergeCell ref="Z9:AD10"/>
    <mergeCell ref="AE9:AH1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64" workbookViewId="0">
      <selection activeCell="E3" sqref="E3"/>
    </sheetView>
  </sheetViews>
  <sheetFormatPr defaultRowHeight="15" x14ac:dyDescent="0.25"/>
  <cols>
    <col min="1" max="1" width="38.140625" style="216" customWidth="1"/>
    <col min="2" max="2" width="16.7109375" style="219" bestFit="1" customWidth="1"/>
    <col min="3" max="3" width="18" style="219" bestFit="1" customWidth="1"/>
    <col min="4" max="4" width="15.5703125" style="219" bestFit="1" customWidth="1"/>
    <col min="5" max="5" width="18" style="219" bestFit="1" customWidth="1"/>
    <col min="6" max="7" width="9.140625" style="216" customWidth="1"/>
    <col min="8" max="8" width="9.85546875" style="364" bestFit="1" customWidth="1"/>
  </cols>
  <sheetData>
    <row r="1" spans="1:5" ht="18" x14ac:dyDescent="0.25">
      <c r="A1" s="805" t="s">
        <v>633</v>
      </c>
      <c r="B1" s="805"/>
      <c r="C1" s="805"/>
      <c r="D1" s="805"/>
      <c r="E1" s="805"/>
    </row>
    <row r="2" spans="1:5" ht="18.75" x14ac:dyDescent="0.3">
      <c r="A2" s="806" t="s">
        <v>3</v>
      </c>
      <c r="B2" s="806"/>
      <c r="C2" s="806"/>
      <c r="D2" s="806"/>
      <c r="E2" s="806"/>
    </row>
    <row r="4" spans="1:5" ht="45" customHeight="1" x14ac:dyDescent="0.25">
      <c r="A4" s="807" t="s">
        <v>213</v>
      </c>
      <c r="B4" s="807"/>
      <c r="C4" s="807"/>
      <c r="D4" s="807"/>
      <c r="E4" s="807"/>
    </row>
    <row r="5" spans="1:5" ht="29.25" customHeight="1" x14ac:dyDescent="0.25"/>
    <row r="6" spans="1:5" ht="18" customHeight="1" x14ac:dyDescent="0.25"/>
    <row r="7" spans="1:5" ht="15.75" x14ac:dyDescent="0.25">
      <c r="B7" s="814"/>
      <c r="C7" s="814"/>
      <c r="D7" s="814"/>
      <c r="E7" s="814"/>
    </row>
    <row r="8" spans="1:5" ht="33.75" customHeight="1" x14ac:dyDescent="0.25">
      <c r="A8" s="220" t="s">
        <v>214</v>
      </c>
      <c r="B8" s="811" t="s">
        <v>673</v>
      </c>
      <c r="C8" s="812"/>
      <c r="D8" s="812"/>
      <c r="E8" s="813"/>
    </row>
    <row r="9" spans="1:5" ht="15.75" thickBot="1" x14ac:dyDescent="0.3">
      <c r="E9" s="219" t="s">
        <v>230</v>
      </c>
    </row>
    <row r="10" spans="1:5" ht="16.5" thickBot="1" x14ac:dyDescent="0.3">
      <c r="A10" s="221" t="s">
        <v>216</v>
      </c>
      <c r="B10" s="222">
        <v>2019</v>
      </c>
      <c r="C10" s="222">
        <v>2020</v>
      </c>
      <c r="D10" s="222">
        <v>2021</v>
      </c>
      <c r="E10" s="223" t="s">
        <v>217</v>
      </c>
    </row>
    <row r="11" spans="1:5" ht="15.75" x14ac:dyDescent="0.25">
      <c r="A11" s="224" t="s">
        <v>218</v>
      </c>
      <c r="B11" s="225"/>
      <c r="C11" s="225"/>
      <c r="D11" s="225"/>
      <c r="E11" s="226">
        <f t="shared" ref="E11:E17" si="0">SUM(B11:D11)</f>
        <v>0</v>
      </c>
    </row>
    <row r="12" spans="1:5" ht="15.75" x14ac:dyDescent="0.25">
      <c r="A12" s="227" t="s">
        <v>219</v>
      </c>
      <c r="B12" s="228"/>
      <c r="C12" s="228"/>
      <c r="D12" s="228"/>
      <c r="E12" s="226">
        <f t="shared" si="0"/>
        <v>0</v>
      </c>
    </row>
    <row r="13" spans="1:5" ht="15.75" x14ac:dyDescent="0.25">
      <c r="A13" s="229" t="s">
        <v>220</v>
      </c>
      <c r="B13" s="228">
        <v>152463696</v>
      </c>
      <c r="C13" s="228"/>
      <c r="D13" s="228"/>
      <c r="E13" s="226">
        <f t="shared" si="0"/>
        <v>152463696</v>
      </c>
    </row>
    <row r="14" spans="1:5" ht="15.75" x14ac:dyDescent="0.25">
      <c r="A14" s="229" t="s">
        <v>221</v>
      </c>
      <c r="B14" s="228"/>
      <c r="C14" s="228"/>
      <c r="D14" s="228"/>
      <c r="E14" s="226">
        <f t="shared" si="0"/>
        <v>0</v>
      </c>
    </row>
    <row r="15" spans="1:5" ht="15.75" x14ac:dyDescent="0.25">
      <c r="A15" s="229" t="s">
        <v>222</v>
      </c>
      <c r="B15" s="228"/>
      <c r="C15" s="228"/>
      <c r="D15" s="228"/>
      <c r="E15" s="226">
        <f t="shared" si="0"/>
        <v>0</v>
      </c>
    </row>
    <row r="16" spans="1:5" ht="16.5" thickBot="1" x14ac:dyDescent="0.3">
      <c r="A16" s="230" t="s">
        <v>223</v>
      </c>
      <c r="B16" s="231"/>
      <c r="C16" s="231"/>
      <c r="D16" s="231"/>
      <c r="E16" s="232">
        <f t="shared" si="0"/>
        <v>0</v>
      </c>
    </row>
    <row r="17" spans="1:5" ht="16.5" thickBot="1" x14ac:dyDescent="0.3">
      <c r="A17" s="221" t="s">
        <v>224</v>
      </c>
      <c r="B17" s="233">
        <f>SUM(B11:B16)</f>
        <v>152463696</v>
      </c>
      <c r="C17" s="233">
        <f>SUM(C11:C16)</f>
        <v>0</v>
      </c>
      <c r="D17" s="233">
        <f>SUM(D11:D16)</f>
        <v>0</v>
      </c>
      <c r="E17" s="234">
        <f t="shared" si="0"/>
        <v>152463696</v>
      </c>
    </row>
    <row r="18" spans="1:5" ht="16.5" thickBot="1" x14ac:dyDescent="0.3">
      <c r="A18" s="235"/>
      <c r="B18" s="236"/>
      <c r="C18" s="236"/>
      <c r="D18" s="236"/>
      <c r="E18" s="236"/>
    </row>
    <row r="19" spans="1:5" ht="16.5" thickBot="1" x14ac:dyDescent="0.3">
      <c r="A19" s="221" t="s">
        <v>225</v>
      </c>
      <c r="B19" s="222">
        <v>2019</v>
      </c>
      <c r="C19" s="222">
        <v>2020</v>
      </c>
      <c r="D19" s="222">
        <v>2021</v>
      </c>
      <c r="E19" s="223" t="s">
        <v>217</v>
      </c>
    </row>
    <row r="20" spans="1:5" ht="15.75" x14ac:dyDescent="0.25">
      <c r="A20" s="224" t="s">
        <v>226</v>
      </c>
      <c r="B20" s="225"/>
      <c r="C20" s="225"/>
      <c r="D20" s="225"/>
      <c r="E20" s="226">
        <f>B20+C20+D20</f>
        <v>0</v>
      </c>
    </row>
    <row r="21" spans="1:5" ht="15.75" x14ac:dyDescent="0.25">
      <c r="A21" s="229" t="s">
        <v>227</v>
      </c>
      <c r="B21" s="228">
        <v>152463696</v>
      </c>
      <c r="C21" s="228"/>
      <c r="D21" s="228"/>
      <c r="E21" s="226">
        <f t="shared" ref="E21:E22" si="1">B21+C21+D21</f>
        <v>152463696</v>
      </c>
    </row>
    <row r="22" spans="1:5" ht="15.75" x14ac:dyDescent="0.25">
      <c r="A22" s="229" t="s">
        <v>228</v>
      </c>
      <c r="B22" s="228"/>
      <c r="C22" s="228"/>
      <c r="D22" s="228"/>
      <c r="E22" s="226">
        <f t="shared" si="1"/>
        <v>0</v>
      </c>
    </row>
    <row r="23" spans="1:5" ht="16.5" thickBot="1" x14ac:dyDescent="0.3">
      <c r="A23" s="230" t="s">
        <v>229</v>
      </c>
      <c r="B23" s="231"/>
      <c r="C23" s="231"/>
      <c r="D23" s="231"/>
      <c r="E23" s="232">
        <f>SUM(B23:D23)</f>
        <v>0</v>
      </c>
    </row>
    <row r="24" spans="1:5" ht="16.5" thickBot="1" x14ac:dyDescent="0.3">
      <c r="A24" s="221" t="s">
        <v>217</v>
      </c>
      <c r="B24" s="233">
        <f>SUM(B20:B23)</f>
        <v>152463696</v>
      </c>
      <c r="C24" s="233">
        <f>SUM(C20:C23)</f>
        <v>0</v>
      </c>
      <c r="D24" s="233">
        <f>SUM(D20:D23)</f>
        <v>0</v>
      </c>
      <c r="E24" s="234">
        <f>SUM(B24:D24)</f>
        <v>152463696</v>
      </c>
    </row>
    <row r="26" spans="1:5" ht="15.75" x14ac:dyDescent="0.25">
      <c r="A26" s="217"/>
      <c r="B26" s="218"/>
      <c r="C26" s="218"/>
      <c r="D26" s="218"/>
      <c r="E26" s="218"/>
    </row>
    <row r="27" spans="1:5" ht="15.75" x14ac:dyDescent="0.25">
      <c r="A27" s="217"/>
      <c r="B27" s="218"/>
      <c r="C27" s="218"/>
      <c r="D27" s="218"/>
      <c r="E27" s="218"/>
    </row>
    <row r="28" spans="1:5" ht="18" x14ac:dyDescent="0.25">
      <c r="A28" s="805" t="s">
        <v>633</v>
      </c>
      <c r="B28" s="805"/>
      <c r="C28" s="805"/>
      <c r="D28" s="805"/>
      <c r="E28" s="805"/>
    </row>
    <row r="29" spans="1:5" ht="18.75" x14ac:dyDescent="0.3">
      <c r="A29" s="806" t="s">
        <v>3</v>
      </c>
      <c r="B29" s="806"/>
      <c r="C29" s="806"/>
      <c r="D29" s="806"/>
      <c r="E29" s="806"/>
    </row>
    <row r="31" spans="1:5" ht="45" customHeight="1" x14ac:dyDescent="0.25">
      <c r="A31" s="807" t="s">
        <v>213</v>
      </c>
      <c r="B31" s="807"/>
      <c r="C31" s="807"/>
      <c r="D31" s="807"/>
      <c r="E31" s="807"/>
    </row>
    <row r="32" spans="1:5" ht="15.75" x14ac:dyDescent="0.25">
      <c r="A32" s="217"/>
      <c r="B32" s="218"/>
      <c r="C32" s="218"/>
      <c r="D32" s="218"/>
      <c r="E32" s="218"/>
    </row>
    <row r="35" spans="1:5" ht="36" customHeight="1" x14ac:dyDescent="0.25">
      <c r="A35" s="220" t="s">
        <v>214</v>
      </c>
      <c r="B35" s="811" t="s">
        <v>215</v>
      </c>
      <c r="C35" s="812"/>
      <c r="D35" s="812"/>
      <c r="E35" s="813"/>
    </row>
    <row r="36" spans="1:5" ht="15.75" thickBot="1" x14ac:dyDescent="0.3">
      <c r="E36" s="219" t="s">
        <v>230</v>
      </c>
    </row>
    <row r="37" spans="1:5" ht="16.5" thickBot="1" x14ac:dyDescent="0.3">
      <c r="A37" s="221" t="s">
        <v>216</v>
      </c>
      <c r="B37" s="222">
        <v>2019</v>
      </c>
      <c r="C37" s="222">
        <v>2020</v>
      </c>
      <c r="D37" s="222">
        <v>2021</v>
      </c>
      <c r="E37" s="223" t="s">
        <v>217</v>
      </c>
    </row>
    <row r="38" spans="1:5" ht="15.75" x14ac:dyDescent="0.25">
      <c r="A38" s="224" t="s">
        <v>218</v>
      </c>
      <c r="B38" s="225"/>
      <c r="C38" s="225"/>
      <c r="D38" s="225"/>
      <c r="E38" s="226">
        <f t="shared" ref="E38:E44" si="2">SUM(B38:D38)</f>
        <v>0</v>
      </c>
    </row>
    <row r="39" spans="1:5" ht="15.75" x14ac:dyDescent="0.25">
      <c r="A39" s="227" t="s">
        <v>219</v>
      </c>
      <c r="B39" s="228"/>
      <c r="C39" s="228"/>
      <c r="D39" s="228"/>
      <c r="E39" s="226">
        <f t="shared" si="2"/>
        <v>0</v>
      </c>
    </row>
    <row r="40" spans="1:5" ht="15.75" x14ac:dyDescent="0.25">
      <c r="A40" s="229" t="s">
        <v>220</v>
      </c>
      <c r="B40" s="228">
        <v>198182422</v>
      </c>
      <c r="C40" s="228"/>
      <c r="D40" s="228"/>
      <c r="E40" s="226">
        <f t="shared" si="2"/>
        <v>198182422</v>
      </c>
    </row>
    <row r="41" spans="1:5" ht="15.75" x14ac:dyDescent="0.25">
      <c r="A41" s="229" t="s">
        <v>221</v>
      </c>
      <c r="B41" s="228"/>
      <c r="C41" s="228"/>
      <c r="D41" s="228"/>
      <c r="E41" s="226">
        <f t="shared" si="2"/>
        <v>0</v>
      </c>
    </row>
    <row r="42" spans="1:5" ht="15.75" x14ac:dyDescent="0.25">
      <c r="A42" s="229" t="s">
        <v>222</v>
      </c>
      <c r="B42" s="228"/>
      <c r="C42" s="228"/>
      <c r="D42" s="228"/>
      <c r="E42" s="226">
        <f t="shared" si="2"/>
        <v>0</v>
      </c>
    </row>
    <row r="43" spans="1:5" ht="16.5" thickBot="1" x14ac:dyDescent="0.3">
      <c r="A43" s="230" t="s">
        <v>223</v>
      </c>
      <c r="B43" s="231"/>
      <c r="C43" s="231"/>
      <c r="D43" s="231"/>
      <c r="E43" s="232">
        <f t="shared" si="2"/>
        <v>0</v>
      </c>
    </row>
    <row r="44" spans="1:5" ht="16.5" thickBot="1" x14ac:dyDescent="0.3">
      <c r="A44" s="221" t="s">
        <v>224</v>
      </c>
      <c r="B44" s="233">
        <f>SUM(B38:B43)</f>
        <v>198182422</v>
      </c>
      <c r="C44" s="233">
        <f>SUM(C38:C43)</f>
        <v>0</v>
      </c>
      <c r="D44" s="233">
        <f>SUM(D38:D43)</f>
        <v>0</v>
      </c>
      <c r="E44" s="234">
        <f t="shared" si="2"/>
        <v>198182422</v>
      </c>
    </row>
    <row r="45" spans="1:5" ht="16.5" thickBot="1" x14ac:dyDescent="0.3">
      <c r="A45" s="235"/>
      <c r="B45" s="236"/>
      <c r="C45" s="236"/>
      <c r="D45" s="236"/>
      <c r="E45" s="236"/>
    </row>
    <row r="46" spans="1:5" ht="16.5" thickBot="1" x14ac:dyDescent="0.3">
      <c r="A46" s="221" t="s">
        <v>225</v>
      </c>
      <c r="B46" s="222">
        <v>2019</v>
      </c>
      <c r="C46" s="222">
        <v>2020</v>
      </c>
      <c r="D46" s="222">
        <v>2021</v>
      </c>
      <c r="E46" s="223" t="s">
        <v>217</v>
      </c>
    </row>
    <row r="47" spans="1:5" ht="15.75" x14ac:dyDescent="0.25">
      <c r="A47" s="224" t="s">
        <v>226</v>
      </c>
      <c r="B47" s="225"/>
      <c r="C47" s="225"/>
      <c r="D47" s="225"/>
      <c r="E47" s="226"/>
    </row>
    <row r="48" spans="1:5" ht="15.75" x14ac:dyDescent="0.25">
      <c r="A48" s="229" t="s">
        <v>227</v>
      </c>
      <c r="B48" s="228">
        <v>198182422</v>
      </c>
      <c r="C48" s="228"/>
      <c r="D48" s="228"/>
      <c r="E48" s="226">
        <f>B48+C48</f>
        <v>198182422</v>
      </c>
    </row>
    <row r="49" spans="1:5" ht="15.75" x14ac:dyDescent="0.25">
      <c r="A49" s="229" t="s">
        <v>228</v>
      </c>
      <c r="B49" s="228"/>
      <c r="C49" s="228"/>
      <c r="D49" s="228"/>
      <c r="E49" s="226"/>
    </row>
    <row r="50" spans="1:5" ht="16.5" thickBot="1" x14ac:dyDescent="0.3">
      <c r="A50" s="230" t="s">
        <v>229</v>
      </c>
      <c r="B50" s="231"/>
      <c r="C50" s="231"/>
      <c r="D50" s="231"/>
      <c r="E50" s="232">
        <f>SUM(B50:D50)</f>
        <v>0</v>
      </c>
    </row>
    <row r="51" spans="1:5" ht="16.5" thickBot="1" x14ac:dyDescent="0.3">
      <c r="A51" s="221" t="s">
        <v>217</v>
      </c>
      <c r="B51" s="233">
        <f>SUM(B47:B50)</f>
        <v>198182422</v>
      </c>
      <c r="C51" s="233">
        <f>SUM(C47:C50)</f>
        <v>0</v>
      </c>
      <c r="D51" s="233">
        <f>SUM(D47:D50)</f>
        <v>0</v>
      </c>
      <c r="E51" s="234">
        <f>SUM(B51:D51)</f>
        <v>198182422</v>
      </c>
    </row>
    <row r="52" spans="1:5" ht="15.75" x14ac:dyDescent="0.25">
      <c r="A52" s="217"/>
      <c r="B52" s="218"/>
      <c r="C52" s="218"/>
      <c r="D52" s="218"/>
      <c r="E52" s="218"/>
    </row>
    <row r="53" spans="1:5" ht="15.75" x14ac:dyDescent="0.25">
      <c r="A53" s="217"/>
      <c r="B53" s="218"/>
      <c r="C53" s="218"/>
      <c r="D53" s="218"/>
      <c r="E53" s="218"/>
    </row>
    <row r="54" spans="1:5" ht="15.75" x14ac:dyDescent="0.25">
      <c r="A54" s="217"/>
      <c r="B54" s="218"/>
      <c r="C54" s="218"/>
      <c r="D54" s="218"/>
      <c r="E54" s="218"/>
    </row>
    <row r="55" spans="1:5" ht="18" x14ac:dyDescent="0.25">
      <c r="A55" s="805" t="s">
        <v>633</v>
      </c>
      <c r="B55" s="805"/>
      <c r="C55" s="805"/>
      <c r="D55" s="805"/>
      <c r="E55" s="805"/>
    </row>
    <row r="56" spans="1:5" ht="18.75" x14ac:dyDescent="0.3">
      <c r="A56" s="806" t="s">
        <v>3</v>
      </c>
      <c r="B56" s="806"/>
      <c r="C56" s="806"/>
      <c r="D56" s="806"/>
      <c r="E56" s="806"/>
    </row>
    <row r="58" spans="1:5" ht="45" customHeight="1" x14ac:dyDescent="0.25">
      <c r="A58" s="807" t="s">
        <v>213</v>
      </c>
      <c r="B58" s="807"/>
      <c r="C58" s="807"/>
      <c r="D58" s="807"/>
      <c r="E58" s="807"/>
    </row>
    <row r="59" spans="1:5" ht="15.75" x14ac:dyDescent="0.25">
      <c r="A59" s="217"/>
      <c r="B59" s="218"/>
      <c r="C59" s="218"/>
      <c r="D59" s="218"/>
      <c r="E59" s="218"/>
    </row>
    <row r="60" spans="1:5" ht="15.75" x14ac:dyDescent="0.25">
      <c r="A60" s="217"/>
      <c r="B60" s="218"/>
      <c r="C60" s="218"/>
      <c r="D60" s="218"/>
      <c r="E60" s="218"/>
    </row>
    <row r="63" spans="1:5" ht="15.75" x14ac:dyDescent="0.25">
      <c r="A63" s="220" t="s">
        <v>519</v>
      </c>
      <c r="B63" s="808" t="s">
        <v>515</v>
      </c>
      <c r="C63" s="809"/>
      <c r="D63" s="809"/>
      <c r="E63" s="810"/>
    </row>
    <row r="64" spans="1:5" ht="15.75" thickBot="1" x14ac:dyDescent="0.3">
      <c r="E64" s="219" t="s">
        <v>230</v>
      </c>
    </row>
    <row r="65" spans="1:5" ht="16.5" thickBot="1" x14ac:dyDescent="0.3">
      <c r="A65" s="221" t="s">
        <v>216</v>
      </c>
      <c r="B65" s="222">
        <v>2019</v>
      </c>
      <c r="C65" s="222">
        <v>2020</v>
      </c>
      <c r="D65" s="222">
        <v>2021</v>
      </c>
      <c r="E65" s="223" t="s">
        <v>217</v>
      </c>
    </row>
    <row r="66" spans="1:5" ht="15.75" x14ac:dyDescent="0.25">
      <c r="A66" s="224" t="s">
        <v>218</v>
      </c>
      <c r="B66" s="225">
        <v>7997547</v>
      </c>
      <c r="C66" s="225"/>
      <c r="D66" s="225"/>
      <c r="E66" s="226">
        <f t="shared" ref="E66:E72" si="3">SUM(B66:D66)</f>
        <v>7997547</v>
      </c>
    </row>
    <row r="67" spans="1:5" ht="15.75" x14ac:dyDescent="0.25">
      <c r="A67" s="227" t="s">
        <v>219</v>
      </c>
      <c r="B67" s="228"/>
      <c r="C67" s="228"/>
      <c r="D67" s="228"/>
      <c r="E67" s="226">
        <f t="shared" si="3"/>
        <v>0</v>
      </c>
    </row>
    <row r="68" spans="1:5" ht="15.75" x14ac:dyDescent="0.25">
      <c r="A68" s="229" t="s">
        <v>220</v>
      </c>
      <c r="B68" s="228">
        <v>27609357</v>
      </c>
      <c r="C68" s="228"/>
      <c r="D68" s="228"/>
      <c r="E68" s="226">
        <f t="shared" si="3"/>
        <v>27609357</v>
      </c>
    </row>
    <row r="69" spans="1:5" ht="15.75" x14ac:dyDescent="0.25">
      <c r="A69" s="229" t="s">
        <v>221</v>
      </c>
      <c r="B69" s="228"/>
      <c r="C69" s="228"/>
      <c r="D69" s="228"/>
      <c r="E69" s="226">
        <f t="shared" si="3"/>
        <v>0</v>
      </c>
    </row>
    <row r="70" spans="1:5" ht="15.75" x14ac:dyDescent="0.25">
      <c r="A70" s="229" t="s">
        <v>222</v>
      </c>
      <c r="B70" s="228"/>
      <c r="C70" s="228"/>
      <c r="D70" s="228"/>
      <c r="E70" s="226">
        <f t="shared" si="3"/>
        <v>0</v>
      </c>
    </row>
    <row r="71" spans="1:5" ht="16.5" thickBot="1" x14ac:dyDescent="0.3">
      <c r="A71" s="230" t="s">
        <v>223</v>
      </c>
      <c r="B71" s="231">
        <v>10100513</v>
      </c>
      <c r="C71" s="231"/>
      <c r="D71" s="231"/>
      <c r="E71" s="232">
        <f t="shared" si="3"/>
        <v>10100513</v>
      </c>
    </row>
    <row r="72" spans="1:5" ht="16.5" thickBot="1" x14ac:dyDescent="0.3">
      <c r="A72" s="221" t="s">
        <v>224</v>
      </c>
      <c r="B72" s="233">
        <f>SUM(B66:B71)</f>
        <v>45707417</v>
      </c>
      <c r="C72" s="233">
        <f>SUM(C66:C71)</f>
        <v>0</v>
      </c>
      <c r="D72" s="233">
        <f>SUM(D66:D71)</f>
        <v>0</v>
      </c>
      <c r="E72" s="234">
        <f t="shared" si="3"/>
        <v>45707417</v>
      </c>
    </row>
    <row r="73" spans="1:5" ht="16.5" thickBot="1" x14ac:dyDescent="0.3">
      <c r="A73" s="235"/>
      <c r="B73" s="236"/>
      <c r="C73" s="236"/>
      <c r="D73" s="236"/>
      <c r="E73" s="236"/>
    </row>
    <row r="74" spans="1:5" ht="16.5" thickBot="1" x14ac:dyDescent="0.3">
      <c r="A74" s="221" t="s">
        <v>225</v>
      </c>
      <c r="B74" s="222">
        <v>2019</v>
      </c>
      <c r="C74" s="222">
        <v>2020</v>
      </c>
      <c r="D74" s="222">
        <v>2021</v>
      </c>
      <c r="E74" s="223" t="s">
        <v>217</v>
      </c>
    </row>
    <row r="75" spans="1:5" ht="15.75" x14ac:dyDescent="0.25">
      <c r="A75" s="224" t="s">
        <v>226</v>
      </c>
      <c r="B75" s="225"/>
      <c r="C75" s="225"/>
      <c r="D75" s="225"/>
      <c r="E75" s="226"/>
    </row>
    <row r="76" spans="1:5" ht="15.75" x14ac:dyDescent="0.25">
      <c r="A76" s="229" t="s">
        <v>227</v>
      </c>
      <c r="B76" s="228">
        <v>45707417</v>
      </c>
      <c r="C76" s="228"/>
      <c r="D76" s="228"/>
      <c r="E76" s="226"/>
    </row>
    <row r="77" spans="1:5" ht="15.75" x14ac:dyDescent="0.25">
      <c r="A77" s="229" t="s">
        <v>228</v>
      </c>
      <c r="B77" s="228"/>
      <c r="C77" s="228"/>
      <c r="D77" s="228"/>
      <c r="E77" s="226">
        <f>B77+C77</f>
        <v>0</v>
      </c>
    </row>
    <row r="78" spans="1:5" ht="16.5" thickBot="1" x14ac:dyDescent="0.3">
      <c r="A78" s="230" t="s">
        <v>229</v>
      </c>
      <c r="B78" s="231"/>
      <c r="C78" s="231"/>
      <c r="D78" s="231"/>
      <c r="E78" s="232">
        <f>SUM(B78:D78)</f>
        <v>0</v>
      </c>
    </row>
    <row r="79" spans="1:5" ht="16.5" thickBot="1" x14ac:dyDescent="0.3">
      <c r="A79" s="221" t="s">
        <v>217</v>
      </c>
      <c r="B79" s="233">
        <f>SUM(B75:B78)</f>
        <v>45707417</v>
      </c>
      <c r="C79" s="233">
        <f>SUM(C75:C78)</f>
        <v>0</v>
      </c>
      <c r="D79" s="233">
        <f>SUM(D75:D78)</f>
        <v>0</v>
      </c>
      <c r="E79" s="234">
        <f>SUM(B79:D79)</f>
        <v>45707417</v>
      </c>
    </row>
  </sheetData>
  <mergeCells count="13">
    <mergeCell ref="A1:E1"/>
    <mergeCell ref="A2:E2"/>
    <mergeCell ref="A4:E4"/>
    <mergeCell ref="B7:E7"/>
    <mergeCell ref="B8:E8"/>
    <mergeCell ref="A55:E55"/>
    <mergeCell ref="A56:E56"/>
    <mergeCell ref="A58:E58"/>
    <mergeCell ref="B63:E63"/>
    <mergeCell ref="A28:E28"/>
    <mergeCell ref="A29:E29"/>
    <mergeCell ref="A31:E31"/>
    <mergeCell ref="B35:E35"/>
  </mergeCells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13" workbookViewId="0">
      <selection activeCell="I10" sqref="I10"/>
    </sheetView>
  </sheetViews>
  <sheetFormatPr defaultColWidth="8" defaultRowHeight="12.75" x14ac:dyDescent="0.25"/>
  <cols>
    <col min="1" max="1" width="5" style="237" customWidth="1"/>
    <col min="2" max="2" width="47" style="238" customWidth="1"/>
    <col min="3" max="4" width="15.140625" style="238" customWidth="1"/>
    <col min="5" max="16384" width="8" style="238"/>
  </cols>
  <sheetData>
    <row r="1" spans="1:4" ht="18" x14ac:dyDescent="0.25">
      <c r="B1" s="815" t="s">
        <v>811</v>
      </c>
      <c r="C1" s="816"/>
    </row>
    <row r="3" spans="1:4" ht="18" x14ac:dyDescent="0.25">
      <c r="B3" s="815" t="s">
        <v>3</v>
      </c>
      <c r="C3" s="816"/>
    </row>
    <row r="4" spans="1:4" ht="18" x14ac:dyDescent="0.25">
      <c r="B4" s="815" t="s">
        <v>231</v>
      </c>
      <c r="C4" s="816"/>
    </row>
    <row r="5" spans="1:4" s="240" customFormat="1" ht="15.75" thickBot="1" x14ac:dyDescent="0.3">
      <c r="A5" s="239"/>
      <c r="D5" s="241" t="s">
        <v>232</v>
      </c>
    </row>
    <row r="6" spans="1:4" s="245" customFormat="1" ht="48" customHeight="1" thickBot="1" x14ac:dyDescent="0.3">
      <c r="A6" s="242" t="s">
        <v>6</v>
      </c>
      <c r="B6" s="243" t="s">
        <v>233</v>
      </c>
      <c r="C6" s="243" t="s">
        <v>234</v>
      </c>
      <c r="D6" s="244" t="s">
        <v>235</v>
      </c>
    </row>
    <row r="7" spans="1:4" s="245" customFormat="1" ht="13.5" thickBot="1" x14ac:dyDescent="0.3">
      <c r="A7" s="246">
        <v>1</v>
      </c>
      <c r="B7" s="247">
        <v>2</v>
      </c>
      <c r="C7" s="247">
        <v>3</v>
      </c>
      <c r="D7" s="248">
        <v>4</v>
      </c>
    </row>
    <row r="8" spans="1:4" x14ac:dyDescent="0.25">
      <c r="A8" s="249" t="s">
        <v>43</v>
      </c>
      <c r="B8" s="250" t="s">
        <v>236</v>
      </c>
      <c r="C8" s="251"/>
      <c r="D8" s="252"/>
    </row>
    <row r="9" spans="1:4" x14ac:dyDescent="0.25">
      <c r="A9" s="253" t="s">
        <v>45</v>
      </c>
      <c r="B9" s="254" t="s">
        <v>237</v>
      </c>
      <c r="C9" s="255"/>
      <c r="D9" s="256"/>
    </row>
    <row r="10" spans="1:4" x14ac:dyDescent="0.25">
      <c r="A10" s="253" t="s">
        <v>53</v>
      </c>
      <c r="B10" s="254" t="s">
        <v>238</v>
      </c>
      <c r="C10" s="255"/>
      <c r="D10" s="256"/>
    </row>
    <row r="11" spans="1:4" x14ac:dyDescent="0.25">
      <c r="A11" s="253" t="s">
        <v>16</v>
      </c>
      <c r="B11" s="254" t="s">
        <v>239</v>
      </c>
      <c r="C11" s="255"/>
      <c r="D11" s="256"/>
    </row>
    <row r="12" spans="1:4" x14ac:dyDescent="0.25">
      <c r="A12" s="253" t="s">
        <v>18</v>
      </c>
      <c r="B12" s="254" t="s">
        <v>240</v>
      </c>
      <c r="C12" s="255"/>
      <c r="D12" s="256"/>
    </row>
    <row r="13" spans="1:4" x14ac:dyDescent="0.25">
      <c r="A13" s="253" t="s">
        <v>29</v>
      </c>
      <c r="B13" s="254" t="s">
        <v>241</v>
      </c>
      <c r="C13" s="255"/>
      <c r="D13" s="256"/>
    </row>
    <row r="14" spans="1:4" x14ac:dyDescent="0.25">
      <c r="A14" s="253" t="s">
        <v>31</v>
      </c>
      <c r="B14" s="257" t="s">
        <v>242</v>
      </c>
      <c r="C14" s="255"/>
      <c r="D14" s="256"/>
    </row>
    <row r="15" spans="1:4" x14ac:dyDescent="0.25">
      <c r="A15" s="253" t="s">
        <v>33</v>
      </c>
      <c r="B15" s="257" t="s">
        <v>243</v>
      </c>
      <c r="C15" s="255"/>
      <c r="D15" s="256"/>
    </row>
    <row r="16" spans="1:4" x14ac:dyDescent="0.25">
      <c r="A16" s="253" t="s">
        <v>140</v>
      </c>
      <c r="B16" s="257" t="s">
        <v>244</v>
      </c>
      <c r="C16" s="255">
        <v>8893500</v>
      </c>
      <c r="D16" s="256">
        <v>885400</v>
      </c>
    </row>
    <row r="17" spans="1:4" x14ac:dyDescent="0.25">
      <c r="A17" s="253" t="s">
        <v>141</v>
      </c>
      <c r="B17" s="257" t="s">
        <v>245</v>
      </c>
      <c r="C17" s="255"/>
      <c r="D17" s="256"/>
    </row>
    <row r="18" spans="1:4" x14ac:dyDescent="0.25">
      <c r="A18" s="253" t="s">
        <v>142</v>
      </c>
      <c r="B18" s="257" t="s">
        <v>246</v>
      </c>
      <c r="C18" s="255"/>
      <c r="D18" s="256"/>
    </row>
    <row r="19" spans="1:4" ht="22.5" x14ac:dyDescent="0.25">
      <c r="A19" s="253" t="s">
        <v>247</v>
      </c>
      <c r="B19" s="257" t="s">
        <v>248</v>
      </c>
      <c r="C19" s="255"/>
      <c r="D19" s="256"/>
    </row>
    <row r="20" spans="1:4" x14ac:dyDescent="0.25">
      <c r="A20" s="253" t="s">
        <v>249</v>
      </c>
      <c r="B20" s="254" t="s">
        <v>250</v>
      </c>
      <c r="C20" s="255">
        <v>5000000</v>
      </c>
      <c r="D20" s="256">
        <v>82852</v>
      </c>
    </row>
    <row r="21" spans="1:4" x14ac:dyDescent="0.25">
      <c r="A21" s="253" t="s">
        <v>251</v>
      </c>
      <c r="B21" s="254" t="s">
        <v>252</v>
      </c>
      <c r="C21" s="255"/>
      <c r="D21" s="256"/>
    </row>
    <row r="22" spans="1:4" x14ac:dyDescent="0.25">
      <c r="A22" s="253" t="s">
        <v>253</v>
      </c>
      <c r="B22" s="254" t="s">
        <v>254</v>
      </c>
      <c r="C22" s="255"/>
      <c r="D22" s="256"/>
    </row>
    <row r="23" spans="1:4" x14ac:dyDescent="0.25">
      <c r="A23" s="253" t="s">
        <v>255</v>
      </c>
      <c r="B23" s="254" t="s">
        <v>256</v>
      </c>
      <c r="C23" s="255"/>
      <c r="D23" s="256"/>
    </row>
    <row r="24" spans="1:4" x14ac:dyDescent="0.25">
      <c r="A24" s="253" t="s">
        <v>257</v>
      </c>
      <c r="B24" s="254" t="s">
        <v>258</v>
      </c>
      <c r="C24" s="255"/>
      <c r="D24" s="256"/>
    </row>
    <row r="25" spans="1:4" ht="13.5" thickBot="1" x14ac:dyDescent="0.3">
      <c r="A25" s="253" t="s">
        <v>259</v>
      </c>
      <c r="B25" s="258"/>
      <c r="C25" s="259"/>
      <c r="D25" s="256"/>
    </row>
    <row r="26" spans="1:4" ht="13.5" thickBot="1" x14ac:dyDescent="0.3">
      <c r="A26" s="260" t="s">
        <v>260</v>
      </c>
      <c r="B26" s="261" t="s">
        <v>261</v>
      </c>
      <c r="C26" s="262">
        <f>SUM(C8:C25)</f>
        <v>13893500</v>
      </c>
      <c r="D26" s="263">
        <f>SUM(D8:D25)</f>
        <v>968252</v>
      </c>
    </row>
    <row r="27" spans="1:4" x14ac:dyDescent="0.25">
      <c r="A27" s="264"/>
      <c r="B27" s="817"/>
      <c r="C27" s="817"/>
      <c r="D27" s="817"/>
    </row>
  </sheetData>
  <mergeCells count="4">
    <mergeCell ref="B1:C1"/>
    <mergeCell ref="B3:C3"/>
    <mergeCell ref="B4:C4"/>
    <mergeCell ref="B27:D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19" workbookViewId="0">
      <selection activeCell="K19" sqref="K19"/>
    </sheetView>
  </sheetViews>
  <sheetFormatPr defaultColWidth="8" defaultRowHeight="12.75" x14ac:dyDescent="0.25"/>
  <cols>
    <col min="1" max="1" width="5.85546875" style="195" customWidth="1"/>
    <col min="2" max="2" width="42.5703125" style="138" customWidth="1"/>
    <col min="3" max="3" width="12.140625" style="138" bestFit="1" customWidth="1"/>
    <col min="4" max="4" width="11" style="138" customWidth="1"/>
    <col min="5" max="5" width="15.42578125" style="138" bestFit="1" customWidth="1"/>
    <col min="6" max="8" width="11" style="138" customWidth="1"/>
    <col min="9" max="9" width="14" style="138" bestFit="1" customWidth="1"/>
    <col min="10" max="11" width="8" style="138"/>
    <col min="12" max="12" width="11.28515625" style="138" bestFit="1" customWidth="1"/>
    <col min="13" max="16384" width="8" style="138"/>
  </cols>
  <sheetData>
    <row r="1" spans="1:9" ht="18" x14ac:dyDescent="0.25">
      <c r="B1" s="822" t="s">
        <v>836</v>
      </c>
      <c r="C1" s="823"/>
      <c r="D1" s="823"/>
      <c r="E1" s="823"/>
      <c r="F1" s="823"/>
      <c r="G1" s="823"/>
      <c r="H1" s="823"/>
    </row>
    <row r="2" spans="1:9" ht="18.75" x14ac:dyDescent="0.25">
      <c r="B2" s="822" t="s">
        <v>3</v>
      </c>
      <c r="C2" s="822"/>
      <c r="D2" s="822"/>
      <c r="E2" s="822"/>
      <c r="F2" s="822"/>
      <c r="G2" s="822"/>
      <c r="H2" s="822"/>
      <c r="I2" s="196" t="s">
        <v>262</v>
      </c>
    </row>
    <row r="3" spans="1:9" ht="18" x14ac:dyDescent="0.25">
      <c r="B3" s="822" t="s">
        <v>263</v>
      </c>
      <c r="C3" s="823"/>
      <c r="D3" s="823"/>
      <c r="E3" s="823"/>
      <c r="F3" s="823"/>
      <c r="G3" s="823"/>
      <c r="H3" s="823"/>
    </row>
    <row r="5" spans="1:9" ht="14.25" thickBot="1" x14ac:dyDescent="0.3">
      <c r="I5" s="265" t="s">
        <v>264</v>
      </c>
    </row>
    <row r="6" spans="1:9" x14ac:dyDescent="0.25">
      <c r="A6" s="824" t="s">
        <v>265</v>
      </c>
      <c r="B6" s="818" t="s">
        <v>266</v>
      </c>
      <c r="C6" s="824" t="s">
        <v>267</v>
      </c>
      <c r="D6" s="824" t="s">
        <v>838</v>
      </c>
      <c r="E6" s="826" t="s">
        <v>268</v>
      </c>
      <c r="F6" s="827"/>
      <c r="G6" s="827"/>
      <c r="H6" s="828"/>
      <c r="I6" s="818" t="s">
        <v>217</v>
      </c>
    </row>
    <row r="7" spans="1:9" ht="13.5" thickBot="1" x14ac:dyDescent="0.3">
      <c r="A7" s="825"/>
      <c r="B7" s="819"/>
      <c r="C7" s="819"/>
      <c r="D7" s="825"/>
      <c r="E7" s="266" t="s">
        <v>269</v>
      </c>
      <c r="F7" s="266">
        <v>2020</v>
      </c>
      <c r="G7" s="266" t="s">
        <v>837</v>
      </c>
      <c r="H7" s="267" t="s">
        <v>270</v>
      </c>
      <c r="I7" s="819"/>
    </row>
    <row r="8" spans="1:9" ht="13.5" thickBot="1" x14ac:dyDescent="0.3">
      <c r="A8" s="268">
        <v>1</v>
      </c>
      <c r="B8" s="269">
        <v>2</v>
      </c>
      <c r="C8" s="270">
        <v>3</v>
      </c>
      <c r="D8" s="269">
        <v>4</v>
      </c>
      <c r="E8" s="268">
        <v>5</v>
      </c>
      <c r="F8" s="270">
        <v>6</v>
      </c>
      <c r="G8" s="270">
        <v>7</v>
      </c>
      <c r="H8" s="271">
        <v>8</v>
      </c>
      <c r="I8" s="272" t="s">
        <v>271</v>
      </c>
    </row>
    <row r="9" spans="1:9" ht="13.5" thickBot="1" x14ac:dyDescent="0.3">
      <c r="A9" s="273" t="s">
        <v>43</v>
      </c>
      <c r="B9" s="274" t="s">
        <v>272</v>
      </c>
      <c r="C9" s="275"/>
      <c r="D9" s="276">
        <f>SUM(D10:D11)</f>
        <v>0</v>
      </c>
      <c r="E9" s="277"/>
      <c r="F9" s="278"/>
      <c r="G9" s="278"/>
      <c r="H9" s="279"/>
      <c r="I9" s="280"/>
    </row>
    <row r="10" spans="1:9" x14ac:dyDescent="0.25">
      <c r="A10" s="281" t="s">
        <v>45</v>
      </c>
      <c r="B10" s="282"/>
      <c r="C10" s="283"/>
      <c r="D10" s="284"/>
      <c r="E10" s="285"/>
      <c r="F10" s="286"/>
      <c r="G10" s="286"/>
      <c r="H10" s="287"/>
      <c r="I10" s="288">
        <f t="shared" ref="I10:I26" si="0">SUM(D10:H10)</f>
        <v>0</v>
      </c>
    </row>
    <row r="11" spans="1:9" ht="13.5" thickBot="1" x14ac:dyDescent="0.3">
      <c r="A11" s="281" t="s">
        <v>53</v>
      </c>
      <c r="B11" s="282"/>
      <c r="C11" s="283"/>
      <c r="D11" s="284"/>
      <c r="E11" s="285"/>
      <c r="F11" s="286"/>
      <c r="G11" s="286"/>
      <c r="H11" s="287"/>
      <c r="I11" s="288">
        <f t="shared" si="0"/>
        <v>0</v>
      </c>
    </row>
    <row r="12" spans="1:9" ht="13.5" thickBot="1" x14ac:dyDescent="0.3">
      <c r="A12" s="273" t="s">
        <v>16</v>
      </c>
      <c r="B12" s="289" t="s">
        <v>273</v>
      </c>
      <c r="C12" s="290"/>
      <c r="D12" s="276">
        <f>SUM(D13:D14)</f>
        <v>0</v>
      </c>
      <c r="E12" s="277">
        <f>SUM(E13:E14)</f>
        <v>0</v>
      </c>
      <c r="F12" s="278">
        <f>SUM(F13:F14)</f>
        <v>0</v>
      </c>
      <c r="G12" s="278">
        <f>SUM(G13:G14)</f>
        <v>0</v>
      </c>
      <c r="H12" s="279">
        <f>SUM(H13:H14)</f>
        <v>0</v>
      </c>
      <c r="I12" s="280">
        <f t="shared" si="0"/>
        <v>0</v>
      </c>
    </row>
    <row r="13" spans="1:9" x14ac:dyDescent="0.25">
      <c r="A13" s="281" t="s">
        <v>18</v>
      </c>
      <c r="B13" s="282"/>
      <c r="C13" s="291"/>
      <c r="D13" s="284"/>
      <c r="E13" s="285"/>
      <c r="F13" s="286"/>
      <c r="G13" s="286"/>
      <c r="H13" s="287"/>
      <c r="I13" s="288">
        <f t="shared" si="0"/>
        <v>0</v>
      </c>
    </row>
    <row r="14" spans="1:9" ht="13.5" thickBot="1" x14ac:dyDescent="0.3">
      <c r="A14" s="281" t="s">
        <v>29</v>
      </c>
      <c r="B14" s="282"/>
      <c r="C14" s="283"/>
      <c r="D14" s="284"/>
      <c r="E14" s="285"/>
      <c r="F14" s="286"/>
      <c r="G14" s="286"/>
      <c r="H14" s="287"/>
      <c r="I14" s="288">
        <f t="shared" si="0"/>
        <v>0</v>
      </c>
    </row>
    <row r="15" spans="1:9" s="297" customFormat="1" ht="15" thickBot="1" x14ac:dyDescent="0.3">
      <c r="A15" s="292" t="s">
        <v>31</v>
      </c>
      <c r="B15" s="293" t="s">
        <v>274</v>
      </c>
      <c r="C15" s="294"/>
      <c r="D15" s="295">
        <f>SUM(D16:D16)</f>
        <v>0</v>
      </c>
      <c r="E15" s="296">
        <f>E16+E17+E18+E19+E20+E22+E21</f>
        <v>270252</v>
      </c>
      <c r="F15" s="296">
        <f t="shared" ref="F15:I15" si="1">F16+F17+F18+F19+F20</f>
        <v>0</v>
      </c>
      <c r="G15" s="296">
        <f t="shared" si="1"/>
        <v>0</v>
      </c>
      <c r="H15" s="296">
        <f t="shared" si="1"/>
        <v>0</v>
      </c>
      <c r="I15" s="296">
        <f t="shared" si="1"/>
        <v>256788</v>
      </c>
    </row>
    <row r="16" spans="1:9" ht="38.25" x14ac:dyDescent="0.25">
      <c r="A16" s="298" t="s">
        <v>33</v>
      </c>
      <c r="B16" s="299" t="s">
        <v>215</v>
      </c>
      <c r="C16" s="299"/>
      <c r="D16" s="299"/>
      <c r="E16" s="299">
        <v>198182</v>
      </c>
      <c r="F16" s="300"/>
      <c r="G16" s="301"/>
      <c r="H16" s="302"/>
      <c r="I16" s="303">
        <f t="shared" si="0"/>
        <v>198182</v>
      </c>
    </row>
    <row r="17" spans="1:9" ht="29.25" customHeight="1" x14ac:dyDescent="0.25">
      <c r="A17" s="298" t="s">
        <v>140</v>
      </c>
      <c r="B17" s="448" t="s">
        <v>515</v>
      </c>
      <c r="C17" s="299"/>
      <c r="D17" s="443"/>
      <c r="E17" s="299">
        <v>37710</v>
      </c>
      <c r="F17" s="445"/>
      <c r="G17" s="152"/>
      <c r="H17" s="446"/>
      <c r="I17" s="303">
        <f t="shared" si="0"/>
        <v>37710</v>
      </c>
    </row>
    <row r="18" spans="1:9" ht="33" customHeight="1" x14ac:dyDescent="0.25">
      <c r="A18" s="298" t="s">
        <v>141</v>
      </c>
      <c r="B18" s="449" t="s">
        <v>516</v>
      </c>
      <c r="C18" s="299"/>
      <c r="D18" s="443"/>
      <c r="E18" s="299">
        <v>5740</v>
      </c>
      <c r="F18" s="445"/>
      <c r="G18" s="152"/>
      <c r="H18" s="446"/>
      <c r="I18" s="303">
        <f t="shared" si="0"/>
        <v>5740</v>
      </c>
    </row>
    <row r="19" spans="1:9" ht="78.75" x14ac:dyDescent="0.25">
      <c r="A19" s="298" t="s">
        <v>142</v>
      </c>
      <c r="B19" s="439" t="s">
        <v>517</v>
      </c>
      <c r="C19" s="299"/>
      <c r="D19" s="443"/>
      <c r="E19" s="299">
        <v>8800</v>
      </c>
      <c r="F19" s="445"/>
      <c r="G19" s="152"/>
      <c r="H19" s="446"/>
      <c r="I19" s="303">
        <f t="shared" si="0"/>
        <v>8800</v>
      </c>
    </row>
    <row r="20" spans="1:9" ht="47.25" x14ac:dyDescent="0.25">
      <c r="A20" s="298" t="s">
        <v>247</v>
      </c>
      <c r="B20" s="305" t="s">
        <v>518</v>
      </c>
      <c r="C20" s="299"/>
      <c r="D20" s="443"/>
      <c r="E20" s="299">
        <v>6356</v>
      </c>
      <c r="F20" s="445"/>
      <c r="G20" s="152"/>
      <c r="H20" s="446"/>
      <c r="I20" s="303">
        <f t="shared" si="0"/>
        <v>6356</v>
      </c>
    </row>
    <row r="21" spans="1:9" ht="13.5" thickBot="1" x14ac:dyDescent="0.3">
      <c r="A21" s="298" t="s">
        <v>249</v>
      </c>
      <c r="B21" s="442" t="s">
        <v>839</v>
      </c>
      <c r="C21" s="299"/>
      <c r="D21" s="443"/>
      <c r="E21" s="299">
        <v>1000</v>
      </c>
      <c r="F21" s="445"/>
      <c r="G21" s="444"/>
      <c r="H21" s="446"/>
      <c r="I21" s="447">
        <f t="shared" si="0"/>
        <v>1000</v>
      </c>
    </row>
    <row r="22" spans="1:9" ht="16.5" thickBot="1" x14ac:dyDescent="0.3">
      <c r="A22" s="298" t="s">
        <v>251</v>
      </c>
      <c r="B22" s="304" t="s">
        <v>652</v>
      </c>
      <c r="C22" s="305"/>
      <c r="D22" s="306"/>
      <c r="E22" s="658">
        <v>12464</v>
      </c>
      <c r="F22" s="278">
        <v>140000</v>
      </c>
      <c r="G22" s="278">
        <f>SUM(G23:G23)</f>
        <v>0</v>
      </c>
      <c r="H22" s="279">
        <f>SUM(H23:H23)</f>
        <v>0</v>
      </c>
      <c r="I22" s="280">
        <f t="shared" si="0"/>
        <v>152464</v>
      </c>
    </row>
    <row r="23" spans="1:9" ht="13.5" thickBot="1" x14ac:dyDescent="0.3">
      <c r="A23" s="298" t="s">
        <v>253</v>
      </c>
      <c r="B23" s="307" t="s">
        <v>275</v>
      </c>
      <c r="C23" s="308"/>
      <c r="D23" s="309"/>
      <c r="E23" s="310"/>
      <c r="F23" s="311"/>
      <c r="G23" s="311"/>
      <c r="H23" s="312"/>
      <c r="I23" s="313">
        <f t="shared" si="0"/>
        <v>0</v>
      </c>
    </row>
    <row r="24" spans="1:9" ht="13.5" thickBot="1" x14ac:dyDescent="0.3">
      <c r="A24" s="298" t="s">
        <v>255</v>
      </c>
      <c r="B24" s="314" t="s">
        <v>276</v>
      </c>
      <c r="C24" s="290"/>
      <c r="D24" s="315">
        <f>SUM(D25:D25)</f>
        <v>0</v>
      </c>
      <c r="E24" s="316">
        <f>SUM(E25:E25)</f>
        <v>0</v>
      </c>
      <c r="F24" s="317"/>
      <c r="G24" s="317"/>
      <c r="H24" s="318"/>
      <c r="I24" s="280">
        <f t="shared" si="0"/>
        <v>0</v>
      </c>
    </row>
    <row r="25" spans="1:9" ht="13.5" thickBot="1" x14ac:dyDescent="0.3">
      <c r="A25" s="298" t="s">
        <v>257</v>
      </c>
      <c r="B25" s="319"/>
      <c r="C25" s="320"/>
      <c r="D25" s="321"/>
      <c r="E25" s="322"/>
      <c r="F25" s="323"/>
      <c r="G25" s="323"/>
      <c r="H25" s="324"/>
      <c r="I25" s="325">
        <f t="shared" si="0"/>
        <v>0</v>
      </c>
    </row>
    <row r="26" spans="1:9" s="332" customFormat="1" ht="16.5" thickBot="1" x14ac:dyDescent="0.3">
      <c r="A26" s="820" t="s">
        <v>277</v>
      </c>
      <c r="B26" s="821"/>
      <c r="C26" s="326"/>
      <c r="D26" s="327">
        <f>D9+D12+D15+D22+D24</f>
        <v>0</v>
      </c>
      <c r="E26" s="328">
        <f>E9+E12+E15+E22+E24</f>
        <v>282716</v>
      </c>
      <c r="F26" s="329">
        <f>F9+F12+F15+F22+F24</f>
        <v>140000</v>
      </c>
      <c r="G26" s="329">
        <f>G9+G12+G15+G22+G24</f>
        <v>0</v>
      </c>
      <c r="H26" s="330">
        <f>H9+H12+H15+H22+H24</f>
        <v>0</v>
      </c>
      <c r="I26" s="331">
        <f t="shared" si="0"/>
        <v>422716</v>
      </c>
    </row>
    <row r="36" spans="2:2" x14ac:dyDescent="0.25">
      <c r="B36" s="333"/>
    </row>
  </sheetData>
  <mergeCells count="10">
    <mergeCell ref="I6:I7"/>
    <mergeCell ref="A26:B26"/>
    <mergeCell ref="B1:H1"/>
    <mergeCell ref="B2:H2"/>
    <mergeCell ref="B3:H3"/>
    <mergeCell ref="A6:A7"/>
    <mergeCell ref="B6:B7"/>
    <mergeCell ref="C6:C7"/>
    <mergeCell ref="D6:D7"/>
    <mergeCell ref="E6:H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29</vt:i4>
      </vt:variant>
    </vt:vector>
  </HeadingPairs>
  <TitlesOfParts>
    <vt:vector size="2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11a</vt:lpstr>
      <vt:lpstr>11b</vt:lpstr>
      <vt:lpstr>11c</vt:lpstr>
      <vt:lpstr>11d</vt:lpstr>
      <vt:lpstr>11e</vt:lpstr>
      <vt:lpstr>11f</vt:lpstr>
      <vt:lpstr>12</vt:lpstr>
      <vt:lpstr>13</vt:lpstr>
      <vt:lpstr>13a</vt:lpstr>
      <vt:lpstr>13b</vt:lpstr>
      <vt:lpstr>14</vt:lpstr>
      <vt:lpstr>15</vt:lpstr>
      <vt:lpstr>16</vt:lpstr>
      <vt:lpstr>16a</vt:lpstr>
      <vt:lpstr>16b</vt:lpstr>
      <vt:lpstr>16c</vt:lpstr>
      <vt:lpstr>16d</vt:lpstr>
      <vt:lpstr>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2019-03-07T09:46:26Z</cp:lastPrinted>
  <dcterms:created xsi:type="dcterms:W3CDTF">2018-02-22T07:05:57Z</dcterms:created>
  <dcterms:modified xsi:type="dcterms:W3CDTF">2019-03-08T10:25:09Z</dcterms:modified>
</cp:coreProperties>
</file>