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880" tabRatio="803" activeTab="0"/>
  </bookViews>
  <sheets>
    <sheet name="önként2018." sheetId="1" r:id="rId1"/>
    <sheet name="kötelező2018." sheetId="2" r:id="rId2"/>
    <sheet name="önként2018.felh." sheetId="3" r:id="rId3"/>
    <sheet name="kötelező2018.felh." sheetId="4" r:id="rId4"/>
    <sheet name="önkét2018.finansz." sheetId="5" r:id="rId5"/>
    <sheet name="kötelező2018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'kötelező2018.'!$A$1:$M$45</definedName>
    <definedName name="_xlnm.Print_Area" localSheetId="3">'kötelező2018.felh.'!$A$1:$M$29</definedName>
    <definedName name="_xlnm.Print_Area" localSheetId="5">'kötelező2018.finansz.'!$A$1:$M$11</definedName>
    <definedName name="_xlnm.Print_Area" localSheetId="0">'önként2018.'!$A$1:$L$36</definedName>
    <definedName name="_xlnm.Print_Area" localSheetId="2">'önként2018.felh.'!$A$1:$L$49</definedName>
    <definedName name="_xlnm.Print_Area" localSheetId="4">'önkét2018.finansz.'!$A$1:$L$22</definedName>
  </definedNames>
  <calcPr fullCalcOnLoad="1"/>
</workbook>
</file>

<file path=xl/sharedStrings.xml><?xml version="1.0" encoding="utf-8"?>
<sst xmlns="http://schemas.openxmlformats.org/spreadsheetml/2006/main" count="237" uniqueCount="117">
  <si>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</si>
  <si>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</si>
  <si>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</si>
  <si>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</si>
  <si>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</si>
  <si>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</si>
  <si>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</si>
  <si>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</si>
  <si>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</si>
  <si>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</si>
  <si>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</si>
  <si>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</si>
  <si>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</si>
  <si>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</si>
  <si>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</si>
  <si>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</si>
  <si>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</si>
  <si>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</si>
  <si>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</si>
  <si>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</si>
  <si>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</si>
  <si>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</si>
  <si>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</si>
  <si>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</si>
  <si>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</si>
  <si>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</si>
  <si>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</si>
  <si>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</si>
  <si>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</si>
  <si>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</si>
  <si>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</si>
  <si>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</si>
  <si>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</si>
  <si>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</si>
  <si>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</si>
  <si>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</si>
  <si>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</si>
  <si>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</si>
  <si>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</si>
  <si>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</si>
  <si>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</si>
  <si>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</si>
  <si>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</si>
  <si>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</si>
  <si>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</si>
  <si>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</si>
  <si>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</si>
  <si>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</si>
  <si>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</si>
  <si>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</si>
  <si>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</si>
  <si>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</si>
  <si>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</si>
  <si>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</si>
  <si>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</si>
  <si>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</si>
  <si>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</si>
  <si>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</si>
  <si>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</si>
  <si>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</si>
  <si>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</si>
  <si>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</si>
  <si>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</si>
  <si>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</si>
  <si>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</si>
  <si>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</si>
  <si>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</si>
  <si>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</si>
  <si>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</si>
  <si>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</si>
  <si>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</si>
  <si>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</si>
  <si>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</si>
  <si>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</si>
  <si>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</si>
  <si>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</si>
  <si>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</si>
  <si>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</si>
  <si>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</si>
  <si>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</si>
  <si>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</si>
  <si>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</si>
  <si>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</si>
  <si>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</si>
  <si>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</si>
  <si>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</si>
  <si>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</si>
  <si>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</si>
  <si>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</si>
  <si>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</si>
  <si>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</si>
  <si>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</si>
  <si>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Belföldi értékpapírok kiadásai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</si>
  <si>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</si>
  <si>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</si>
  <si>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</si>
  <si>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</si>
  <si>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</si>
  <si>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</si>
  <si>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2018. Működési költségvetés  -  Kötelezően előírt feladatkörök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</si>
  <si>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</si>
  <si>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</si>
  <si>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</si>
  <si>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</si>
  <si>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</si>
  <si>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</si>
  <si>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2018. Működési költségvetés -  Önként vállalt feladatkörök</t>
  </si>
  <si>
    <t>2018. Finanszírozási kiadások  -  Kötelezően előírt feladatkörök</t>
  </si>
  <si>
    <t>2018. Finanszírozási kiadások -  Önként vállalt feladatkörök</t>
  </si>
  <si>
    <t>2018. Felhalmozási költségvetés  -  Kötelezően előírt feladatkörök</t>
  </si>
  <si>
    <t>2018. Felhalmozási költségvetés -  Önként vállalt feladatkörök</t>
  </si>
  <si>
    <t>Oktatási Bizottság kiadásai</t>
  </si>
  <si>
    <t>Kulturális tanácsnoki keret kiadásai</t>
  </si>
  <si>
    <t>Nemzetiségi önkorm. támogatása</t>
  </si>
  <si>
    <t>Közbiztonság kiadásai</t>
  </si>
  <si>
    <t>Egészségügyi és Szoc.Biz.kiadásai</t>
  </si>
  <si>
    <t xml:space="preserve">Emberi jogi,Nemz.és Egyházügyi Biz.kiad.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</si>
</sst>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9" xfId="0" applyFont="1" applyFill="1" applyBorder="1" applyAlignment="1">
      <alignment shrinkToFit="1"/>
    </xf>
    <xf numFmtId="3" fontId="3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shrinkToFit="1"/>
    </xf>
    <xf numFmtId="2" fontId="3" fillId="0" borderId="18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5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6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5" xfId="0" applyNumberFormat="1" applyFont="1" applyFill="1" applyBorder="1" applyAlignment="1">
      <alignment horizontal="right"/>
    </xf>
    <xf numFmtId="2" fontId="10" fillId="0" borderId="15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30" xfId="0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2" fontId="9" fillId="0" borderId="3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3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0" fontId="12" fillId="0" borderId="32" xfId="0" applyFont="1" applyFill="1" applyBorder="1" applyAlignment="1">
      <alignment shrinkToFit="1"/>
    </xf>
    <xf numFmtId="4" fontId="9" fillId="0" borderId="2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12" fillId="0" borderId="33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0" fontId="3" fillId="0" borderId="34" xfId="0" applyFont="1" applyFill="1" applyBorder="1" applyAlignment="1">
      <alignment shrinkToFit="1"/>
    </xf>
    <xf numFmtId="172" fontId="9" fillId="0" borderId="1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12" fillId="0" borderId="19" xfId="0" applyFont="1" applyFill="1" applyBorder="1" applyAlignment="1">
      <alignment shrinkToFit="1"/>
    </xf>
    <xf numFmtId="0" fontId="3" fillId="0" borderId="30" xfId="0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172" fontId="10" fillId="0" borderId="18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172" fontId="9" fillId="0" borderId="31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  <xf numFmtId="0" fontId="3" fillId="0" borderId="30" xfId="0" applyFont="1" applyFill="1" applyBorder="1" applyAlignment="1">
      <alignment shrinkToFit="1"/>
    </xf>
    <xf numFmtId="3" fontId="3" fillId="0" borderId="15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shrinkToFit="1"/>
    </xf>
    <xf numFmtId="4" fontId="3" fillId="0" borderId="20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shrinkToFit="1"/>
    </xf>
    <xf numFmtId="0" fontId="10" fillId="0" borderId="33" xfId="0" applyFont="1" applyFill="1" applyBorder="1" applyAlignment="1">
      <alignment shrinkToFit="1"/>
    </xf>
    <xf numFmtId="3" fontId="10" fillId="0" borderId="2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2" fontId="12" fillId="0" borderId="37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 horizontal="right"/>
    </xf>
    <xf numFmtId="172" fontId="10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2" fontId="10" fillId="0" borderId="1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shrinkToFit="1"/>
    </xf>
    <xf numFmtId="172" fontId="10" fillId="0" borderId="20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41" sqref="B41:C41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70" t="s">
        <v>31</v>
      </c>
      <c r="L1" s="170"/>
    </row>
    <row r="2" spans="1:12" ht="12.75">
      <c r="A2" s="171" t="s">
        <v>106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3.5" thickBot="1">
      <c r="A4" s="57"/>
      <c r="B4" s="57"/>
      <c r="C4" s="57"/>
      <c r="D4" s="70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3</v>
      </c>
      <c r="B5" s="45" t="s">
        <v>69</v>
      </c>
      <c r="C5" s="45" t="s">
        <v>64</v>
      </c>
      <c r="D5" s="46" t="s">
        <v>70</v>
      </c>
      <c r="E5" s="45" t="s">
        <v>60</v>
      </c>
      <c r="F5" s="46" t="s">
        <v>71</v>
      </c>
      <c r="G5" s="45" t="s">
        <v>72</v>
      </c>
      <c r="H5" s="46" t="s">
        <v>73</v>
      </c>
      <c r="I5" s="46" t="s">
        <v>76</v>
      </c>
      <c r="J5" s="46" t="s">
        <v>48</v>
      </c>
      <c r="K5" s="47" t="s">
        <v>74</v>
      </c>
      <c r="L5" s="54" t="s">
        <v>75</v>
      </c>
    </row>
    <row r="6" spans="1:12" ht="12.75">
      <c r="A6" s="14" t="s">
        <v>18</v>
      </c>
      <c r="B6" s="15">
        <f>86113+14820+3400+26800+4000+266029+450+100+40562+650+3300+774+500+1179+1150</f>
        <v>449827</v>
      </c>
      <c r="C6" s="15"/>
      <c r="D6" s="195">
        <f>SUM(C6/B6)*100</f>
        <v>0</v>
      </c>
      <c r="E6" s="16"/>
      <c r="F6" s="17">
        <f aca="true" t="shared" si="0" ref="F6:F16">SUM(E6/B6)*100</f>
        <v>0</v>
      </c>
      <c r="G6" s="16"/>
      <c r="H6" s="17">
        <f>SUM(G6/B6*100)</f>
        <v>0</v>
      </c>
      <c r="I6" s="16"/>
      <c r="J6" s="17">
        <f>SUM(I6/B6*100)</f>
        <v>0</v>
      </c>
      <c r="K6" s="20">
        <f>SUM(B6-C6-E6-G6-I6)</f>
        <v>449827</v>
      </c>
      <c r="L6" s="18">
        <f>SUM(K6/B6)*100</f>
        <v>100</v>
      </c>
    </row>
    <row r="7" spans="1:12" ht="12.75">
      <c r="A7" s="14" t="s">
        <v>113</v>
      </c>
      <c r="B7" s="15">
        <f>21114+950</f>
        <v>22064</v>
      </c>
      <c r="C7" s="15"/>
      <c r="D7" s="195">
        <f>SUM(C7/B7)*100</f>
        <v>0</v>
      </c>
      <c r="E7" s="16"/>
      <c r="F7" s="17">
        <f>SUM(E7/B7)*100</f>
        <v>0</v>
      </c>
      <c r="G7" s="16"/>
      <c r="H7" s="17">
        <f>SUM(G7/B7*100)</f>
        <v>0</v>
      </c>
      <c r="I7" s="16"/>
      <c r="J7" s="17">
        <f>SUM(I7/B7*100)</f>
        <v>0</v>
      </c>
      <c r="K7" s="20">
        <f>SUM(B7-C7-E7-G7-I7)</f>
        <v>22064</v>
      </c>
      <c r="L7" s="18">
        <f>SUM(K7/B7)*100</f>
        <v>100</v>
      </c>
    </row>
    <row r="8" spans="1:12" ht="12.75">
      <c r="A8" s="14" t="s">
        <v>19</v>
      </c>
      <c r="B8" s="19">
        <f>3706856-'kötelező2018.'!C11</f>
        <v>1486846</v>
      </c>
      <c r="C8" s="19"/>
      <c r="D8" s="196">
        <f>SUM(C8/B8)*100</f>
        <v>0</v>
      </c>
      <c r="E8" s="20"/>
      <c r="F8" s="21">
        <f t="shared" si="0"/>
        <v>0</v>
      </c>
      <c r="G8" s="20"/>
      <c r="H8" s="21">
        <f>SUM(G8/B8*100)</f>
        <v>0</v>
      </c>
      <c r="I8" s="20"/>
      <c r="J8" s="17">
        <f aca="true" t="shared" si="1" ref="J8:J33">SUM(I8/B8*100)</f>
        <v>0</v>
      </c>
      <c r="K8" s="20">
        <f aca="true" t="shared" si="2" ref="K8:K16">SUM(B8-C8-E8-G8-I8)</f>
        <v>1486846</v>
      </c>
      <c r="L8" s="22">
        <f>SUM(K8/B8)*100</f>
        <v>100</v>
      </c>
    </row>
    <row r="9" spans="1:12" ht="12.75">
      <c r="A9" s="14" t="s">
        <v>1</v>
      </c>
      <c r="B9" s="19">
        <f>100000-6120-29918</f>
        <v>63962</v>
      </c>
      <c r="C9" s="19"/>
      <c r="D9" s="196">
        <f>SUM(C9/B9)*100</f>
        <v>0</v>
      </c>
      <c r="E9" s="20"/>
      <c r="F9" s="21">
        <f t="shared" si="0"/>
        <v>0</v>
      </c>
      <c r="G9" s="20"/>
      <c r="H9" s="21">
        <f>SUM(G9/B9*100)</f>
        <v>0</v>
      </c>
      <c r="I9" s="20"/>
      <c r="J9" s="17">
        <f t="shared" si="1"/>
        <v>0</v>
      </c>
      <c r="K9" s="20">
        <f t="shared" si="2"/>
        <v>63962</v>
      </c>
      <c r="L9" s="22">
        <f>SUM(K9/B9)*100</f>
        <v>100</v>
      </c>
    </row>
    <row r="10" spans="1:12" ht="12.75">
      <c r="A10" s="174" t="s">
        <v>23</v>
      </c>
      <c r="B10" s="19">
        <f>19000+2500+8000+8200+11934+155000+45000+5950+7650+3600+5000+151725+9180+20000+50000-7000-8174-2500-300-437-11934-800-100+122714-9180-26540-1161-3115-3506-72208-45000-861-3797-962-119810-7397-20683-2437-2115-1114-9000-985-2743-1150-1000+625684-1378</f>
        <v>883750</v>
      </c>
      <c r="C10" s="19">
        <v>63068</v>
      </c>
      <c r="D10" s="196">
        <f aca="true" t="shared" si="3" ref="D10:D22">SUM(C10/B10)*100</f>
        <v>7.136407355021217</v>
      </c>
      <c r="E10" s="20"/>
      <c r="F10" s="21">
        <f t="shared" si="0"/>
        <v>0</v>
      </c>
      <c r="G10" s="20"/>
      <c r="H10" s="21">
        <f aca="true" t="shared" si="4" ref="H10:H22">SUM(G10/B10*100)</f>
        <v>0</v>
      </c>
      <c r="I10" s="20">
        <v>100000</v>
      </c>
      <c r="J10" s="17">
        <f t="shared" si="1"/>
        <v>11.315417256011315</v>
      </c>
      <c r="K10" s="20">
        <f t="shared" si="2"/>
        <v>720682</v>
      </c>
      <c r="L10" s="22">
        <f aca="true" t="shared" si="5" ref="L10:L22">SUM(K10/B10)*100</f>
        <v>81.54817538896746</v>
      </c>
    </row>
    <row r="11" spans="1:12" ht="12.75">
      <c r="A11" s="174" t="s">
        <v>58</v>
      </c>
      <c r="B11" s="23">
        <f>1313641-'kötelező2018.'!C12-B36</f>
        <v>408052</v>
      </c>
      <c r="C11" s="19"/>
      <c r="D11" s="196">
        <f t="shared" si="3"/>
        <v>0</v>
      </c>
      <c r="E11" s="20"/>
      <c r="F11" s="21">
        <f t="shared" si="0"/>
        <v>0</v>
      </c>
      <c r="G11" s="20"/>
      <c r="H11" s="21">
        <f t="shared" si="4"/>
        <v>0</v>
      </c>
      <c r="I11" s="20"/>
      <c r="J11" s="17">
        <f t="shared" si="1"/>
        <v>0</v>
      </c>
      <c r="K11" s="20">
        <f t="shared" si="2"/>
        <v>408052</v>
      </c>
      <c r="L11" s="22">
        <f t="shared" si="5"/>
        <v>100</v>
      </c>
    </row>
    <row r="12" spans="1:12" ht="12.75">
      <c r="A12" s="174" t="s">
        <v>14</v>
      </c>
      <c r="B12" s="19">
        <v>85000</v>
      </c>
      <c r="C12" s="19"/>
      <c r="D12" s="196">
        <f>SUM(C12/B12)*100</f>
        <v>0</v>
      </c>
      <c r="E12" s="20"/>
      <c r="F12" s="21">
        <f>SUM(E12/B12)*100</f>
        <v>0</v>
      </c>
      <c r="G12" s="20"/>
      <c r="H12" s="21">
        <f>SUM(G12/B12*100)</f>
        <v>0</v>
      </c>
      <c r="I12" s="20"/>
      <c r="J12" s="17">
        <f>SUM(I12/B12*100)</f>
        <v>0</v>
      </c>
      <c r="K12" s="20">
        <f>SUM(B12-C12-E12-G12-I12)</f>
        <v>85000</v>
      </c>
      <c r="L12" s="22">
        <f>SUM(K12/B12)*100</f>
        <v>100</v>
      </c>
    </row>
    <row r="13" spans="1:12" ht="12.75">
      <c r="A13" s="174" t="s">
        <v>15</v>
      </c>
      <c r="B13" s="19">
        <f>508758-'kötelező2018.'!C10</f>
        <v>70786</v>
      </c>
      <c r="C13" s="19"/>
      <c r="D13" s="196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/>
      <c r="J13" s="17">
        <f>SUM(I13/B13*100)</f>
        <v>0</v>
      </c>
      <c r="K13" s="20">
        <f>SUM(B13-C13-E13-G13-I13)</f>
        <v>70786</v>
      </c>
      <c r="L13" s="22">
        <f>SUM(K13/B13)*100</f>
        <v>100</v>
      </c>
    </row>
    <row r="14" spans="1:12" ht="12.75">
      <c r="A14" s="174" t="s">
        <v>2</v>
      </c>
      <c r="B14" s="19">
        <v>15000</v>
      </c>
      <c r="C14" s="19"/>
      <c r="D14" s="196">
        <f t="shared" si="3"/>
        <v>0</v>
      </c>
      <c r="E14" s="20"/>
      <c r="F14" s="21">
        <f t="shared" si="0"/>
        <v>0</v>
      </c>
      <c r="G14" s="20"/>
      <c r="H14" s="21">
        <f t="shared" si="4"/>
        <v>0</v>
      </c>
      <c r="I14" s="20"/>
      <c r="J14" s="17">
        <f t="shared" si="1"/>
        <v>0</v>
      </c>
      <c r="K14" s="20">
        <f t="shared" si="2"/>
        <v>15000</v>
      </c>
      <c r="L14" s="22">
        <f t="shared" si="5"/>
        <v>100</v>
      </c>
    </row>
    <row r="15" spans="1:12" ht="12.75">
      <c r="A15" s="174" t="s">
        <v>24</v>
      </c>
      <c r="B15" s="19">
        <v>66180</v>
      </c>
      <c r="C15" s="19"/>
      <c r="D15" s="196">
        <f t="shared" si="3"/>
        <v>0</v>
      </c>
      <c r="E15" s="20"/>
      <c r="F15" s="21">
        <f t="shared" si="0"/>
        <v>0</v>
      </c>
      <c r="G15" s="20"/>
      <c r="H15" s="21">
        <f t="shared" si="4"/>
        <v>0</v>
      </c>
      <c r="I15" s="20"/>
      <c r="J15" s="17">
        <f t="shared" si="1"/>
        <v>0</v>
      </c>
      <c r="K15" s="20">
        <f t="shared" si="2"/>
        <v>66180</v>
      </c>
      <c r="L15" s="22">
        <f t="shared" si="5"/>
        <v>100</v>
      </c>
    </row>
    <row r="16" spans="1:12" ht="12.75">
      <c r="A16" s="174" t="s">
        <v>25</v>
      </c>
      <c r="B16" s="19">
        <f>565761-'kötelező2018.'!C6</f>
        <v>309404</v>
      </c>
      <c r="C16" s="19"/>
      <c r="D16" s="196">
        <f t="shared" si="3"/>
        <v>0</v>
      </c>
      <c r="E16" s="20"/>
      <c r="F16" s="21">
        <f t="shared" si="0"/>
        <v>0</v>
      </c>
      <c r="G16" s="20"/>
      <c r="H16" s="21">
        <f t="shared" si="4"/>
        <v>0</v>
      </c>
      <c r="I16" s="20"/>
      <c r="J16" s="17">
        <f t="shared" si="1"/>
        <v>0</v>
      </c>
      <c r="K16" s="20">
        <f t="shared" si="2"/>
        <v>309404</v>
      </c>
      <c r="L16" s="22">
        <f t="shared" si="5"/>
        <v>100</v>
      </c>
    </row>
    <row r="17" spans="1:12" ht="12.75">
      <c r="A17" s="174" t="s">
        <v>111</v>
      </c>
      <c r="B17" s="19">
        <f>150+10424+244+817+2200-374</f>
        <v>13461</v>
      </c>
      <c r="C17" s="19"/>
      <c r="D17" s="196">
        <f t="shared" si="3"/>
        <v>0</v>
      </c>
      <c r="E17" s="20"/>
      <c r="F17" s="21">
        <f>SUM(E17/B17)*100</f>
        <v>0</v>
      </c>
      <c r="G17" s="20"/>
      <c r="H17" s="21">
        <f>SUM(G17/B17*100)</f>
        <v>0</v>
      </c>
      <c r="I17" s="20"/>
      <c r="J17" s="17">
        <f>SUM(I17/B17*100)</f>
        <v>0</v>
      </c>
      <c r="K17" s="20">
        <f>SUM(B17-C17-E17-G17-I17)</f>
        <v>13461</v>
      </c>
      <c r="L17" s="22">
        <f>SUM(K17/B17)*100</f>
        <v>100</v>
      </c>
    </row>
    <row r="18" spans="1:12" ht="12.75">
      <c r="A18" s="174" t="s">
        <v>116</v>
      </c>
      <c r="B18" s="19">
        <f>2915+135+1030</f>
        <v>4080</v>
      </c>
      <c r="C18" s="19"/>
      <c r="D18" s="196">
        <f t="shared" si="3"/>
        <v>0</v>
      </c>
      <c r="E18" s="20"/>
      <c r="F18" s="21">
        <f>SUM(E18/B18)*100</f>
        <v>0</v>
      </c>
      <c r="G18" s="20"/>
      <c r="H18" s="21">
        <f>SUM(G18/B18*100)</f>
        <v>0</v>
      </c>
      <c r="I18" s="20"/>
      <c r="J18" s="17">
        <f>SUM(I18/B18*100)</f>
        <v>0</v>
      </c>
      <c r="K18" s="20">
        <f>SUM(B18-C18-E18-G18-I18)</f>
        <v>4080</v>
      </c>
      <c r="L18" s="22">
        <f>SUM(K18/B18)*100</f>
        <v>100</v>
      </c>
    </row>
    <row r="19" spans="1:12" ht="12.75">
      <c r="A19" s="174" t="s">
        <v>115</v>
      </c>
      <c r="B19" s="19">
        <f>1762+550+600</f>
        <v>2912</v>
      </c>
      <c r="C19" s="19"/>
      <c r="D19" s="196">
        <f t="shared" si="3"/>
        <v>0</v>
      </c>
      <c r="E19" s="20"/>
      <c r="F19" s="21">
        <f>SUM(E19/B19)*100</f>
        <v>0</v>
      </c>
      <c r="G19" s="20"/>
      <c r="H19" s="21">
        <f>SUM(G19/B19*100)</f>
        <v>0</v>
      </c>
      <c r="I19" s="20"/>
      <c r="J19" s="17">
        <f>SUM(I19/B19*100)</f>
        <v>0</v>
      </c>
      <c r="K19" s="20">
        <f>SUM(B19-C19-E19-G19-I19)</f>
        <v>2912</v>
      </c>
      <c r="L19" s="22">
        <f>SUM(K19/B19)*100</f>
        <v>100</v>
      </c>
    </row>
    <row r="20" spans="1:12" ht="12.75">
      <c r="A20" s="174" t="s">
        <v>114</v>
      </c>
      <c r="B20" s="19">
        <f>58708+13500-4000+13000</f>
        <v>81208</v>
      </c>
      <c r="C20" s="19"/>
      <c r="D20" s="196">
        <f t="shared" si="3"/>
        <v>0</v>
      </c>
      <c r="E20" s="20"/>
      <c r="F20" s="21">
        <f>SUM(E20/B20)*100</f>
        <v>0</v>
      </c>
      <c r="G20" s="20"/>
      <c r="H20" s="21">
        <f>SUM(G20/B20*100)</f>
        <v>0</v>
      </c>
      <c r="I20" s="20"/>
      <c r="J20" s="17">
        <f>SUM(I20/B20*100)</f>
        <v>0</v>
      </c>
      <c r="K20" s="20">
        <f>SUM(B20-C20-E20-G20-I20)</f>
        <v>81208</v>
      </c>
      <c r="L20" s="22">
        <f>SUM(K20/B20)*100</f>
        <v>100</v>
      </c>
    </row>
    <row r="21" spans="1:12" ht="13.5" thickBot="1">
      <c r="A21" s="174" t="s">
        <v>112</v>
      </c>
      <c r="B21" s="19">
        <f>23500+2860+5149+9974+1100+4708</f>
        <v>47291</v>
      </c>
      <c r="C21" s="19"/>
      <c r="D21" s="196">
        <f t="shared" si="3"/>
        <v>0</v>
      </c>
      <c r="E21" s="20"/>
      <c r="F21" s="21">
        <f>SUM(E21/B21)*100</f>
        <v>0</v>
      </c>
      <c r="G21" s="20"/>
      <c r="H21" s="21">
        <f>SUM(G21/B21*100)</f>
        <v>0</v>
      </c>
      <c r="I21" s="20"/>
      <c r="J21" s="17">
        <f>SUM(I21/B21*100)</f>
        <v>0</v>
      </c>
      <c r="K21" s="20">
        <f>SUM(B21-C21-E21-G21-I21)</f>
        <v>47291</v>
      </c>
      <c r="L21" s="22">
        <f>SUM(K21/B21)*100</f>
        <v>100</v>
      </c>
    </row>
    <row r="22" spans="1:12" s="31" customFormat="1" ht="13.5" thickBot="1">
      <c r="A22" s="29" t="s">
        <v>39</v>
      </c>
      <c r="B22" s="26">
        <f>SUM(B6:B21)</f>
        <v>4009823</v>
      </c>
      <c r="C22" s="26">
        <f>SUM(C6:C16)</f>
        <v>63068</v>
      </c>
      <c r="D22" s="197">
        <f t="shared" si="3"/>
        <v>1.572837504298818</v>
      </c>
      <c r="E22" s="26">
        <f>SUM(E6:E16)</f>
        <v>0</v>
      </c>
      <c r="F22" s="56">
        <f>SUM(E22/B22*100)</f>
        <v>0</v>
      </c>
      <c r="G22" s="26">
        <f>SUM(G6:G16)</f>
        <v>0</v>
      </c>
      <c r="H22" s="30">
        <f t="shared" si="4"/>
        <v>0</v>
      </c>
      <c r="I22" s="26">
        <f>SUM(I6:I16)</f>
        <v>100000</v>
      </c>
      <c r="J22" s="30">
        <f t="shared" si="1"/>
        <v>2.4938756648360787</v>
      </c>
      <c r="K22" s="26">
        <f>SUM(K6:K21)</f>
        <v>3846755</v>
      </c>
      <c r="L22" s="41">
        <f t="shared" si="5"/>
        <v>95.9332868308651</v>
      </c>
    </row>
    <row r="23" spans="1:12" ht="12.75">
      <c r="A23" s="198" t="s">
        <v>20</v>
      </c>
      <c r="B23" s="15">
        <v>94171</v>
      </c>
      <c r="C23" s="15">
        <v>702</v>
      </c>
      <c r="D23" s="195">
        <f aca="true" t="shared" si="6" ref="D23:D33">SUM(C23/B23)*100</f>
        <v>0.7454524216584724</v>
      </c>
      <c r="E23" s="78">
        <v>61</v>
      </c>
      <c r="F23" s="17">
        <f aca="true" t="shared" si="7" ref="F23:F33">SUM(E23/B23)*100</f>
        <v>0.06477578022958236</v>
      </c>
      <c r="G23" s="78">
        <v>99045</v>
      </c>
      <c r="H23" s="17">
        <f aca="true" t="shared" si="8" ref="H23:H29">SUM(G23/B23*100)</f>
        <v>105.17569103014728</v>
      </c>
      <c r="I23" s="16"/>
      <c r="J23" s="17">
        <f t="shared" si="1"/>
        <v>0</v>
      </c>
      <c r="K23" s="16">
        <f aca="true" t="shared" si="9" ref="K23:K28">SUM(B23-C23-E23-G23-I23)</f>
        <v>-5637</v>
      </c>
      <c r="L23" s="18">
        <f aca="true" t="shared" si="10" ref="L23:L31">SUM(K23/B23)*100</f>
        <v>-5.98591923203534</v>
      </c>
    </row>
    <row r="24" spans="1:12" ht="12.75">
      <c r="A24" s="178" t="s">
        <v>33</v>
      </c>
      <c r="B24" s="19">
        <v>1044111</v>
      </c>
      <c r="C24" s="19">
        <v>57750</v>
      </c>
      <c r="D24" s="196">
        <f t="shared" si="6"/>
        <v>5.531021127064077</v>
      </c>
      <c r="E24" s="75">
        <v>6621</v>
      </c>
      <c r="F24" s="21">
        <f t="shared" si="7"/>
        <v>0.634127980645736</v>
      </c>
      <c r="G24" s="75">
        <v>606594</v>
      </c>
      <c r="H24" s="21">
        <f t="shared" si="8"/>
        <v>58.09669661558973</v>
      </c>
      <c r="I24" s="16">
        <v>39029</v>
      </c>
      <c r="J24" s="17">
        <f t="shared" si="1"/>
        <v>3.7380125293192004</v>
      </c>
      <c r="K24" s="16">
        <f t="shared" si="9"/>
        <v>334117</v>
      </c>
      <c r="L24" s="22">
        <f t="shared" si="10"/>
        <v>32.000141747381264</v>
      </c>
    </row>
    <row r="25" spans="1:12" ht="12.75">
      <c r="A25" s="178" t="s">
        <v>21</v>
      </c>
      <c r="B25" s="19">
        <v>134365</v>
      </c>
      <c r="C25" s="19">
        <v>14039</v>
      </c>
      <c r="D25" s="196">
        <f t="shared" si="6"/>
        <v>10.44840546273211</v>
      </c>
      <c r="E25" s="75">
        <v>355</v>
      </c>
      <c r="F25" s="21">
        <f t="shared" si="7"/>
        <v>0.26420570833178286</v>
      </c>
      <c r="G25" s="75">
        <v>91174</v>
      </c>
      <c r="H25" s="21">
        <f t="shared" si="8"/>
        <v>67.85546831392104</v>
      </c>
      <c r="I25" s="16"/>
      <c r="J25" s="17">
        <f t="shared" si="1"/>
        <v>0</v>
      </c>
      <c r="K25" s="16">
        <f t="shared" si="9"/>
        <v>28797</v>
      </c>
      <c r="L25" s="22">
        <f t="shared" si="10"/>
        <v>21.431920515015072</v>
      </c>
    </row>
    <row r="26" spans="1:12" ht="12.75">
      <c r="A26" s="178" t="s">
        <v>22</v>
      </c>
      <c r="B26" s="19">
        <v>71037</v>
      </c>
      <c r="C26" s="19">
        <v>10319</v>
      </c>
      <c r="D26" s="196">
        <f t="shared" si="6"/>
        <v>14.526232808254852</v>
      </c>
      <c r="E26" s="75">
        <v>0</v>
      </c>
      <c r="F26" s="21">
        <f t="shared" si="7"/>
        <v>0</v>
      </c>
      <c r="G26" s="75">
        <v>69964</v>
      </c>
      <c r="H26" s="21">
        <f t="shared" si="8"/>
        <v>98.48951954615201</v>
      </c>
      <c r="I26" s="16"/>
      <c r="J26" s="17">
        <f t="shared" si="1"/>
        <v>0</v>
      </c>
      <c r="K26" s="16">
        <f t="shared" si="9"/>
        <v>-9246</v>
      </c>
      <c r="L26" s="22">
        <f t="shared" si="10"/>
        <v>-13.015752354406859</v>
      </c>
    </row>
    <row r="27" spans="1:12" ht="12.75">
      <c r="A27" s="178" t="s">
        <v>34</v>
      </c>
      <c r="B27" s="19">
        <v>29150</v>
      </c>
      <c r="C27" s="19">
        <v>37720</v>
      </c>
      <c r="D27" s="196">
        <f t="shared" si="6"/>
        <v>129.39965694682675</v>
      </c>
      <c r="E27" s="75">
        <v>1655</v>
      </c>
      <c r="F27" s="21">
        <f t="shared" si="7"/>
        <v>5.677530017152659</v>
      </c>
      <c r="G27" s="75">
        <v>3930</v>
      </c>
      <c r="H27" s="21">
        <f t="shared" si="8"/>
        <v>13.481989708404804</v>
      </c>
      <c r="I27" s="16"/>
      <c r="J27" s="17">
        <f t="shared" si="1"/>
        <v>0</v>
      </c>
      <c r="K27" s="16">
        <f t="shared" si="9"/>
        <v>-14155</v>
      </c>
      <c r="L27" s="22">
        <f t="shared" si="10"/>
        <v>-48.55917667238422</v>
      </c>
    </row>
    <row r="28" spans="1:12" ht="13.5" thickBot="1">
      <c r="A28" s="179" t="s">
        <v>35</v>
      </c>
      <c r="B28" s="23">
        <v>95615</v>
      </c>
      <c r="C28" s="23">
        <v>920</v>
      </c>
      <c r="D28" s="199">
        <f t="shared" si="6"/>
        <v>0.9621921246666318</v>
      </c>
      <c r="E28" s="81">
        <v>355</v>
      </c>
      <c r="F28" s="24">
        <f t="shared" si="7"/>
        <v>0.37128065680071115</v>
      </c>
      <c r="G28" s="81">
        <v>23405</v>
      </c>
      <c r="H28" s="24">
        <f t="shared" si="8"/>
        <v>24.478376823720126</v>
      </c>
      <c r="I28" s="33"/>
      <c r="J28" s="17">
        <f t="shared" si="1"/>
        <v>0</v>
      </c>
      <c r="K28" s="16">
        <f t="shared" si="9"/>
        <v>70935</v>
      </c>
      <c r="L28" s="73">
        <f t="shared" si="10"/>
        <v>74.18815039481252</v>
      </c>
    </row>
    <row r="29" spans="1:12" s="31" customFormat="1" ht="13.5" thickBot="1">
      <c r="A29" s="25" t="s">
        <v>43</v>
      </c>
      <c r="B29" s="26">
        <f>SUM(B23:B28)</f>
        <v>1468449</v>
      </c>
      <c r="C29" s="26">
        <f aca="true" t="shared" si="11" ref="C29:K29">SUM(C23:C28)</f>
        <v>121450</v>
      </c>
      <c r="D29" s="113">
        <f t="shared" si="6"/>
        <v>8.270631121680086</v>
      </c>
      <c r="E29" s="26">
        <f t="shared" si="11"/>
        <v>9047</v>
      </c>
      <c r="F29" s="30">
        <f t="shared" si="7"/>
        <v>0.6160922170262637</v>
      </c>
      <c r="G29" s="26">
        <f t="shared" si="11"/>
        <v>894112</v>
      </c>
      <c r="H29" s="30">
        <f t="shared" si="8"/>
        <v>60.88818883052799</v>
      </c>
      <c r="I29" s="26">
        <f>SUM(I23:I28)</f>
        <v>39029</v>
      </c>
      <c r="J29" s="30">
        <f t="shared" si="1"/>
        <v>2.657838304224389</v>
      </c>
      <c r="K29" s="26">
        <f t="shared" si="11"/>
        <v>404811</v>
      </c>
      <c r="L29" s="41">
        <f t="shared" si="10"/>
        <v>27.56724952654127</v>
      </c>
    </row>
    <row r="30" spans="1:12" s="91" customFormat="1" ht="12.75">
      <c r="A30" s="200" t="s">
        <v>55</v>
      </c>
      <c r="B30" s="180">
        <f>2777589-'kötelező2018.'!C25-'kötelező2018.'!C26-B31</f>
        <v>1103921</v>
      </c>
      <c r="C30" s="180"/>
      <c r="D30" s="201">
        <f t="shared" si="6"/>
        <v>0</v>
      </c>
      <c r="E30" s="180"/>
      <c r="F30" s="34">
        <f t="shared" si="7"/>
        <v>0</v>
      </c>
      <c r="G30" s="180"/>
      <c r="H30" s="34">
        <f>SUM(G30/B30*100)</f>
        <v>0</v>
      </c>
      <c r="I30" s="180"/>
      <c r="J30" s="34">
        <f t="shared" si="1"/>
        <v>0</v>
      </c>
      <c r="K30" s="33">
        <f>SUM(B30-C30-E30-G30-I30)</f>
        <v>1103921</v>
      </c>
      <c r="L30" s="35">
        <f t="shared" si="10"/>
        <v>100</v>
      </c>
    </row>
    <row r="31" spans="1:12" ht="13.5" thickBot="1">
      <c r="A31" s="38" t="s">
        <v>36</v>
      </c>
      <c r="B31" s="27">
        <v>2550</v>
      </c>
      <c r="C31" s="27"/>
      <c r="D31" s="202">
        <f t="shared" si="6"/>
        <v>0</v>
      </c>
      <c r="E31" s="28"/>
      <c r="F31" s="39">
        <f t="shared" si="7"/>
        <v>0</v>
      </c>
      <c r="G31" s="28"/>
      <c r="H31" s="39">
        <f>SUM(G31/B31*100)</f>
        <v>0</v>
      </c>
      <c r="I31" s="28"/>
      <c r="J31" s="39">
        <f t="shared" si="1"/>
        <v>0</v>
      </c>
      <c r="K31" s="28">
        <f>SUM(B31-C31-E31-G31-I31)</f>
        <v>2550</v>
      </c>
      <c r="L31" s="40">
        <f t="shared" si="10"/>
        <v>100</v>
      </c>
    </row>
    <row r="32" spans="1:12" s="31" customFormat="1" ht="13.5" thickBot="1">
      <c r="A32" s="29" t="s">
        <v>40</v>
      </c>
      <c r="B32" s="26">
        <f>SUM(B30:B31)</f>
        <v>1106471</v>
      </c>
      <c r="C32" s="26">
        <f>SUM(C30:C31)</f>
        <v>0</v>
      </c>
      <c r="D32" s="113">
        <f t="shared" si="6"/>
        <v>0</v>
      </c>
      <c r="E32" s="26">
        <f>SUM(E31)</f>
        <v>0</v>
      </c>
      <c r="F32" s="30">
        <f t="shared" si="7"/>
        <v>0</v>
      </c>
      <c r="G32" s="26">
        <f>SUM(G30:G31)</f>
        <v>0</v>
      </c>
      <c r="H32" s="30">
        <f>SUM(H31)</f>
        <v>0</v>
      </c>
      <c r="I32" s="26">
        <f>SUM(I30:I31)</f>
        <v>0</v>
      </c>
      <c r="J32" s="30">
        <f t="shared" si="1"/>
        <v>0</v>
      </c>
      <c r="K32" s="26">
        <f>SUM(K30:K31)</f>
        <v>1106471</v>
      </c>
      <c r="L32" s="41">
        <f>SUM(L31)</f>
        <v>100</v>
      </c>
    </row>
    <row r="33" spans="1:12" s="31" customFormat="1" ht="13.5" thickBot="1">
      <c r="A33" s="25" t="s">
        <v>17</v>
      </c>
      <c r="B33" s="26">
        <f>SUM(B32,B29,B22)</f>
        <v>6584743</v>
      </c>
      <c r="C33" s="26">
        <f>SUM(C32,C29,C22)</f>
        <v>184518</v>
      </c>
      <c r="D33" s="113">
        <f t="shared" si="6"/>
        <v>2.802205036703786</v>
      </c>
      <c r="E33" s="26">
        <f>SUM(E32,E29,E22)</f>
        <v>9047</v>
      </c>
      <c r="F33" s="30">
        <f t="shared" si="7"/>
        <v>0.13739336523840034</v>
      </c>
      <c r="G33" s="26">
        <f>SUM(G32,G29,G22)</f>
        <v>894112</v>
      </c>
      <c r="H33" s="30">
        <f>SUM(G33/B33*100)</f>
        <v>13.578540574780215</v>
      </c>
      <c r="I33" s="26">
        <f>SUM(I32,I29,I22)</f>
        <v>139029</v>
      </c>
      <c r="J33" s="30">
        <f t="shared" si="1"/>
        <v>2.1113808086359636</v>
      </c>
      <c r="K33" s="26">
        <f>SUM(K32,K29,K22)</f>
        <v>5358037</v>
      </c>
      <c r="L33" s="41">
        <f>SUM(K33/B33)*100</f>
        <v>81.37048021464165</v>
      </c>
    </row>
    <row r="34" spans="3:11" ht="12.75">
      <c r="C34" s="6"/>
      <c r="D34" s="71"/>
      <c r="E34" s="3"/>
      <c r="F34" s="2"/>
      <c r="G34" s="3"/>
      <c r="H34" s="2"/>
      <c r="I34" s="2"/>
      <c r="J34" s="2"/>
      <c r="K34" s="6"/>
    </row>
    <row r="35" spans="1:7" s="3" customFormat="1" ht="13.5" thickBot="1">
      <c r="A35" s="203" t="s">
        <v>56</v>
      </c>
      <c r="D35" s="114"/>
      <c r="G35" s="48"/>
    </row>
    <row r="36" spans="1:12" s="3" customFormat="1" ht="13.5" thickBot="1">
      <c r="A36" s="204" t="s">
        <v>57</v>
      </c>
      <c r="B36" s="205">
        <v>36000</v>
      </c>
      <c r="C36" s="205">
        <v>60000</v>
      </c>
      <c r="D36" s="206">
        <f>SUM(C36/B36)*100</f>
        <v>166.66666666666669</v>
      </c>
      <c r="E36" s="205"/>
      <c r="F36" s="205">
        <f>SUM(E36/B36)*100</f>
        <v>0</v>
      </c>
      <c r="G36" s="207"/>
      <c r="H36" s="205">
        <f>SUM(G36/B36*100)</f>
        <v>0</v>
      </c>
      <c r="I36" s="205"/>
      <c r="J36" s="205">
        <f>SUM(I36/B36*100)</f>
        <v>0</v>
      </c>
      <c r="K36" s="205">
        <f>SUM(B36-C36-E36-G36-I36)</f>
        <v>-24000</v>
      </c>
      <c r="L36" s="208">
        <f>SUM(K36/B36)*100</f>
        <v>-66.66666666666666</v>
      </c>
    </row>
    <row r="37" spans="4:7" s="3" customFormat="1" ht="12.75">
      <c r="D37" s="114"/>
      <c r="G37" s="48"/>
    </row>
    <row r="41" spans="2:3" ht="12.75">
      <c r="B41" s="3"/>
      <c r="C41" s="3"/>
    </row>
  </sheetData>
  <sheetProtection/>
  <mergeCells count="2">
    <mergeCell ref="K1:L1"/>
    <mergeCell ref="A2:L3"/>
  </mergeCells>
  <printOptions/>
  <pageMargins left="0.15748031496062992" right="0.15748031496062992" top="0.1968503937007874" bottom="0.196850393700787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zoomScalePageLayoutView="0" workbookViewId="0" topLeftCell="B16">
      <selection activeCell="D49" sqref="D49:E49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625" style="3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73" t="s">
        <v>30</v>
      </c>
      <c r="M1" s="173"/>
    </row>
    <row r="2" spans="2:13" ht="14.25" customHeight="1">
      <c r="B2" s="172" t="s">
        <v>99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41.25" customHeight="1" thickBot="1">
      <c r="B4" s="37" t="s">
        <v>3</v>
      </c>
      <c r="C4" s="45" t="s">
        <v>65</v>
      </c>
      <c r="D4" s="45" t="s">
        <v>64</v>
      </c>
      <c r="E4" s="46" t="s">
        <v>63</v>
      </c>
      <c r="F4" s="45" t="s">
        <v>62</v>
      </c>
      <c r="G4" s="169" t="s">
        <v>61</v>
      </c>
      <c r="H4" s="45" t="s">
        <v>103</v>
      </c>
      <c r="I4" s="169" t="s">
        <v>66</v>
      </c>
      <c r="J4" s="46" t="s">
        <v>59</v>
      </c>
      <c r="K4" s="46" t="s">
        <v>48</v>
      </c>
      <c r="L4" s="47" t="s">
        <v>67</v>
      </c>
      <c r="M4" s="54" t="s">
        <v>68</v>
      </c>
    </row>
    <row r="5" spans="2:13" ht="12" customHeight="1">
      <c r="B5" s="174" t="s">
        <v>37</v>
      </c>
      <c r="C5" s="19">
        <v>25000</v>
      </c>
      <c r="D5" s="20"/>
      <c r="E5" s="21">
        <f>SUM(D5/C5)*100</f>
        <v>0</v>
      </c>
      <c r="F5" s="20"/>
      <c r="G5" s="17">
        <f>SUM(F5/C5)*100</f>
        <v>0</v>
      </c>
      <c r="H5" s="20"/>
      <c r="I5" s="63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25000</v>
      </c>
      <c r="M5" s="22">
        <f>SUM(L5/C5)*100</f>
        <v>100</v>
      </c>
    </row>
    <row r="6" spans="2:13" ht="12" customHeight="1">
      <c r="B6" s="174" t="s">
        <v>5</v>
      </c>
      <c r="C6" s="19">
        <f>256254+38+65</f>
        <v>256357</v>
      </c>
      <c r="D6" s="20"/>
      <c r="E6" s="21">
        <f>SUM(D6/C6)*100</f>
        <v>0</v>
      </c>
      <c r="F6" s="20"/>
      <c r="G6" s="17">
        <f>SUM(F6/C6)*100</f>
        <v>0</v>
      </c>
      <c r="H6" s="20">
        <f>38+65</f>
        <v>103</v>
      </c>
      <c r="I6" s="63">
        <f t="shared" si="0"/>
        <v>0.04017834504226528</v>
      </c>
      <c r="J6" s="16"/>
      <c r="K6" s="17">
        <f t="shared" si="1"/>
        <v>0</v>
      </c>
      <c r="L6" s="16">
        <f t="shared" si="2"/>
        <v>256254</v>
      </c>
      <c r="M6" s="22">
        <f>SUM(L6/C6)*100</f>
        <v>99.95982165495774</v>
      </c>
    </row>
    <row r="7" spans="2:13" ht="12" customHeight="1">
      <c r="B7" s="174" t="s">
        <v>6</v>
      </c>
      <c r="C7" s="19">
        <f>265000-5500</f>
        <v>259500</v>
      </c>
      <c r="D7" s="20"/>
      <c r="E7" s="21">
        <f>SUM(D7/C7)*100</f>
        <v>0</v>
      </c>
      <c r="F7" s="20">
        <v>10524</v>
      </c>
      <c r="G7" s="17">
        <f>SUM(F7/C7)*100</f>
        <v>4.055491329479769</v>
      </c>
      <c r="H7" s="20"/>
      <c r="I7" s="63">
        <f t="shared" si="0"/>
        <v>0</v>
      </c>
      <c r="J7" s="16"/>
      <c r="K7" s="17">
        <f t="shared" si="1"/>
        <v>0</v>
      </c>
      <c r="L7" s="16">
        <f t="shared" si="2"/>
        <v>248976</v>
      </c>
      <c r="M7" s="22">
        <f>SUM(L7/C7)*100</f>
        <v>95.94450867052024</v>
      </c>
    </row>
    <row r="8" spans="2:13" ht="12" customHeight="1">
      <c r="B8" s="174" t="s">
        <v>13</v>
      </c>
      <c r="C8" s="19">
        <v>207818</v>
      </c>
      <c r="D8" s="20"/>
      <c r="E8" s="21">
        <f aca="true" t="shared" si="3" ref="E8:E15">SUM(D8/C8)*100</f>
        <v>0</v>
      </c>
      <c r="F8" s="20"/>
      <c r="G8" s="21">
        <f aca="true" t="shared" si="4" ref="G8:G15">SUM(F8/C8)*100</f>
        <v>0</v>
      </c>
      <c r="H8" s="20"/>
      <c r="I8" s="63">
        <f t="shared" si="0"/>
        <v>0</v>
      </c>
      <c r="J8" s="16"/>
      <c r="K8" s="17">
        <f t="shared" si="1"/>
        <v>0</v>
      </c>
      <c r="L8" s="16">
        <f t="shared" si="2"/>
        <v>207818</v>
      </c>
      <c r="M8" s="22">
        <f aca="true" t="shared" si="5" ref="M8:M15">SUM(L8/C8)*100</f>
        <v>100</v>
      </c>
    </row>
    <row r="9" spans="2:13" ht="12" customHeight="1">
      <c r="B9" s="174" t="s">
        <v>14</v>
      </c>
      <c r="C9" s="19">
        <f>907158-85000+20000</f>
        <v>842158</v>
      </c>
      <c r="D9" s="20"/>
      <c r="E9" s="21">
        <f t="shared" si="3"/>
        <v>0</v>
      </c>
      <c r="F9" s="20"/>
      <c r="G9" s="21">
        <f t="shared" si="4"/>
        <v>0</v>
      </c>
      <c r="H9" s="20"/>
      <c r="I9" s="63">
        <f t="shared" si="0"/>
        <v>0</v>
      </c>
      <c r="J9" s="16">
        <v>372672</v>
      </c>
      <c r="K9" s="17">
        <f t="shared" si="1"/>
        <v>44.252028716701616</v>
      </c>
      <c r="L9" s="16">
        <f t="shared" si="2"/>
        <v>469486</v>
      </c>
      <c r="M9" s="22">
        <f t="shared" si="5"/>
        <v>55.747971283298384</v>
      </c>
    </row>
    <row r="10" spans="2:13" ht="12" customHeight="1">
      <c r="B10" s="174" t="s">
        <v>15</v>
      </c>
      <c r="C10" s="19">
        <v>437972</v>
      </c>
      <c r="D10" s="20"/>
      <c r="E10" s="21">
        <f t="shared" si="3"/>
        <v>0</v>
      </c>
      <c r="F10" s="20"/>
      <c r="G10" s="21">
        <f t="shared" si="4"/>
        <v>0</v>
      </c>
      <c r="H10" s="20"/>
      <c r="I10" s="63">
        <f t="shared" si="0"/>
        <v>0</v>
      </c>
      <c r="J10" s="16"/>
      <c r="K10" s="17">
        <f t="shared" si="1"/>
        <v>0</v>
      </c>
      <c r="L10" s="16">
        <f t="shared" si="2"/>
        <v>437972</v>
      </c>
      <c r="M10" s="22">
        <f t="shared" si="5"/>
        <v>100</v>
      </c>
    </row>
    <row r="11" spans="2:13" ht="12" customHeight="1">
      <c r="B11" s="174" t="s">
        <v>16</v>
      </c>
      <c r="C11" s="19">
        <f>2160610+56700+2700</f>
        <v>2220010</v>
      </c>
      <c r="D11" s="20">
        <f>98+739+1917330+167655+194344+2700+56700+347612</f>
        <v>2687178</v>
      </c>
      <c r="E11" s="21">
        <f t="shared" si="3"/>
        <v>121.04350881302337</v>
      </c>
      <c r="F11" s="20"/>
      <c r="G11" s="21">
        <f t="shared" si="4"/>
        <v>0</v>
      </c>
      <c r="H11" s="20"/>
      <c r="I11" s="63">
        <f t="shared" si="0"/>
        <v>0</v>
      </c>
      <c r="J11" s="16">
        <f>40000-27357</f>
        <v>12643</v>
      </c>
      <c r="K11" s="17">
        <f t="shared" si="1"/>
        <v>0.5695019391804541</v>
      </c>
      <c r="L11" s="16">
        <f>SUM(C11-D11-F11-H11-J11)</f>
        <v>-479811</v>
      </c>
      <c r="M11" s="22">
        <f t="shared" si="5"/>
        <v>-21.613010752203817</v>
      </c>
    </row>
    <row r="12" spans="2:13" ht="12" customHeight="1">
      <c r="B12" s="174" t="s">
        <v>58</v>
      </c>
      <c r="C12" s="23">
        <f>266919+2670+500000+100000</f>
        <v>869589</v>
      </c>
      <c r="D12" s="175">
        <f>20000+500000+100000</f>
        <v>620000</v>
      </c>
      <c r="E12" s="21">
        <f t="shared" si="3"/>
        <v>71.29804999833254</v>
      </c>
      <c r="F12" s="175"/>
      <c r="G12" s="21">
        <f t="shared" si="4"/>
        <v>0</v>
      </c>
      <c r="H12" s="175"/>
      <c r="I12" s="63">
        <f t="shared" si="0"/>
        <v>0</v>
      </c>
      <c r="J12" s="20">
        <v>300</v>
      </c>
      <c r="K12" s="17">
        <f t="shared" si="1"/>
        <v>0.03449905645080607</v>
      </c>
      <c r="L12" s="16">
        <f>SUM(C12-D12-F12-H12-J12)</f>
        <v>249289</v>
      </c>
      <c r="M12" s="22">
        <f t="shared" si="5"/>
        <v>28.66745094521665</v>
      </c>
    </row>
    <row r="13" spans="2:13" ht="12" customHeight="1">
      <c r="B13" s="176" t="s">
        <v>53</v>
      </c>
      <c r="C13" s="23">
        <f>1094963+298000</f>
        <v>1392963</v>
      </c>
      <c r="D13" s="175">
        <v>2950000</v>
      </c>
      <c r="E13" s="24">
        <f t="shared" si="3"/>
        <v>211.7787766078496</v>
      </c>
      <c r="F13" s="175"/>
      <c r="G13" s="24">
        <f t="shared" si="4"/>
        <v>0</v>
      </c>
      <c r="H13" s="175"/>
      <c r="I13" s="63">
        <f t="shared" si="0"/>
        <v>0</v>
      </c>
      <c r="J13" s="33"/>
      <c r="K13" s="17">
        <f t="shared" si="1"/>
        <v>0</v>
      </c>
      <c r="L13" s="16">
        <f t="shared" si="2"/>
        <v>-1557037</v>
      </c>
      <c r="M13" s="73">
        <f t="shared" si="5"/>
        <v>-111.77877660784961</v>
      </c>
    </row>
    <row r="14" spans="2:13" ht="12" customHeight="1" thickBot="1">
      <c r="B14" s="176" t="s">
        <v>29</v>
      </c>
      <c r="C14" s="23">
        <f>194043+6500</f>
        <v>200543</v>
      </c>
      <c r="D14" s="175">
        <v>65066</v>
      </c>
      <c r="E14" s="24">
        <f t="shared" si="3"/>
        <v>32.444912063746926</v>
      </c>
      <c r="F14" s="175"/>
      <c r="G14" s="24">
        <f t="shared" si="4"/>
        <v>0</v>
      </c>
      <c r="H14" s="175"/>
      <c r="I14" s="177">
        <f t="shared" si="0"/>
        <v>0</v>
      </c>
      <c r="J14" s="175"/>
      <c r="K14" s="34">
        <f t="shared" si="1"/>
        <v>0</v>
      </c>
      <c r="L14" s="33">
        <f t="shared" si="2"/>
        <v>135477</v>
      </c>
      <c r="M14" s="73">
        <f t="shared" si="5"/>
        <v>67.55508793625307</v>
      </c>
    </row>
    <row r="15" spans="2:13" s="31" customFormat="1" ht="12" customHeight="1" thickBot="1">
      <c r="B15" s="29" t="s">
        <v>39</v>
      </c>
      <c r="C15" s="26">
        <f>SUM(C5:C14)</f>
        <v>6711910</v>
      </c>
      <c r="D15" s="26">
        <f>SUM(D5:D14)</f>
        <v>6322244</v>
      </c>
      <c r="E15" s="56">
        <f t="shared" si="3"/>
        <v>94.19440963898504</v>
      </c>
      <c r="F15" s="26">
        <f>SUM(F5:F14)</f>
        <v>10524</v>
      </c>
      <c r="G15" s="56">
        <f t="shared" si="4"/>
        <v>0.15679590459347637</v>
      </c>
      <c r="H15" s="26">
        <f>SUM(H5:H14)</f>
        <v>103</v>
      </c>
      <c r="I15" s="56">
        <f t="shared" si="0"/>
        <v>0.0015345855352649246</v>
      </c>
      <c r="J15" s="26">
        <f>SUM(J5:J14)</f>
        <v>385615</v>
      </c>
      <c r="K15" s="30">
        <f t="shared" si="1"/>
        <v>5.7452349629241155</v>
      </c>
      <c r="L15" s="26">
        <f>SUM(L5:L14)</f>
        <v>-6576</v>
      </c>
      <c r="M15" s="74">
        <f t="shared" si="5"/>
        <v>-0.0979750920378849</v>
      </c>
    </row>
    <row r="16" spans="2:13" s="80" customFormat="1" ht="12" customHeight="1">
      <c r="B16" s="178" t="s">
        <v>12</v>
      </c>
      <c r="C16" s="19">
        <v>35458</v>
      </c>
      <c r="D16" s="75">
        <v>4617</v>
      </c>
      <c r="E16" s="21">
        <f aca="true" t="shared" si="6" ref="E16:E24">SUM(D16/C16)*100</f>
        <v>13.021038975689548</v>
      </c>
      <c r="F16" s="75"/>
      <c r="G16" s="76">
        <f aca="true" t="shared" si="7" ref="G16:G23">SUM(F16/C16)*100</f>
        <v>0</v>
      </c>
      <c r="H16" s="75"/>
      <c r="I16" s="77">
        <f t="shared" si="0"/>
        <v>0</v>
      </c>
      <c r="J16" s="78"/>
      <c r="K16" s="79">
        <f t="shared" si="1"/>
        <v>0</v>
      </c>
      <c r="L16" s="16">
        <f>SUM(C16-D16-F16-H16-J16)</f>
        <v>30841</v>
      </c>
      <c r="M16" s="22">
        <f aca="true" t="shared" si="8" ref="M16:M24">SUM(L16/C16)*100</f>
        <v>86.97896102431045</v>
      </c>
    </row>
    <row r="17" spans="2:13" s="80" customFormat="1" ht="12" customHeight="1">
      <c r="B17" s="178" t="s">
        <v>26</v>
      </c>
      <c r="C17" s="19">
        <v>58631</v>
      </c>
      <c r="D17" s="75">
        <v>19678</v>
      </c>
      <c r="E17" s="21">
        <f t="shared" si="6"/>
        <v>33.56244989851785</v>
      </c>
      <c r="F17" s="75"/>
      <c r="G17" s="76">
        <f t="shared" si="7"/>
        <v>0</v>
      </c>
      <c r="H17" s="75">
        <v>33070</v>
      </c>
      <c r="I17" s="77">
        <f t="shared" si="0"/>
        <v>56.40360901229725</v>
      </c>
      <c r="J17" s="78"/>
      <c r="K17" s="79">
        <f t="shared" si="1"/>
        <v>0</v>
      </c>
      <c r="L17" s="16">
        <f>SUM(C17-D17-F17-H17-J17)</f>
        <v>5883</v>
      </c>
      <c r="M17" s="22">
        <f t="shared" si="8"/>
        <v>10.033941089184902</v>
      </c>
    </row>
    <row r="18" spans="2:13" s="80" customFormat="1" ht="12" customHeight="1">
      <c r="B18" s="178" t="s">
        <v>32</v>
      </c>
      <c r="C18" s="19">
        <v>73559</v>
      </c>
      <c r="D18" s="75">
        <v>9</v>
      </c>
      <c r="E18" s="21">
        <f t="shared" si="6"/>
        <v>0.012235076605174078</v>
      </c>
      <c r="F18" s="75">
        <v>94</v>
      </c>
      <c r="G18" s="76">
        <f t="shared" si="7"/>
        <v>0.12778857787626258</v>
      </c>
      <c r="H18" s="75">
        <v>47628</v>
      </c>
      <c r="I18" s="77">
        <f t="shared" si="0"/>
        <v>64.74802539458122</v>
      </c>
      <c r="J18" s="78"/>
      <c r="K18" s="79">
        <f t="shared" si="1"/>
        <v>0</v>
      </c>
      <c r="L18" s="16">
        <f>SUM(C18-D18-F18-H18-J18)</f>
        <v>25828</v>
      </c>
      <c r="M18" s="22">
        <f t="shared" si="8"/>
        <v>35.11195095093734</v>
      </c>
    </row>
    <row r="19" spans="2:13" s="80" customFormat="1" ht="12" customHeight="1">
      <c r="B19" s="178" t="s">
        <v>28</v>
      </c>
      <c r="C19" s="19">
        <v>25877</v>
      </c>
      <c r="D19" s="75">
        <v>3</v>
      </c>
      <c r="E19" s="21">
        <f t="shared" si="6"/>
        <v>0.01159330679754222</v>
      </c>
      <c r="F19" s="75">
        <v>10</v>
      </c>
      <c r="G19" s="76">
        <f t="shared" si="7"/>
        <v>0.0386443559918074</v>
      </c>
      <c r="H19" s="75">
        <v>15867</v>
      </c>
      <c r="I19" s="77">
        <f t="shared" si="0"/>
        <v>61.3169996522008</v>
      </c>
      <c r="J19" s="78"/>
      <c r="K19" s="79">
        <f t="shared" si="1"/>
        <v>0</v>
      </c>
      <c r="L19" s="16">
        <f>SUM(C19-D19-F19-H19-J19)</f>
        <v>9997</v>
      </c>
      <c r="M19" s="22">
        <f t="shared" si="8"/>
        <v>38.63276268500985</v>
      </c>
    </row>
    <row r="20" spans="2:13" s="80" customFormat="1" ht="12" customHeight="1" thickBot="1">
      <c r="B20" s="179" t="s">
        <v>27</v>
      </c>
      <c r="C20" s="23">
        <v>22914</v>
      </c>
      <c r="D20" s="81">
        <v>2614</v>
      </c>
      <c r="E20" s="24">
        <f t="shared" si="6"/>
        <v>11.40787291612115</v>
      </c>
      <c r="F20" s="81"/>
      <c r="G20" s="82">
        <f t="shared" si="7"/>
        <v>0</v>
      </c>
      <c r="H20" s="81">
        <v>10622</v>
      </c>
      <c r="I20" s="77">
        <f t="shared" si="0"/>
        <v>46.3559396002444</v>
      </c>
      <c r="J20" s="83"/>
      <c r="K20" s="79">
        <f t="shared" si="1"/>
        <v>0</v>
      </c>
      <c r="L20" s="16">
        <f>SUM(C20-D20-F20-H20-J20)</f>
        <v>9678</v>
      </c>
      <c r="M20" s="73">
        <f t="shared" si="8"/>
        <v>42.23618748363446</v>
      </c>
    </row>
    <row r="21" spans="2:13" s="31" customFormat="1" ht="12" customHeight="1" thickBot="1">
      <c r="B21" s="29" t="s">
        <v>38</v>
      </c>
      <c r="C21" s="26">
        <f>SUM(C16:C20)</f>
        <v>216439</v>
      </c>
      <c r="D21" s="26">
        <f aca="true" t="shared" si="9" ref="D21:L21">SUM(D16:D20)</f>
        <v>26921</v>
      </c>
      <c r="E21" s="30">
        <f t="shared" si="6"/>
        <v>12.438146544753948</v>
      </c>
      <c r="F21" s="26">
        <f t="shared" si="9"/>
        <v>104</v>
      </c>
      <c r="G21" s="30">
        <f t="shared" si="7"/>
        <v>0.048050489976390574</v>
      </c>
      <c r="H21" s="26">
        <f t="shared" si="9"/>
        <v>107187</v>
      </c>
      <c r="I21" s="56">
        <f aca="true" t="shared" si="10" ref="I21:I39">SUM(H21/C21)*100</f>
        <v>49.522960279801694</v>
      </c>
      <c r="J21" s="26">
        <f>SUM(J16:J20)</f>
        <v>0</v>
      </c>
      <c r="K21" s="30">
        <f aca="true" t="shared" si="11" ref="K21:K39">SUM(J21/C21)*100</f>
        <v>0</v>
      </c>
      <c r="L21" s="26">
        <f t="shared" si="9"/>
        <v>82227</v>
      </c>
      <c r="M21" s="41">
        <f t="shared" si="8"/>
        <v>37.99084268546796</v>
      </c>
    </row>
    <row r="22" spans="2:13" ht="12" customHeight="1">
      <c r="B22" s="84" t="s">
        <v>50</v>
      </c>
      <c r="C22" s="85">
        <f>563658-30000+13</f>
        <v>533671</v>
      </c>
      <c r="D22" s="86">
        <v>143000</v>
      </c>
      <c r="E22" s="87">
        <f t="shared" si="6"/>
        <v>26.795535076854467</v>
      </c>
      <c r="F22" s="86">
        <f>19+13</f>
        <v>32</v>
      </c>
      <c r="G22" s="87">
        <f t="shared" si="7"/>
        <v>0.005996203653561839</v>
      </c>
      <c r="H22" s="86"/>
      <c r="I22" s="88">
        <f>SUM(H22/C22)*100</f>
        <v>0</v>
      </c>
      <c r="J22" s="86">
        <v>10754</v>
      </c>
      <c r="K22" s="87">
        <f>SUM(J22/C22)*100</f>
        <v>2.0150991903251256</v>
      </c>
      <c r="L22" s="86">
        <f>SUM(C22-D22-F22-H22-J22)</f>
        <v>379885</v>
      </c>
      <c r="M22" s="89">
        <f t="shared" si="8"/>
        <v>71.18336952916685</v>
      </c>
    </row>
    <row r="23" spans="2:13" ht="12" customHeight="1" thickBot="1">
      <c r="B23" s="38" t="s">
        <v>51</v>
      </c>
      <c r="C23" s="27">
        <v>824663</v>
      </c>
      <c r="D23" s="28">
        <v>322000</v>
      </c>
      <c r="E23" s="39">
        <f t="shared" si="6"/>
        <v>39.04625283297541</v>
      </c>
      <c r="F23" s="28">
        <v>28</v>
      </c>
      <c r="G23" s="39">
        <f t="shared" si="7"/>
        <v>0.0033953263333022093</v>
      </c>
      <c r="H23" s="28"/>
      <c r="I23" s="64">
        <f>SUM(H23/C23)*100</f>
        <v>0</v>
      </c>
      <c r="J23" s="28">
        <v>53912</v>
      </c>
      <c r="K23" s="39">
        <f>SUM(J23/C23)*100</f>
        <v>6.537458331463883</v>
      </c>
      <c r="L23" s="28">
        <f>SUM(C23-D23-F23-H23-J23)</f>
        <v>448723</v>
      </c>
      <c r="M23" s="40">
        <f t="shared" si="8"/>
        <v>54.4128935092274</v>
      </c>
    </row>
    <row r="24" spans="2:13" ht="12" customHeight="1" thickBot="1">
      <c r="B24" s="29" t="s">
        <v>52</v>
      </c>
      <c r="C24" s="26">
        <f>SUM(C22:C23)</f>
        <v>1358334</v>
      </c>
      <c r="D24" s="26">
        <f>SUM(D22:D23)</f>
        <v>465000</v>
      </c>
      <c r="E24" s="56">
        <f t="shared" si="6"/>
        <v>34.23311203282845</v>
      </c>
      <c r="F24" s="26">
        <f aca="true" t="shared" si="12" ref="F24:L24">SUM(F22:F23)</f>
        <v>60</v>
      </c>
      <c r="G24" s="56">
        <f t="shared" si="12"/>
        <v>0.009391529986864048</v>
      </c>
      <c r="H24" s="26">
        <f t="shared" si="12"/>
        <v>0</v>
      </c>
      <c r="I24" s="56">
        <f t="shared" si="12"/>
        <v>0</v>
      </c>
      <c r="J24" s="26">
        <f t="shared" si="12"/>
        <v>64666</v>
      </c>
      <c r="K24" s="30">
        <f t="shared" si="12"/>
        <v>8.552557521789009</v>
      </c>
      <c r="L24" s="26">
        <f t="shared" si="12"/>
        <v>828608</v>
      </c>
      <c r="M24" s="74">
        <f t="shared" si="8"/>
        <v>61.001786011393364</v>
      </c>
    </row>
    <row r="25" spans="2:13" ht="12" customHeight="1">
      <c r="B25" s="32" t="s">
        <v>4</v>
      </c>
      <c r="C25" s="180">
        <f>692045+970477+16+5523+1372+596+89</f>
        <v>1670118</v>
      </c>
      <c r="D25" s="33">
        <v>91820</v>
      </c>
      <c r="E25" s="34">
        <f aca="true" t="shared" si="13" ref="E25:E45">SUM(D25/C25)*100</f>
        <v>5.497815124440309</v>
      </c>
      <c r="F25" s="33">
        <f>321653+16</f>
        <v>321669</v>
      </c>
      <c r="G25" s="34">
        <f aca="true" t="shared" si="14" ref="G25:G45">SUM(F25/C25)*100</f>
        <v>19.260255862160637</v>
      </c>
      <c r="H25" s="33">
        <v>7580</v>
      </c>
      <c r="I25" s="177">
        <f t="shared" si="10"/>
        <v>0.4538601464088166</v>
      </c>
      <c r="J25" s="33">
        <f>51800-20165</f>
        <v>31635</v>
      </c>
      <c r="K25" s="34">
        <f t="shared" si="11"/>
        <v>1.8941775371560572</v>
      </c>
      <c r="L25" s="33">
        <f>SUM(C25-D25-F25-H25-J25)</f>
        <v>1217414</v>
      </c>
      <c r="M25" s="35">
        <f aca="true" t="shared" si="15" ref="M25:M45">SUM(L25/C25)*100</f>
        <v>72.89389132983418</v>
      </c>
    </row>
    <row r="26" spans="2:13" ht="12" customHeight="1" thickBot="1">
      <c r="B26" s="174" t="s">
        <v>49</v>
      </c>
      <c r="C26" s="19">
        <v>1000</v>
      </c>
      <c r="D26" s="20"/>
      <c r="E26" s="21">
        <f t="shared" si="13"/>
        <v>0</v>
      </c>
      <c r="F26" s="20"/>
      <c r="G26" s="21">
        <f t="shared" si="14"/>
        <v>0</v>
      </c>
      <c r="H26" s="20"/>
      <c r="I26" s="181">
        <f t="shared" si="10"/>
        <v>0</v>
      </c>
      <c r="J26" s="20"/>
      <c r="K26" s="21">
        <f t="shared" si="11"/>
        <v>0</v>
      </c>
      <c r="L26" s="20">
        <f>SUM(C26-D26-F26-H26-J26)</f>
        <v>1000</v>
      </c>
      <c r="M26" s="22">
        <f t="shared" si="15"/>
        <v>100</v>
      </c>
    </row>
    <row r="27" spans="2:13" ht="12" customHeight="1" thickBot="1">
      <c r="B27" s="29" t="s">
        <v>40</v>
      </c>
      <c r="C27" s="26">
        <f>SUM(C25:C26)</f>
        <v>1671118</v>
      </c>
      <c r="D27" s="26">
        <f>SUM(D25:D26)</f>
        <v>91820</v>
      </c>
      <c r="E27" s="30">
        <f t="shared" si="13"/>
        <v>5.494525222036984</v>
      </c>
      <c r="F27" s="26">
        <f>SUM(F25:F26)</f>
        <v>321669</v>
      </c>
      <c r="G27" s="30">
        <f t="shared" si="14"/>
        <v>19.248730490605688</v>
      </c>
      <c r="H27" s="26">
        <f>SUM(H25:H26)</f>
        <v>7580</v>
      </c>
      <c r="I27" s="56">
        <f t="shared" si="10"/>
        <v>0.45358855568547524</v>
      </c>
      <c r="J27" s="26">
        <f>SUM(J25)</f>
        <v>31635</v>
      </c>
      <c r="K27" s="30">
        <f t="shared" si="11"/>
        <v>1.8930440579300805</v>
      </c>
      <c r="L27" s="26">
        <f>SUM(L25:L26)</f>
        <v>1218414</v>
      </c>
      <c r="M27" s="41">
        <f t="shared" si="15"/>
        <v>72.91011167374177</v>
      </c>
    </row>
    <row r="28" spans="2:13" s="91" customFormat="1" ht="12" customHeight="1" thickBot="1">
      <c r="B28" s="32" t="s">
        <v>7</v>
      </c>
      <c r="C28" s="180">
        <v>241370</v>
      </c>
      <c r="D28" s="33">
        <v>4200</v>
      </c>
      <c r="E28" s="34">
        <f t="shared" si="13"/>
        <v>1.740067116874508</v>
      </c>
      <c r="F28" s="33">
        <f>154389+34230</f>
        <v>188619</v>
      </c>
      <c r="G28" s="34">
        <f t="shared" si="14"/>
        <v>78.14517131375067</v>
      </c>
      <c r="H28" s="33"/>
      <c r="I28" s="177">
        <f t="shared" si="10"/>
        <v>0</v>
      </c>
      <c r="J28" s="33">
        <v>1645</v>
      </c>
      <c r="K28" s="34">
        <f t="shared" si="11"/>
        <v>0.6815262874425156</v>
      </c>
      <c r="L28" s="33">
        <f>SUM(C28-D28-F28-H28-J28)</f>
        <v>46906</v>
      </c>
      <c r="M28" s="35">
        <f t="shared" si="15"/>
        <v>19.433235281932305</v>
      </c>
    </row>
    <row r="29" spans="2:13" s="91" customFormat="1" ht="12" customHeight="1" thickBot="1">
      <c r="B29" s="29" t="s">
        <v>41</v>
      </c>
      <c r="C29" s="26">
        <f>SUM(C28)</f>
        <v>241370</v>
      </c>
      <c r="D29" s="182">
        <f>SUM(D28)</f>
        <v>4200</v>
      </c>
      <c r="E29" s="183">
        <f t="shared" si="13"/>
        <v>1.740067116874508</v>
      </c>
      <c r="F29" s="182">
        <f>SUM(F28)</f>
        <v>188619</v>
      </c>
      <c r="G29" s="183">
        <f t="shared" si="14"/>
        <v>78.14517131375067</v>
      </c>
      <c r="H29" s="182">
        <f>SUM(H28)</f>
        <v>0</v>
      </c>
      <c r="I29" s="184">
        <f t="shared" si="10"/>
        <v>0</v>
      </c>
      <c r="J29" s="182">
        <f>SUM(J28)</f>
        <v>1645</v>
      </c>
      <c r="K29" s="183">
        <f t="shared" si="11"/>
        <v>0.6815262874425156</v>
      </c>
      <c r="L29" s="182">
        <f>SUM(L28)</f>
        <v>46906</v>
      </c>
      <c r="M29" s="185">
        <f t="shared" si="15"/>
        <v>19.433235281932305</v>
      </c>
    </row>
    <row r="30" spans="2:13" s="91" customFormat="1" ht="12" customHeight="1">
      <c r="B30" s="14" t="s">
        <v>8</v>
      </c>
      <c r="C30" s="15">
        <v>229675</v>
      </c>
      <c r="D30" s="16"/>
      <c r="E30" s="17">
        <f t="shared" si="13"/>
        <v>0</v>
      </c>
      <c r="F30" s="16">
        <v>43733</v>
      </c>
      <c r="G30" s="17">
        <f t="shared" si="14"/>
        <v>19.041253945792967</v>
      </c>
      <c r="H30" s="16"/>
      <c r="I30" s="63">
        <f t="shared" si="10"/>
        <v>0</v>
      </c>
      <c r="J30" s="16"/>
      <c r="K30" s="17">
        <f t="shared" si="11"/>
        <v>0</v>
      </c>
      <c r="L30" s="16">
        <f>SUM(C30-D30-F30-H30-J30)</f>
        <v>185942</v>
      </c>
      <c r="M30" s="18">
        <f t="shared" si="15"/>
        <v>80.95874605420703</v>
      </c>
    </row>
    <row r="31" spans="2:13" s="91" customFormat="1" ht="12" customHeight="1">
      <c r="B31" s="174" t="s">
        <v>100</v>
      </c>
      <c r="C31" s="19">
        <v>138407</v>
      </c>
      <c r="D31" s="20">
        <v>14676</v>
      </c>
      <c r="E31" s="21">
        <f t="shared" si="13"/>
        <v>10.603509938081167</v>
      </c>
      <c r="F31" s="20">
        <v>31843</v>
      </c>
      <c r="G31" s="21">
        <f t="shared" si="14"/>
        <v>23.006784338942392</v>
      </c>
      <c r="H31" s="20"/>
      <c r="I31" s="63">
        <f t="shared" si="10"/>
        <v>0</v>
      </c>
      <c r="J31" s="16"/>
      <c r="K31" s="17">
        <f t="shared" si="11"/>
        <v>0</v>
      </c>
      <c r="L31" s="16">
        <f aca="true" t="shared" si="16" ref="L31:L39">SUM(C31-D31-F31-H31-J31)</f>
        <v>91888</v>
      </c>
      <c r="M31" s="22">
        <f t="shared" si="15"/>
        <v>66.38970572297644</v>
      </c>
    </row>
    <row r="32" spans="2:13" s="91" customFormat="1" ht="12" customHeight="1">
      <c r="B32" s="174" t="s">
        <v>101</v>
      </c>
      <c r="C32" s="19">
        <v>60096</v>
      </c>
      <c r="D32" s="20">
        <v>13240</v>
      </c>
      <c r="E32" s="21">
        <f t="shared" si="13"/>
        <v>22.031416400425986</v>
      </c>
      <c r="F32" s="20">
        <v>23074</v>
      </c>
      <c r="G32" s="21">
        <f t="shared" si="14"/>
        <v>38.39523429179978</v>
      </c>
      <c r="H32" s="20"/>
      <c r="I32" s="63">
        <f t="shared" si="10"/>
        <v>0</v>
      </c>
      <c r="J32" s="16"/>
      <c r="K32" s="17">
        <f t="shared" si="11"/>
        <v>0</v>
      </c>
      <c r="L32" s="16">
        <f t="shared" si="16"/>
        <v>23782</v>
      </c>
      <c r="M32" s="22">
        <f t="shared" si="15"/>
        <v>39.57334930777423</v>
      </c>
    </row>
    <row r="33" spans="2:13" s="91" customFormat="1" ht="12" customHeight="1">
      <c r="B33" s="174" t="s">
        <v>9</v>
      </c>
      <c r="C33" s="19">
        <v>107986</v>
      </c>
      <c r="D33" s="20">
        <v>28384</v>
      </c>
      <c r="E33" s="21">
        <f t="shared" si="13"/>
        <v>26.284888781879133</v>
      </c>
      <c r="F33" s="20">
        <v>23555</v>
      </c>
      <c r="G33" s="21">
        <f t="shared" si="14"/>
        <v>21.81301279795529</v>
      </c>
      <c r="H33" s="20"/>
      <c r="I33" s="63">
        <f t="shared" si="10"/>
        <v>0</v>
      </c>
      <c r="J33" s="16"/>
      <c r="K33" s="17">
        <f t="shared" si="11"/>
        <v>0</v>
      </c>
      <c r="L33" s="16">
        <f t="shared" si="16"/>
        <v>56047</v>
      </c>
      <c r="M33" s="22">
        <f t="shared" si="15"/>
        <v>51.90209842016558</v>
      </c>
    </row>
    <row r="34" spans="2:13" s="91" customFormat="1" ht="12" customHeight="1">
      <c r="B34" s="174" t="s">
        <v>10</v>
      </c>
      <c r="C34" s="19">
        <v>1955</v>
      </c>
      <c r="D34" s="20"/>
      <c r="E34" s="21">
        <f t="shared" si="13"/>
        <v>0</v>
      </c>
      <c r="F34" s="20"/>
      <c r="G34" s="21">
        <f t="shared" si="14"/>
        <v>0</v>
      </c>
      <c r="H34" s="20">
        <v>1955</v>
      </c>
      <c r="I34" s="63">
        <f t="shared" si="10"/>
        <v>100</v>
      </c>
      <c r="J34" s="16"/>
      <c r="K34" s="17">
        <f t="shared" si="11"/>
        <v>0</v>
      </c>
      <c r="L34" s="16">
        <f t="shared" si="16"/>
        <v>0</v>
      </c>
      <c r="M34" s="22">
        <f t="shared" si="15"/>
        <v>0</v>
      </c>
    </row>
    <row r="35" spans="2:13" s="91" customFormat="1" ht="12" customHeight="1">
      <c r="B35" s="174" t="s">
        <v>97</v>
      </c>
      <c r="C35" s="19">
        <v>88443</v>
      </c>
      <c r="D35" s="20"/>
      <c r="E35" s="21">
        <f t="shared" si="13"/>
        <v>0</v>
      </c>
      <c r="F35" s="20">
        <v>26701</v>
      </c>
      <c r="G35" s="21">
        <f t="shared" si="14"/>
        <v>30.190065918161977</v>
      </c>
      <c r="H35" s="20"/>
      <c r="I35" s="63">
        <f t="shared" si="10"/>
        <v>0</v>
      </c>
      <c r="J35" s="16">
        <v>7189</v>
      </c>
      <c r="K35" s="17">
        <f t="shared" si="11"/>
        <v>8.128399081894553</v>
      </c>
      <c r="L35" s="16">
        <f t="shared" si="16"/>
        <v>54553</v>
      </c>
      <c r="M35" s="22">
        <f t="shared" si="15"/>
        <v>61.681534999943466</v>
      </c>
    </row>
    <row r="36" spans="2:13" s="91" customFormat="1" ht="12" customHeight="1">
      <c r="B36" s="174" t="s">
        <v>11</v>
      </c>
      <c r="C36" s="19">
        <v>100764</v>
      </c>
      <c r="D36" s="20"/>
      <c r="E36" s="21">
        <f t="shared" si="13"/>
        <v>0</v>
      </c>
      <c r="F36" s="20">
        <f>7480+6506</f>
        <v>13986</v>
      </c>
      <c r="G36" s="21">
        <f t="shared" si="14"/>
        <v>13.879957127545554</v>
      </c>
      <c r="H36" s="20"/>
      <c r="I36" s="63">
        <f t="shared" si="10"/>
        <v>0</v>
      </c>
      <c r="J36" s="16">
        <v>10071</v>
      </c>
      <c r="K36" s="17">
        <f t="shared" si="11"/>
        <v>9.994640943193998</v>
      </c>
      <c r="L36" s="16">
        <f t="shared" si="16"/>
        <v>76707</v>
      </c>
      <c r="M36" s="22">
        <f t="shared" si="15"/>
        <v>76.12540192926045</v>
      </c>
    </row>
    <row r="37" spans="2:13" s="91" customFormat="1" ht="12" customHeight="1">
      <c r="B37" s="176" t="s">
        <v>98</v>
      </c>
      <c r="C37" s="23">
        <v>57213</v>
      </c>
      <c r="D37" s="175"/>
      <c r="E37" s="24">
        <f t="shared" si="13"/>
        <v>0</v>
      </c>
      <c r="F37" s="175">
        <v>90</v>
      </c>
      <c r="G37" s="21">
        <f t="shared" si="14"/>
        <v>0.15730690577316345</v>
      </c>
      <c r="H37" s="175"/>
      <c r="I37" s="177">
        <f t="shared" si="10"/>
        <v>0</v>
      </c>
      <c r="J37" s="33"/>
      <c r="K37" s="17">
        <f t="shared" si="11"/>
        <v>0</v>
      </c>
      <c r="L37" s="16">
        <f t="shared" si="16"/>
        <v>57123</v>
      </c>
      <c r="M37" s="22">
        <f t="shared" si="15"/>
        <v>99.84269309422685</v>
      </c>
    </row>
    <row r="38" spans="2:13" s="91" customFormat="1" ht="12" customHeight="1">
      <c r="B38" s="176" t="s">
        <v>54</v>
      </c>
      <c r="C38" s="23">
        <v>16709</v>
      </c>
      <c r="D38" s="175"/>
      <c r="E38" s="24">
        <f t="shared" si="13"/>
        <v>0</v>
      </c>
      <c r="F38" s="175">
        <v>1120</v>
      </c>
      <c r="G38" s="21">
        <f t="shared" si="14"/>
        <v>6.702974444909929</v>
      </c>
      <c r="H38" s="175">
        <v>2222</v>
      </c>
      <c r="I38" s="181">
        <f t="shared" si="10"/>
        <v>13.298222514812377</v>
      </c>
      <c r="J38" s="20"/>
      <c r="K38" s="21">
        <f t="shared" si="11"/>
        <v>0</v>
      </c>
      <c r="L38" s="16">
        <f t="shared" si="16"/>
        <v>13367</v>
      </c>
      <c r="M38" s="22">
        <f t="shared" si="15"/>
        <v>79.99880304027769</v>
      </c>
    </row>
    <row r="39" spans="2:13" s="91" customFormat="1" ht="12" customHeight="1" thickBot="1">
      <c r="B39" s="38" t="s">
        <v>102</v>
      </c>
      <c r="C39" s="27">
        <v>32730</v>
      </c>
      <c r="D39" s="28"/>
      <c r="E39" s="39">
        <f t="shared" si="13"/>
        <v>0</v>
      </c>
      <c r="F39" s="28">
        <v>13463</v>
      </c>
      <c r="G39" s="39">
        <f t="shared" si="14"/>
        <v>41.13351665139016</v>
      </c>
      <c r="H39" s="28"/>
      <c r="I39" s="64">
        <f t="shared" si="10"/>
        <v>0</v>
      </c>
      <c r="J39" s="28"/>
      <c r="K39" s="39">
        <f t="shared" si="11"/>
        <v>0</v>
      </c>
      <c r="L39" s="28">
        <f t="shared" si="16"/>
        <v>19267</v>
      </c>
      <c r="M39" s="40">
        <f t="shared" si="15"/>
        <v>58.86648334860983</v>
      </c>
    </row>
    <row r="40" spans="2:13" s="31" customFormat="1" ht="12" customHeight="1" thickBot="1">
      <c r="B40" s="186" t="s">
        <v>42</v>
      </c>
      <c r="C40" s="26">
        <f>SUM(C30:C39)</f>
        <v>833978</v>
      </c>
      <c r="D40" s="182">
        <f>SUM(D30:D39)</f>
        <v>56300</v>
      </c>
      <c r="E40" s="183">
        <f t="shared" si="13"/>
        <v>6.750777598449839</v>
      </c>
      <c r="F40" s="182">
        <f>SUM(F30:F39)</f>
        <v>177565</v>
      </c>
      <c r="G40" s="183">
        <f t="shared" si="14"/>
        <v>21.291329027864045</v>
      </c>
      <c r="H40" s="182">
        <f>SUM(H30:H39)</f>
        <v>4177</v>
      </c>
      <c r="I40" s="184">
        <f aca="true" t="shared" si="17" ref="I40:I45">SUM(H40/C40)*100</f>
        <v>0.5008525404746887</v>
      </c>
      <c r="J40" s="182">
        <f>SUM(J30:J39)</f>
        <v>17260</v>
      </c>
      <c r="K40" s="183">
        <f aca="true" t="shared" si="18" ref="K40:K45">SUM(J40/C40)*100</f>
        <v>2.069598958245901</v>
      </c>
      <c r="L40" s="182">
        <f>SUM(L30:L39)</f>
        <v>578676</v>
      </c>
      <c r="M40" s="185">
        <f t="shared" si="15"/>
        <v>69.38744187496553</v>
      </c>
    </row>
    <row r="41" spans="2:13" s="31" customFormat="1" ht="12" customHeight="1" thickBot="1">
      <c r="B41" s="115" t="s">
        <v>44</v>
      </c>
      <c r="C41" s="187">
        <v>185151</v>
      </c>
      <c r="D41" s="188">
        <v>3500</v>
      </c>
      <c r="E41" s="189">
        <f t="shared" si="13"/>
        <v>1.890348958417724</v>
      </c>
      <c r="F41" s="188">
        <f>32080+20382+13965+46581</f>
        <v>113008</v>
      </c>
      <c r="G41" s="189">
        <f t="shared" si="14"/>
        <v>61.03558716939147</v>
      </c>
      <c r="H41" s="188"/>
      <c r="I41" s="190">
        <f t="shared" si="17"/>
        <v>0</v>
      </c>
      <c r="J41" s="188">
        <f>4121-2387</f>
        <v>1734</v>
      </c>
      <c r="K41" s="183">
        <f t="shared" si="18"/>
        <v>0.9365328839703809</v>
      </c>
      <c r="L41" s="188">
        <f>SUM(C41-D41-F41-H41-J41)</f>
        <v>66909</v>
      </c>
      <c r="M41" s="191">
        <f t="shared" si="15"/>
        <v>36.137530988220426</v>
      </c>
    </row>
    <row r="42" spans="2:13" s="31" customFormat="1" ht="12" customHeight="1" thickBot="1">
      <c r="B42" s="29" t="s">
        <v>45</v>
      </c>
      <c r="C42" s="26">
        <v>111964</v>
      </c>
      <c r="D42" s="182">
        <v>3000</v>
      </c>
      <c r="E42" s="183">
        <f t="shared" si="13"/>
        <v>2.679432674788325</v>
      </c>
      <c r="F42" s="182">
        <v>47512</v>
      </c>
      <c r="G42" s="183">
        <f t="shared" si="14"/>
        <v>42.435068414847635</v>
      </c>
      <c r="H42" s="182"/>
      <c r="I42" s="184">
        <f t="shared" si="17"/>
        <v>0</v>
      </c>
      <c r="J42" s="182">
        <f>1234+421</f>
        <v>1655</v>
      </c>
      <c r="K42" s="192">
        <f t="shared" si="18"/>
        <v>1.478153692258226</v>
      </c>
      <c r="L42" s="193">
        <f>SUM(C42-D42-F42-H42-J42)</f>
        <v>59797</v>
      </c>
      <c r="M42" s="194">
        <f t="shared" si="15"/>
        <v>53.40734521810582</v>
      </c>
    </row>
    <row r="43" spans="2:13" s="31" customFormat="1" ht="12" customHeight="1" thickBot="1">
      <c r="B43" s="29" t="s">
        <v>46</v>
      </c>
      <c r="C43" s="26">
        <v>194653</v>
      </c>
      <c r="D43" s="182">
        <v>22500</v>
      </c>
      <c r="E43" s="183">
        <f t="shared" si="13"/>
        <v>11.55903068537346</v>
      </c>
      <c r="F43" s="182">
        <f>19191+13230+1604+49157+9</f>
        <v>83191</v>
      </c>
      <c r="G43" s="183">
        <f t="shared" si="14"/>
        <v>42.73810318875127</v>
      </c>
      <c r="H43" s="182"/>
      <c r="I43" s="184">
        <f t="shared" si="17"/>
        <v>0</v>
      </c>
      <c r="J43" s="182">
        <f>3091+175</f>
        <v>3266</v>
      </c>
      <c r="K43" s="192">
        <f t="shared" si="18"/>
        <v>1.6778575208190987</v>
      </c>
      <c r="L43" s="193">
        <f>SUM(C43-D43-F43-H43-J43)</f>
        <v>85696</v>
      </c>
      <c r="M43" s="194">
        <f t="shared" si="15"/>
        <v>44.02500860505618</v>
      </c>
    </row>
    <row r="44" spans="2:13" s="31" customFormat="1" ht="12" customHeight="1" thickBot="1">
      <c r="B44" s="115" t="s">
        <v>47</v>
      </c>
      <c r="C44" s="187">
        <v>153855</v>
      </c>
      <c r="D44" s="188">
        <v>2350</v>
      </c>
      <c r="E44" s="189">
        <f t="shared" si="13"/>
        <v>1.5274121738000066</v>
      </c>
      <c r="F44" s="188">
        <v>56349</v>
      </c>
      <c r="G44" s="189">
        <f t="shared" si="14"/>
        <v>36.62474407721556</v>
      </c>
      <c r="H44" s="188"/>
      <c r="I44" s="190">
        <f t="shared" si="17"/>
        <v>0</v>
      </c>
      <c r="J44" s="188">
        <f>2273+14223</f>
        <v>16496</v>
      </c>
      <c r="K44" s="183">
        <f t="shared" si="18"/>
        <v>10.721783497448897</v>
      </c>
      <c r="L44" s="188">
        <f>SUM(C44-D44-F44-H44-J44)</f>
        <v>78660</v>
      </c>
      <c r="M44" s="191">
        <f t="shared" si="15"/>
        <v>51.126060251535534</v>
      </c>
    </row>
    <row r="45" spans="2:13" s="4" customFormat="1" ht="12" customHeight="1" thickBot="1">
      <c r="B45" s="25" t="s">
        <v>17</v>
      </c>
      <c r="C45" s="26">
        <f>SUM(C40,C29,C27,C21,C15,C41,C42,C43,C44,C24)</f>
        <v>11678772</v>
      </c>
      <c r="D45" s="26">
        <f>SUM(D40,D29,D27,D21,D15,D41,D42,D43,D44,D24)</f>
        <v>6997835</v>
      </c>
      <c r="E45" s="30">
        <f t="shared" si="13"/>
        <v>59.91927062194553</v>
      </c>
      <c r="F45" s="26">
        <f>SUM(F40,F29,F27,F21,F15,F41,F42,F43,F44,F24)</f>
        <v>998601</v>
      </c>
      <c r="G45" s="30">
        <f t="shared" si="14"/>
        <v>8.550565076533731</v>
      </c>
      <c r="H45" s="26">
        <f>SUM(H40,H29,H27,H21,H15,H41,H42,H43,H44)</f>
        <v>119047</v>
      </c>
      <c r="I45" s="56">
        <f t="shared" si="17"/>
        <v>1.0193451845793375</v>
      </c>
      <c r="J45" s="26">
        <f>SUM(J40,J29,J27,J21,J15,J41,J42,J43,J44,J24)</f>
        <v>523972</v>
      </c>
      <c r="K45" s="183">
        <f t="shared" si="18"/>
        <v>4.4865333444303905</v>
      </c>
      <c r="L45" s="26">
        <f>SUM(L40,L29,L27,L21,L15,L41,L42,L43,L44,L24)</f>
        <v>3039317</v>
      </c>
      <c r="M45" s="41">
        <f t="shared" si="15"/>
        <v>26.024285772511014</v>
      </c>
    </row>
    <row r="49" ht="12.75">
      <c r="E49" s="3"/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9">
      <selection activeCell="C51" sqref="C51:E52"/>
    </sheetView>
  </sheetViews>
  <sheetFormatPr defaultColWidth="9.00390625" defaultRowHeight="12.75"/>
  <cols>
    <col min="1" max="1" width="26.00390625" style="91" customWidth="1"/>
    <col min="2" max="2" width="10.125" style="91" customWidth="1"/>
    <col min="3" max="3" width="9.75390625" style="91" customWidth="1"/>
    <col min="4" max="4" width="9.625" style="168" customWidth="1"/>
    <col min="5" max="5" width="11.375" style="91" customWidth="1"/>
    <col min="6" max="6" width="10.375" style="91" customWidth="1"/>
    <col min="7" max="7" width="11.875" style="91" customWidth="1"/>
    <col min="8" max="8" width="9.375" style="91" customWidth="1"/>
    <col min="9" max="9" width="11.25390625" style="91" customWidth="1"/>
    <col min="10" max="10" width="9.75390625" style="91" customWidth="1"/>
    <col min="11" max="11" width="11.75390625" style="91" customWidth="1"/>
    <col min="12" max="12" width="13.375" style="91" customWidth="1"/>
    <col min="13" max="16384" width="9.125" style="9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70" t="s">
        <v>31</v>
      </c>
      <c r="L1" s="170"/>
    </row>
    <row r="2" spans="1:12" ht="12.75">
      <c r="A2" s="171" t="s">
        <v>110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3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3.5" thickBot="1">
      <c r="A4" s="118"/>
      <c r="B4" s="118"/>
      <c r="C4" s="118"/>
      <c r="D4" s="119"/>
      <c r="E4" s="120"/>
      <c r="F4" s="121"/>
      <c r="G4" s="120"/>
      <c r="H4" s="121"/>
      <c r="I4" s="121"/>
      <c r="J4" s="121"/>
      <c r="K4" s="122"/>
      <c r="L4" s="53" t="s">
        <v>0</v>
      </c>
    </row>
    <row r="5" spans="1:12" ht="77.25" customHeight="1" thickBot="1">
      <c r="A5" s="123" t="s">
        <v>3</v>
      </c>
      <c r="B5" s="124" t="s">
        <v>69</v>
      </c>
      <c r="C5" s="124" t="s">
        <v>80</v>
      </c>
      <c r="D5" s="125" t="s">
        <v>70</v>
      </c>
      <c r="E5" s="124" t="s">
        <v>104</v>
      </c>
      <c r="F5" s="125" t="s">
        <v>71</v>
      </c>
      <c r="G5" s="124" t="s">
        <v>81</v>
      </c>
      <c r="H5" s="125" t="s">
        <v>73</v>
      </c>
      <c r="I5" s="125" t="s">
        <v>76</v>
      </c>
      <c r="J5" s="125" t="s">
        <v>48</v>
      </c>
      <c r="K5" s="126" t="s">
        <v>74</v>
      </c>
      <c r="L5" s="127" t="s">
        <v>75</v>
      </c>
    </row>
    <row r="6" spans="1:12" ht="12.75">
      <c r="A6" s="92" t="s">
        <v>77</v>
      </c>
      <c r="B6" s="128"/>
      <c r="C6" s="128"/>
      <c r="D6" s="129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78</v>
      </c>
      <c r="B7" s="128">
        <f>100203-88004</f>
        <v>12199</v>
      </c>
      <c r="C7" s="128"/>
      <c r="D7" s="129"/>
      <c r="E7" s="16"/>
      <c r="F7" s="17"/>
      <c r="G7" s="16"/>
      <c r="H7" s="17"/>
      <c r="I7" s="16"/>
      <c r="J7" s="17">
        <f>SUM(I7/B7*100)</f>
        <v>0</v>
      </c>
      <c r="K7" s="20">
        <f>SUM(B7-C7-E7-G7-I7)</f>
        <v>12199</v>
      </c>
      <c r="L7" s="22">
        <f>SUM(K7/B7)*100</f>
        <v>100</v>
      </c>
    </row>
    <row r="8" spans="1:12" ht="12.75">
      <c r="A8" s="14" t="s">
        <v>79</v>
      </c>
      <c r="B8" s="117">
        <f>383301-'kötelező2018.felh.'!C7-31154</f>
        <v>263907</v>
      </c>
      <c r="C8" s="117"/>
      <c r="D8" s="130">
        <f>SUM(C8/B8)*100</f>
        <v>0</v>
      </c>
      <c r="E8" s="20">
        <v>30000</v>
      </c>
      <c r="F8" s="21">
        <f>SUM(E8/B8)*100</f>
        <v>11.367640873489524</v>
      </c>
      <c r="G8" s="20"/>
      <c r="H8" s="21">
        <f>SUM(G8/B8*100)</f>
        <v>0</v>
      </c>
      <c r="I8" s="20">
        <f>93786-30000</f>
        <v>63786</v>
      </c>
      <c r="J8" s="17">
        <f>SUM(I8/B8*100)</f>
        <v>24.16987802521343</v>
      </c>
      <c r="K8" s="20">
        <f>SUM(B8-C8-E8-G8-I8)</f>
        <v>170121</v>
      </c>
      <c r="L8" s="22">
        <f>SUM(K8/B8)*100</f>
        <v>64.46248110129706</v>
      </c>
    </row>
    <row r="9" spans="1:12" ht="12.75">
      <c r="A9" s="93" t="s">
        <v>82</v>
      </c>
      <c r="B9" s="117"/>
      <c r="C9" s="117"/>
      <c r="D9" s="130"/>
      <c r="E9" s="20"/>
      <c r="F9" s="21"/>
      <c r="G9" s="20"/>
      <c r="H9" s="21"/>
      <c r="I9" s="20"/>
      <c r="J9" s="17"/>
      <c r="K9" s="20"/>
      <c r="L9" s="22"/>
    </row>
    <row r="10" spans="1:12" ht="12.75">
      <c r="A10" s="14" t="s">
        <v>78</v>
      </c>
      <c r="B10" s="117">
        <v>2481093</v>
      </c>
      <c r="C10" s="117"/>
      <c r="D10" s="130">
        <f>SUM(C10/B10)*100</f>
        <v>0</v>
      </c>
      <c r="E10" s="20"/>
      <c r="F10" s="21">
        <f>SUM(E10/B10)*100</f>
        <v>0</v>
      </c>
      <c r="G10" s="20"/>
      <c r="H10" s="21">
        <f aca="true" t="shared" si="0" ref="H10:H18">SUM(G10/B10*100)</f>
        <v>0</v>
      </c>
      <c r="I10" s="20">
        <v>2616907</v>
      </c>
      <c r="J10" s="17">
        <f>SUM(I10/B10*100)</f>
        <v>105.47395845298826</v>
      </c>
      <c r="K10" s="20">
        <f>SUM(B10-C10-E10-G10-I10)</f>
        <v>-135814</v>
      </c>
      <c r="L10" s="22">
        <f>SUM(K10/B10)*100</f>
        <v>-5.47395845298826</v>
      </c>
    </row>
    <row r="11" spans="1:12" ht="12.75">
      <c r="A11" s="14" t="s">
        <v>105</v>
      </c>
      <c r="B11" s="117">
        <f>13481958-B10-'kötelező2018.felh.'!C9</f>
        <v>10954129</v>
      </c>
      <c r="C11" s="117">
        <v>953456</v>
      </c>
      <c r="D11" s="130">
        <f>SUM(C11/B11)*100</f>
        <v>8.704078617295815</v>
      </c>
      <c r="E11" s="20">
        <f>1500000+1627896+300000</f>
        <v>3427896</v>
      </c>
      <c r="F11" s="21">
        <f>SUM(E11/B11)*100</f>
        <v>31.293186340967864</v>
      </c>
      <c r="G11" s="20"/>
      <c r="H11" s="21">
        <f>SUM(G11/B11*100)</f>
        <v>0</v>
      </c>
      <c r="I11" s="20">
        <f>7449064-434284-362689-953456</f>
        <v>5698635</v>
      </c>
      <c r="J11" s="17">
        <f>SUM(I11/B11*100)</f>
        <v>52.02271216634385</v>
      </c>
      <c r="K11" s="20">
        <f>SUM(B11-C11-E11-G11-I11)</f>
        <v>874142</v>
      </c>
      <c r="L11" s="22">
        <f>SUM(K11/B11)*100</f>
        <v>7.980022875392466</v>
      </c>
    </row>
    <row r="12" spans="1:12" ht="12.75">
      <c r="A12" s="93" t="s">
        <v>83</v>
      </c>
      <c r="B12" s="117"/>
      <c r="C12" s="117"/>
      <c r="D12" s="130"/>
      <c r="E12" s="20"/>
      <c r="F12" s="21"/>
      <c r="G12" s="20"/>
      <c r="H12" s="21"/>
      <c r="I12" s="20"/>
      <c r="J12" s="17"/>
      <c r="K12" s="20"/>
      <c r="L12" s="131"/>
    </row>
    <row r="13" spans="1:12" ht="12.75">
      <c r="A13" s="14" t="s">
        <v>78</v>
      </c>
      <c r="B13" s="117">
        <v>585057</v>
      </c>
      <c r="C13" s="117"/>
      <c r="D13" s="130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>
        <v>585057</v>
      </c>
      <c r="J13" s="17">
        <f>SUM(I13/B13*100)</f>
        <v>100</v>
      </c>
      <c r="K13" s="20">
        <f>SUM(B13-C13-E13-G13-I13)</f>
        <v>0</v>
      </c>
      <c r="L13" s="22">
        <f>SUM(K13/B13)*100</f>
        <v>0</v>
      </c>
    </row>
    <row r="14" spans="1:12" ht="12.75">
      <c r="A14" s="14" t="s">
        <v>79</v>
      </c>
      <c r="B14" s="117">
        <v>400984</v>
      </c>
      <c r="C14" s="117">
        <v>17638</v>
      </c>
      <c r="D14" s="130">
        <f>SUM(C14/B14)*100</f>
        <v>4.398679249047344</v>
      </c>
      <c r="E14" s="20"/>
      <c r="F14" s="21">
        <f>SUM(E14/B14)*100</f>
        <v>0</v>
      </c>
      <c r="G14" s="20"/>
      <c r="H14" s="21">
        <f>SUM(G14/B14*100)</f>
        <v>0</v>
      </c>
      <c r="I14" s="20">
        <f>309350-17638</f>
        <v>291712</v>
      </c>
      <c r="J14" s="17">
        <f>SUM(I14/B14*100)</f>
        <v>72.74903736807453</v>
      </c>
      <c r="K14" s="20">
        <f>SUM(B14-C14-E14-G14-I14)</f>
        <v>91634</v>
      </c>
      <c r="L14" s="22">
        <f>SUM(K14/B14)*100</f>
        <v>22.85228338287812</v>
      </c>
    </row>
    <row r="15" spans="1:12" ht="12.75">
      <c r="A15" s="93" t="s">
        <v>84</v>
      </c>
      <c r="B15" s="117"/>
      <c r="C15" s="117"/>
      <c r="D15" s="130"/>
      <c r="E15" s="20"/>
      <c r="F15" s="21"/>
      <c r="G15" s="20"/>
      <c r="H15" s="21"/>
      <c r="I15" s="20"/>
      <c r="J15" s="17"/>
      <c r="K15" s="20"/>
      <c r="L15" s="22"/>
    </row>
    <row r="16" spans="1:12" ht="12.75">
      <c r="A16" s="14" t="s">
        <v>79</v>
      </c>
      <c r="B16" s="117">
        <v>10000</v>
      </c>
      <c r="C16" s="117">
        <v>10000</v>
      </c>
      <c r="D16" s="130">
        <f>SUM(C16/B16)*100</f>
        <v>100</v>
      </c>
      <c r="E16" s="20"/>
      <c r="F16" s="21">
        <f>SUM(E16/B16)*100</f>
        <v>0</v>
      </c>
      <c r="G16" s="20"/>
      <c r="H16" s="21">
        <f t="shared" si="0"/>
        <v>0</v>
      </c>
      <c r="I16" s="20"/>
      <c r="J16" s="17">
        <f>SUM(I16/B16*100)</f>
        <v>0</v>
      </c>
      <c r="K16" s="20">
        <f>SUM(B16-C16-E16-G16-I16)</f>
        <v>0</v>
      </c>
      <c r="L16" s="22">
        <f>SUM(K16/B16)*100</f>
        <v>0</v>
      </c>
    </row>
    <row r="17" spans="1:12" ht="13.5" thickBot="1">
      <c r="A17" s="94" t="s">
        <v>85</v>
      </c>
      <c r="B17" s="132">
        <v>1983318</v>
      </c>
      <c r="C17" s="132"/>
      <c r="D17" s="133">
        <f>SUM(C17/B17)*100</f>
        <v>0</v>
      </c>
      <c r="E17" s="33"/>
      <c r="F17" s="34">
        <f>SUM(E17/B17)*100</f>
        <v>0</v>
      </c>
      <c r="G17" s="33"/>
      <c r="H17" s="34">
        <f t="shared" si="0"/>
        <v>0</v>
      </c>
      <c r="I17" s="33">
        <f>362689+953456+10000+17638+30000-12932</f>
        <v>1360851</v>
      </c>
      <c r="J17" s="34">
        <f>SUM(I17/B17*100)</f>
        <v>68.61486660233004</v>
      </c>
      <c r="K17" s="33">
        <f>SUM(B17-C17-E17-G17-I17)</f>
        <v>622467</v>
      </c>
      <c r="L17" s="35">
        <f>SUM(K17/B17)*100</f>
        <v>31.385133397669968</v>
      </c>
    </row>
    <row r="18" spans="1:12" s="31" customFormat="1" ht="13.5" thickBot="1">
      <c r="A18" s="29" t="s">
        <v>39</v>
      </c>
      <c r="B18" s="134">
        <f>SUM(B6:B17)</f>
        <v>16690687</v>
      </c>
      <c r="C18" s="134">
        <f>SUM(C6:C16)</f>
        <v>981094</v>
      </c>
      <c r="D18" s="135">
        <f>SUM(C18/B18)*100</f>
        <v>5.878092375706285</v>
      </c>
      <c r="E18" s="134">
        <f>SUM(E6:E16)</f>
        <v>3457896</v>
      </c>
      <c r="F18" s="136">
        <f>SUM(E18/B18*100)</f>
        <v>20.717517499429473</v>
      </c>
      <c r="G18" s="134">
        <f>SUM(G6:G17)</f>
        <v>0</v>
      </c>
      <c r="H18" s="137">
        <f t="shared" si="0"/>
        <v>0</v>
      </c>
      <c r="I18" s="134">
        <f>SUM(I6:I17)</f>
        <v>10616948</v>
      </c>
      <c r="J18" s="137">
        <f>SUM(I18/B18*100)</f>
        <v>63.6100119785363</v>
      </c>
      <c r="K18" s="134">
        <f>SUM(K6:K17)</f>
        <v>1634749</v>
      </c>
      <c r="L18" s="138">
        <f>SUM(K18/B18)*100</f>
        <v>9.794378146327949</v>
      </c>
    </row>
    <row r="19" spans="1:12" ht="12.75">
      <c r="A19" s="93" t="s">
        <v>82</v>
      </c>
      <c r="B19" s="132"/>
      <c r="C19" s="132"/>
      <c r="D19" s="133"/>
      <c r="E19" s="132"/>
      <c r="F19" s="34"/>
      <c r="G19" s="132"/>
      <c r="H19" s="34"/>
      <c r="I19" s="132"/>
      <c r="J19" s="34"/>
      <c r="K19" s="33"/>
      <c r="L19" s="35"/>
    </row>
    <row r="20" spans="1:12" ht="13.5" thickBot="1">
      <c r="A20" s="14" t="s">
        <v>79</v>
      </c>
      <c r="B20" s="103">
        <v>10000</v>
      </c>
      <c r="C20" s="103"/>
      <c r="D20" s="139">
        <f>SUM(C20/B20)*100</f>
        <v>0</v>
      </c>
      <c r="E20" s="28"/>
      <c r="F20" s="39">
        <f>SUM(E20/B20)*100</f>
        <v>0</v>
      </c>
      <c r="G20" s="28"/>
      <c r="H20" s="39">
        <f>SUM(G20/B20*100)</f>
        <v>0</v>
      </c>
      <c r="I20" s="28"/>
      <c r="J20" s="39">
        <f>SUM(I20/B20*100)</f>
        <v>0</v>
      </c>
      <c r="K20" s="28">
        <f>SUM(B20-C20-E20-G20-I20)</f>
        <v>10000</v>
      </c>
      <c r="L20" s="40">
        <f>SUM(K20/B20)*100</f>
        <v>100</v>
      </c>
    </row>
    <row r="21" spans="1:12" s="31" customFormat="1" ht="13.5" thickBot="1">
      <c r="A21" s="29" t="s">
        <v>40</v>
      </c>
      <c r="B21" s="134">
        <f>SUM(B19:B20)</f>
        <v>10000</v>
      </c>
      <c r="C21" s="134">
        <f>SUM(C19:C20)</f>
        <v>0</v>
      </c>
      <c r="D21" s="140">
        <f>SUM(C21/B21)*100</f>
        <v>0</v>
      </c>
      <c r="E21" s="134">
        <f>SUM(E20)</f>
        <v>0</v>
      </c>
      <c r="F21" s="137">
        <f>SUM(E21/B21)*100</f>
        <v>0</v>
      </c>
      <c r="G21" s="134">
        <f>SUM(G19:G20)</f>
        <v>0</v>
      </c>
      <c r="H21" s="137">
        <f>SUM(H20)</f>
        <v>0</v>
      </c>
      <c r="I21" s="134">
        <f>SUM(I19:I20)</f>
        <v>0</v>
      </c>
      <c r="J21" s="137">
        <f>SUM(I21/B21*100)</f>
        <v>0</v>
      </c>
      <c r="K21" s="134">
        <f>SUM(K19:K20)</f>
        <v>10000</v>
      </c>
      <c r="L21" s="138">
        <f>SUM(L20)</f>
        <v>100</v>
      </c>
    </row>
    <row r="22" spans="1:12" s="31" customFormat="1" ht="12.75">
      <c r="A22" s="115" t="s">
        <v>77</v>
      </c>
      <c r="B22" s="141"/>
      <c r="C22" s="141"/>
      <c r="D22" s="142"/>
      <c r="E22" s="141"/>
      <c r="F22" s="143"/>
      <c r="G22" s="141"/>
      <c r="H22" s="143"/>
      <c r="I22" s="141"/>
      <c r="J22" s="143"/>
      <c r="K22" s="141"/>
      <c r="L22" s="144"/>
    </row>
    <row r="23" spans="1:12" s="31" customFormat="1" ht="12.75">
      <c r="A23" s="116" t="s">
        <v>105</v>
      </c>
      <c r="B23" s="117">
        <v>31154</v>
      </c>
      <c r="C23" s="145"/>
      <c r="D23" s="146"/>
      <c r="E23" s="145"/>
      <c r="F23" s="147"/>
      <c r="G23" s="145"/>
      <c r="H23" s="147"/>
      <c r="I23" s="145"/>
      <c r="J23" s="147">
        <f>SUM(I23/B23*100)</f>
        <v>0</v>
      </c>
      <c r="K23" s="145">
        <f>SUM(B23-C23-E23-G23-I23)</f>
        <v>31154</v>
      </c>
      <c r="L23" s="148">
        <f>SUM(K23/B23)*100</f>
        <v>100</v>
      </c>
    </row>
    <row r="24" spans="1:12" s="31" customFormat="1" ht="12.75">
      <c r="A24" s="92" t="s">
        <v>82</v>
      </c>
      <c r="B24" s="149"/>
      <c r="C24" s="149"/>
      <c r="D24" s="150"/>
      <c r="E24" s="149"/>
      <c r="F24" s="151"/>
      <c r="G24" s="149"/>
      <c r="H24" s="151"/>
      <c r="I24" s="149"/>
      <c r="J24" s="151"/>
      <c r="K24" s="149"/>
      <c r="L24" s="152"/>
    </row>
    <row r="25" spans="1:12" s="31" customFormat="1" ht="13.5" thickBot="1">
      <c r="A25" s="32" t="s">
        <v>79</v>
      </c>
      <c r="B25" s="103">
        <f>92334+7220</f>
        <v>99554</v>
      </c>
      <c r="C25" s="153"/>
      <c r="D25" s="154"/>
      <c r="E25" s="153"/>
      <c r="F25" s="155">
        <f>SUM(E25/B25)*100</f>
        <v>0</v>
      </c>
      <c r="G25" s="153"/>
      <c r="H25" s="155"/>
      <c r="I25" s="103">
        <v>12932</v>
      </c>
      <c r="J25" s="155">
        <f>SUM(I25/B25*100)</f>
        <v>12.989935110593246</v>
      </c>
      <c r="K25" s="153">
        <f>SUM(B25-C25-E25-G25-I25)</f>
        <v>86622</v>
      </c>
      <c r="L25" s="156">
        <f>SUM(K25/B25)*100</f>
        <v>87.01006488940676</v>
      </c>
    </row>
    <row r="26" spans="1:12" s="31" customFormat="1" ht="13.5" thickBot="1">
      <c r="A26" s="100" t="s">
        <v>38</v>
      </c>
      <c r="B26" s="134">
        <f>SUM(B25,B23)</f>
        <v>130708</v>
      </c>
      <c r="C26" s="134">
        <f>SUM(C25)</f>
        <v>0</v>
      </c>
      <c r="D26" s="140"/>
      <c r="E26" s="134"/>
      <c r="F26" s="137"/>
      <c r="G26" s="134"/>
      <c r="H26" s="137"/>
      <c r="I26" s="134">
        <f>SUM(I25)</f>
        <v>12932</v>
      </c>
      <c r="J26" s="137">
        <f>SUM(J25)</f>
        <v>12.989935110593246</v>
      </c>
      <c r="K26" s="134">
        <f>SUM(K23:K25)</f>
        <v>117776</v>
      </c>
      <c r="L26" s="138">
        <f>SUM(K26/B26)*100</f>
        <v>90.10619089879732</v>
      </c>
    </row>
    <row r="27" spans="1:12" s="31" customFormat="1" ht="12.75">
      <c r="A27" s="93" t="s">
        <v>82</v>
      </c>
      <c r="B27" s="85"/>
      <c r="C27" s="86"/>
      <c r="D27" s="87"/>
      <c r="E27" s="86"/>
      <c r="F27" s="87"/>
      <c r="G27" s="86"/>
      <c r="H27" s="88"/>
      <c r="I27" s="86"/>
      <c r="J27" s="87"/>
      <c r="K27" s="86"/>
      <c r="L27" s="89"/>
    </row>
    <row r="28" spans="1:12" s="31" customFormat="1" ht="13.5" thickBot="1">
      <c r="A28" s="14" t="s">
        <v>79</v>
      </c>
      <c r="B28" s="27">
        <v>10000</v>
      </c>
      <c r="C28" s="28"/>
      <c r="D28" s="39">
        <f>SUM(C28/B28)*100</f>
        <v>0</v>
      </c>
      <c r="E28" s="28"/>
      <c r="F28" s="39">
        <f>SUM(E28/B28)*100</f>
        <v>0</v>
      </c>
      <c r="G28" s="28"/>
      <c r="H28" s="64">
        <f>SUM(G28/B28)*100</f>
        <v>0</v>
      </c>
      <c r="I28" s="28"/>
      <c r="J28" s="39">
        <f>SUM(I28/B28)*100</f>
        <v>0</v>
      </c>
      <c r="K28" s="28">
        <f>SUM(B28-C28-E28-G28-I28)</f>
        <v>10000</v>
      </c>
      <c r="L28" s="40">
        <f>SUM(K28/B28)*100</f>
        <v>100</v>
      </c>
    </row>
    <row r="29" spans="1:12" s="31" customFormat="1" ht="13.5" thickBot="1">
      <c r="A29" s="29" t="s">
        <v>52</v>
      </c>
      <c r="B29" s="26">
        <f>SUM(B27:B28)</f>
        <v>10000</v>
      </c>
      <c r="C29" s="26">
        <f>SUM(C27:C28)</f>
        <v>0</v>
      </c>
      <c r="D29" s="56">
        <f>SUM(C29/B29)*100</f>
        <v>0</v>
      </c>
      <c r="E29" s="26">
        <f aca="true" t="shared" si="1" ref="E29:K29">SUM(E27:E28)</f>
        <v>0</v>
      </c>
      <c r="F29" s="56">
        <f t="shared" si="1"/>
        <v>0</v>
      </c>
      <c r="G29" s="26">
        <f t="shared" si="1"/>
        <v>0</v>
      </c>
      <c r="H29" s="56">
        <f t="shared" si="1"/>
        <v>0</v>
      </c>
      <c r="I29" s="26">
        <f t="shared" si="1"/>
        <v>0</v>
      </c>
      <c r="J29" s="30">
        <f t="shared" si="1"/>
        <v>0</v>
      </c>
      <c r="K29" s="26">
        <f t="shared" si="1"/>
        <v>10000</v>
      </c>
      <c r="L29" s="74">
        <f>SUM(K29/B29)*100</f>
        <v>100</v>
      </c>
    </row>
    <row r="30" spans="1:12" s="31" customFormat="1" ht="12.75">
      <c r="A30" s="92" t="s">
        <v>82</v>
      </c>
      <c r="B30" s="149"/>
      <c r="C30" s="149"/>
      <c r="D30" s="157"/>
      <c r="E30" s="149"/>
      <c r="F30" s="151"/>
      <c r="G30" s="149"/>
      <c r="H30" s="151"/>
      <c r="I30" s="149"/>
      <c r="J30" s="151"/>
      <c r="K30" s="149"/>
      <c r="L30" s="152"/>
    </row>
    <row r="31" spans="1:12" s="31" customFormat="1" ht="13.5" thickBot="1">
      <c r="A31" s="32" t="s">
        <v>79</v>
      </c>
      <c r="B31" s="103">
        <v>2000</v>
      </c>
      <c r="C31" s="153"/>
      <c r="D31" s="158">
        <f>SUM(C31/B31)*100</f>
        <v>0</v>
      </c>
      <c r="E31" s="153"/>
      <c r="F31" s="155">
        <f>SUM(E31/B31)*100</f>
        <v>0</v>
      </c>
      <c r="G31" s="153"/>
      <c r="H31" s="155"/>
      <c r="I31" s="153"/>
      <c r="J31" s="155"/>
      <c r="K31" s="153">
        <f>SUM(B31-C31-E31-G31-I31)</f>
        <v>2000</v>
      </c>
      <c r="L31" s="156">
        <f>SUM(K31/B31)*100</f>
        <v>100</v>
      </c>
    </row>
    <row r="32" spans="1:12" s="31" customFormat="1" ht="13.5" thickBot="1">
      <c r="A32" s="105" t="s">
        <v>89</v>
      </c>
      <c r="B32" s="134">
        <f>SUM(B31)</f>
        <v>2000</v>
      </c>
      <c r="C32" s="134"/>
      <c r="D32" s="140">
        <f>SUM(C32/B32)*100</f>
        <v>0</v>
      </c>
      <c r="E32" s="134"/>
      <c r="F32" s="137"/>
      <c r="G32" s="134"/>
      <c r="H32" s="137"/>
      <c r="I32" s="134"/>
      <c r="J32" s="137"/>
      <c r="K32" s="134">
        <f>SUM(K31)</f>
        <v>2000</v>
      </c>
      <c r="L32" s="156">
        <f>SUM(K32/B32)*100</f>
        <v>100</v>
      </c>
    </row>
    <row r="33" spans="1:12" s="31" customFormat="1" ht="12.75">
      <c r="A33" s="92" t="s">
        <v>82</v>
      </c>
      <c r="B33" s="141"/>
      <c r="C33" s="141"/>
      <c r="D33" s="142"/>
      <c r="E33" s="141"/>
      <c r="F33" s="143"/>
      <c r="G33" s="141"/>
      <c r="H33" s="143"/>
      <c r="I33" s="141"/>
      <c r="J33" s="143"/>
      <c r="K33" s="141"/>
      <c r="L33" s="144"/>
    </row>
    <row r="34" spans="1:12" s="31" customFormat="1" ht="13.5" thickBot="1">
      <c r="A34" s="32" t="s">
        <v>79</v>
      </c>
      <c r="B34" s="103">
        <v>5585</v>
      </c>
      <c r="C34" s="153"/>
      <c r="D34" s="158">
        <f>SUM(C34/B34)*100</f>
        <v>0</v>
      </c>
      <c r="E34" s="153"/>
      <c r="F34" s="155">
        <f>SUM(E34/B34)*100</f>
        <v>0</v>
      </c>
      <c r="G34" s="153"/>
      <c r="H34" s="155"/>
      <c r="I34" s="153"/>
      <c r="J34" s="155"/>
      <c r="K34" s="153">
        <f>SUM(B34-C34-E34-G34-I34)</f>
        <v>5585</v>
      </c>
      <c r="L34" s="156">
        <f>SUM(K34/B34)*100</f>
        <v>100</v>
      </c>
    </row>
    <row r="35" spans="1:12" s="31" customFormat="1" ht="13.5" thickBot="1">
      <c r="A35" s="105" t="s">
        <v>86</v>
      </c>
      <c r="B35" s="134">
        <f>SUM(B34)</f>
        <v>5585</v>
      </c>
      <c r="C35" s="134"/>
      <c r="D35" s="140">
        <f>SUM(C35/B35)*100</f>
        <v>0</v>
      </c>
      <c r="E35" s="134"/>
      <c r="F35" s="137"/>
      <c r="G35" s="134"/>
      <c r="H35" s="137"/>
      <c r="I35" s="134"/>
      <c r="J35" s="137"/>
      <c r="K35" s="134">
        <f>SUM(K34)</f>
        <v>5585</v>
      </c>
      <c r="L35" s="156">
        <f>SUM(K35/B35)*100</f>
        <v>100</v>
      </c>
    </row>
    <row r="36" spans="1:12" s="31" customFormat="1" ht="12.75">
      <c r="A36" s="92" t="s">
        <v>82</v>
      </c>
      <c r="B36" s="141"/>
      <c r="C36" s="141"/>
      <c r="D36" s="142"/>
      <c r="E36" s="141"/>
      <c r="F36" s="143"/>
      <c r="G36" s="141"/>
      <c r="H36" s="143"/>
      <c r="I36" s="141"/>
      <c r="J36" s="143"/>
      <c r="K36" s="141"/>
      <c r="L36" s="144"/>
    </row>
    <row r="37" spans="1:12" s="31" customFormat="1" ht="13.5" thickBot="1">
      <c r="A37" s="32" t="s">
        <v>79</v>
      </c>
      <c r="B37" s="103">
        <v>1000</v>
      </c>
      <c r="C37" s="153"/>
      <c r="D37" s="158">
        <f>SUM(C37/B37)*100</f>
        <v>0</v>
      </c>
      <c r="E37" s="153"/>
      <c r="F37" s="155">
        <f>SUM(E37/B37)*100</f>
        <v>0</v>
      </c>
      <c r="G37" s="153"/>
      <c r="H37" s="155"/>
      <c r="I37" s="153"/>
      <c r="J37" s="155"/>
      <c r="K37" s="153">
        <f>SUM(B37-C37-E37-G37-I37)</f>
        <v>1000</v>
      </c>
      <c r="L37" s="156">
        <f>SUM(K37/B37)*100</f>
        <v>100</v>
      </c>
    </row>
    <row r="38" spans="1:12" s="31" customFormat="1" ht="13.5" thickBot="1">
      <c r="A38" s="105" t="s">
        <v>87</v>
      </c>
      <c r="B38" s="134">
        <f>SUM(B37)</f>
        <v>1000</v>
      </c>
      <c r="C38" s="134"/>
      <c r="D38" s="140">
        <f>SUM(C38/B38)*100</f>
        <v>0</v>
      </c>
      <c r="E38" s="134"/>
      <c r="F38" s="137"/>
      <c r="G38" s="134"/>
      <c r="H38" s="137"/>
      <c r="I38" s="134"/>
      <c r="J38" s="137"/>
      <c r="K38" s="134">
        <f>SUM(K37)</f>
        <v>1000</v>
      </c>
      <c r="L38" s="156">
        <f>SUM(K38/B38)*100</f>
        <v>100</v>
      </c>
    </row>
    <row r="39" spans="1:12" s="31" customFormat="1" ht="12.75">
      <c r="A39" s="92" t="s">
        <v>82</v>
      </c>
      <c r="B39" s="141"/>
      <c r="C39" s="141"/>
      <c r="D39" s="142"/>
      <c r="E39" s="141"/>
      <c r="F39" s="143"/>
      <c r="G39" s="141"/>
      <c r="H39" s="143"/>
      <c r="I39" s="141"/>
      <c r="J39" s="143"/>
      <c r="K39" s="141"/>
      <c r="L39" s="144"/>
    </row>
    <row r="40" spans="1:12" s="31" customFormat="1" ht="13.5" thickBot="1">
      <c r="A40" s="32" t="s">
        <v>79</v>
      </c>
      <c r="B40" s="159">
        <v>1000</v>
      </c>
      <c r="C40" s="160"/>
      <c r="D40" s="146">
        <f>SUM(C40/B40)*100</f>
        <v>0</v>
      </c>
      <c r="E40" s="160"/>
      <c r="F40" s="161">
        <f>SUM(E40/B40)*100</f>
        <v>0</v>
      </c>
      <c r="G40" s="160"/>
      <c r="H40" s="161"/>
      <c r="I40" s="160"/>
      <c r="J40" s="161"/>
      <c r="K40" s="160">
        <f>SUM(B40-C40-E40-G40-I40)</f>
        <v>1000</v>
      </c>
      <c r="L40" s="162">
        <f>SUM(K40/B40)*100</f>
        <v>100</v>
      </c>
    </row>
    <row r="41" spans="1:12" s="31" customFormat="1" ht="13.5" thickBot="1">
      <c r="A41" s="29" t="s">
        <v>88</v>
      </c>
      <c r="B41" s="134">
        <f>SUM(B40)</f>
        <v>1000</v>
      </c>
      <c r="C41" s="134"/>
      <c r="D41" s="140">
        <f>SUM(C41/B41)*100</f>
        <v>0</v>
      </c>
      <c r="E41" s="134"/>
      <c r="F41" s="137"/>
      <c r="G41" s="134"/>
      <c r="H41" s="137"/>
      <c r="I41" s="134"/>
      <c r="J41" s="137"/>
      <c r="K41" s="134">
        <f>SUM(K40)</f>
        <v>1000</v>
      </c>
      <c r="L41" s="162">
        <f>SUM(K41/B41)*100</f>
        <v>100</v>
      </c>
    </row>
    <row r="42" spans="1:12" s="31" customFormat="1" ht="12.75">
      <c r="A42" s="92" t="s">
        <v>82</v>
      </c>
      <c r="B42" s="141"/>
      <c r="C42" s="141"/>
      <c r="D42" s="142"/>
      <c r="E42" s="141"/>
      <c r="F42" s="143"/>
      <c r="G42" s="141"/>
      <c r="H42" s="143"/>
      <c r="I42" s="141"/>
      <c r="J42" s="143"/>
      <c r="K42" s="141"/>
      <c r="L42" s="144"/>
    </row>
    <row r="43" spans="1:12" s="31" customFormat="1" ht="13.5" thickBot="1">
      <c r="A43" s="32" t="s">
        <v>79</v>
      </c>
      <c r="B43" s="153">
        <v>1039</v>
      </c>
      <c r="C43" s="153"/>
      <c r="D43" s="158">
        <f>SUM(C43/B43)*100</f>
        <v>0</v>
      </c>
      <c r="E43" s="153"/>
      <c r="F43" s="155">
        <f>SUM(E43/B43)*100</f>
        <v>0</v>
      </c>
      <c r="G43" s="153"/>
      <c r="H43" s="155"/>
      <c r="I43" s="153"/>
      <c r="J43" s="155"/>
      <c r="K43" s="153">
        <f>SUM(B43-C43-E43-G43-I43)</f>
        <v>1039</v>
      </c>
      <c r="L43" s="156">
        <f>SUM(K43/B43)*100</f>
        <v>100</v>
      </c>
    </row>
    <row r="44" spans="1:12" s="31" customFormat="1" ht="13.5" thickBot="1">
      <c r="A44" s="29" t="s">
        <v>90</v>
      </c>
      <c r="B44" s="134">
        <f>SUM(B43)</f>
        <v>1039</v>
      </c>
      <c r="C44" s="134"/>
      <c r="D44" s="158">
        <f>SUM(C44/B44)*100</f>
        <v>0</v>
      </c>
      <c r="E44" s="134"/>
      <c r="F44" s="137"/>
      <c r="G44" s="134"/>
      <c r="H44" s="137"/>
      <c r="I44" s="134"/>
      <c r="J44" s="137"/>
      <c r="K44" s="134">
        <f>SUM(K43)</f>
        <v>1039</v>
      </c>
      <c r="L44" s="156">
        <f>SUM(K44/B44)*100</f>
        <v>100</v>
      </c>
    </row>
    <row r="45" spans="1:12" s="31" customFormat="1" ht="13.5" thickBot="1">
      <c r="A45" s="94" t="s">
        <v>82</v>
      </c>
      <c r="B45" s="134"/>
      <c r="C45" s="134"/>
      <c r="D45" s="140"/>
      <c r="E45" s="134"/>
      <c r="F45" s="137"/>
      <c r="G45" s="134"/>
      <c r="H45" s="137"/>
      <c r="I45" s="134"/>
      <c r="J45" s="137"/>
      <c r="K45" s="134"/>
      <c r="L45" s="138"/>
    </row>
    <row r="46" spans="1:12" s="31" customFormat="1" ht="13.5" thickBot="1">
      <c r="A46" s="112" t="s">
        <v>79</v>
      </c>
      <c r="B46" s="141">
        <v>1300</v>
      </c>
      <c r="C46" s="141"/>
      <c r="D46" s="142">
        <f>SUM(C46/B46)*100</f>
        <v>0</v>
      </c>
      <c r="E46" s="141"/>
      <c r="F46" s="143">
        <f>SUM(E46/B46)*100</f>
        <v>0</v>
      </c>
      <c r="G46" s="141"/>
      <c r="H46" s="143"/>
      <c r="I46" s="141"/>
      <c r="J46" s="143"/>
      <c r="K46" s="141">
        <f>SUM(B46-C46-E46-G46-I46)</f>
        <v>1300</v>
      </c>
      <c r="L46" s="144">
        <f>SUM(K46/B46)*100</f>
        <v>100</v>
      </c>
    </row>
    <row r="47" spans="1:12" s="31" customFormat="1" ht="13.5" thickBot="1">
      <c r="A47" s="111" t="s">
        <v>91</v>
      </c>
      <c r="B47" s="153">
        <f>SUM(B46)</f>
        <v>1300</v>
      </c>
      <c r="C47" s="153"/>
      <c r="D47" s="158">
        <f>SUM(C47/B47)*100</f>
        <v>0</v>
      </c>
      <c r="E47" s="153"/>
      <c r="F47" s="155">
        <f>SUM(E47/B47)*100</f>
        <v>0</v>
      </c>
      <c r="G47" s="153"/>
      <c r="H47" s="155"/>
      <c r="I47" s="153"/>
      <c r="J47" s="155"/>
      <c r="K47" s="153">
        <f>SUM(K46)</f>
        <v>1300</v>
      </c>
      <c r="L47" s="144">
        <f>SUM(K47/B47)*100</f>
        <v>100</v>
      </c>
    </row>
    <row r="48" spans="1:12" s="31" customFormat="1" ht="13.5" thickBot="1">
      <c r="A48" s="163" t="s">
        <v>17</v>
      </c>
      <c r="B48" s="134">
        <f>SUM(B21,B18,B26,B35,B38,B41,B44,B47,B32,B29)</f>
        <v>16853319</v>
      </c>
      <c r="C48" s="134">
        <f aca="true" t="shared" si="2" ref="C48:K48">SUM(C21,C18,C26,C35,C38,C41,C44,C47,C32,C29)</f>
        <v>981094</v>
      </c>
      <c r="D48" s="158">
        <f>SUM(C48/B48)*100</f>
        <v>5.8213696661173975</v>
      </c>
      <c r="E48" s="209">
        <f t="shared" si="2"/>
        <v>3457896</v>
      </c>
      <c r="F48" s="211">
        <f>SUM(E48/B48)*100</f>
        <v>20.517596563620497</v>
      </c>
      <c r="G48" s="210">
        <f t="shared" si="2"/>
        <v>0</v>
      </c>
      <c r="H48" s="134">
        <f t="shared" si="2"/>
        <v>0</v>
      </c>
      <c r="I48" s="134">
        <f t="shared" si="2"/>
        <v>10629880</v>
      </c>
      <c r="J48" s="134">
        <f>SUM(I48/B48)*100</f>
        <v>63.07291756597024</v>
      </c>
      <c r="K48" s="209">
        <f t="shared" si="2"/>
        <v>1784449</v>
      </c>
      <c r="L48" s="211">
        <f>SUM(K48/B48)*100</f>
        <v>10.588116204291866</v>
      </c>
    </row>
    <row r="49" spans="3:11" ht="12.75">
      <c r="C49" s="164"/>
      <c r="D49" s="165"/>
      <c r="E49" s="166"/>
      <c r="F49" s="167"/>
      <c r="G49" s="166"/>
      <c r="H49" s="167"/>
      <c r="I49" s="167"/>
      <c r="J49" s="167"/>
      <c r="K49" s="164"/>
    </row>
    <row r="51" spans="3:4" ht="12.75">
      <c r="C51" s="48"/>
      <c r="D51" s="48"/>
    </row>
  </sheetData>
  <sheetProtection/>
  <mergeCells count="2">
    <mergeCell ref="K1:L1"/>
    <mergeCell ref="A2:L3"/>
  </mergeCells>
  <printOptions/>
  <pageMargins left="0.9448818897637796" right="0.15748031496062992" top="0.1968503937007874" bottom="0.1968503937007874" header="0.2755905511811024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1"/>
  <sheetViews>
    <sheetView zoomScalePageLayoutView="0" workbookViewId="0" topLeftCell="B1">
      <selection activeCell="D31" sqref="D31:E31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3" t="s">
        <v>30</v>
      </c>
      <c r="M1" s="173"/>
    </row>
    <row r="2" spans="2:13" ht="18" customHeight="1">
      <c r="B2" s="172" t="s">
        <v>109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51.75" customHeight="1" thickBot="1">
      <c r="B4" s="37" t="s">
        <v>3</v>
      </c>
      <c r="C4" s="45" t="s">
        <v>65</v>
      </c>
      <c r="D4" s="45" t="s">
        <v>80</v>
      </c>
      <c r="E4" s="46" t="s">
        <v>70</v>
      </c>
      <c r="F4" s="45" t="s">
        <v>60</v>
      </c>
      <c r="G4" s="46" t="s">
        <v>71</v>
      </c>
      <c r="H4" s="45" t="s">
        <v>81</v>
      </c>
      <c r="I4" s="46" t="s">
        <v>73</v>
      </c>
      <c r="J4" s="46" t="s">
        <v>76</v>
      </c>
      <c r="K4" s="46" t="s">
        <v>48</v>
      </c>
      <c r="L4" s="47" t="s">
        <v>74</v>
      </c>
      <c r="M4" s="54" t="s">
        <v>75</v>
      </c>
    </row>
    <row r="5" spans="2:13" ht="12" customHeight="1">
      <c r="B5" s="92" t="s">
        <v>77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78</v>
      </c>
      <c r="C6" s="19">
        <f>62057+1534+3998+16559+3207+649</f>
        <v>88004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>
        <v>62057</v>
      </c>
      <c r="K6" s="17">
        <f>SUM(J6/C6)*100</f>
        <v>70.51611290395891</v>
      </c>
      <c r="L6" s="16">
        <f>SUM(C6-D6-F6-H6-J6)</f>
        <v>25947</v>
      </c>
      <c r="M6" s="22">
        <f>SUM(L6/C6)*100</f>
        <v>29.48388709604109</v>
      </c>
    </row>
    <row r="7" spans="2:13" ht="12" customHeight="1">
      <c r="B7" s="14" t="s">
        <v>79</v>
      </c>
      <c r="C7" s="19">
        <f>33000+30000+1950+23290</f>
        <v>88240</v>
      </c>
      <c r="D7" s="20"/>
      <c r="E7" s="21">
        <f>SUM(D7/C7)*100</f>
        <v>0</v>
      </c>
      <c r="F7" s="20"/>
      <c r="G7" s="17">
        <f>SUM(F7/C7)*100</f>
        <v>0</v>
      </c>
      <c r="H7" s="20"/>
      <c r="I7" s="63">
        <f>SUM(H7/C7)*100</f>
        <v>0</v>
      </c>
      <c r="J7" s="16">
        <v>63000</v>
      </c>
      <c r="K7" s="17">
        <f>SUM(J7/C7)*100</f>
        <v>71.39619220308249</v>
      </c>
      <c r="L7" s="16">
        <f>SUM(C7-D7-F7-H7-J7)</f>
        <v>25240</v>
      </c>
      <c r="M7" s="22">
        <f>SUM(L7/C7)*100</f>
        <v>28.603807796917497</v>
      </c>
    </row>
    <row r="8" spans="2:13" ht="12" customHeight="1">
      <c r="B8" s="93" t="s">
        <v>82</v>
      </c>
      <c r="C8" s="19"/>
      <c r="D8" s="20"/>
      <c r="E8" s="21"/>
      <c r="F8" s="20"/>
      <c r="G8" s="21"/>
      <c r="H8" s="20"/>
      <c r="I8" s="63"/>
      <c r="J8" s="16"/>
      <c r="K8" s="17"/>
      <c r="L8" s="16"/>
      <c r="M8" s="22"/>
    </row>
    <row r="9" spans="2:13" ht="12" customHeight="1" thickBot="1">
      <c r="B9" s="14" t="s">
        <v>79</v>
      </c>
      <c r="C9" s="19">
        <f>27686+19050</f>
        <v>46736</v>
      </c>
      <c r="D9" s="20"/>
      <c r="E9" s="21">
        <f>SUM(D9/C9)*100</f>
        <v>0</v>
      </c>
      <c r="F9" s="20"/>
      <c r="G9" s="21">
        <f>SUM(F9/C9)*100</f>
        <v>0</v>
      </c>
      <c r="H9" s="20"/>
      <c r="I9" s="63">
        <f>SUM(H9/C9)*100</f>
        <v>0</v>
      </c>
      <c r="J9" s="16">
        <v>27686</v>
      </c>
      <c r="K9" s="17">
        <f>SUM(J9/C9)*100</f>
        <v>59.2391304347826</v>
      </c>
      <c r="L9" s="16">
        <f>SUM(C9-D9-F9-H9-J9)</f>
        <v>19050</v>
      </c>
      <c r="M9" s="22">
        <f>SUM(L9/C9)*100</f>
        <v>40.76086956521739</v>
      </c>
    </row>
    <row r="10" spans="2:13" s="31" customFormat="1" ht="12" customHeight="1" thickBot="1">
      <c r="B10" s="29" t="s">
        <v>39</v>
      </c>
      <c r="C10" s="26">
        <f>SUM(C5:C9)</f>
        <v>222980</v>
      </c>
      <c r="D10" s="26">
        <f>SUM(D5:D9)</f>
        <v>0</v>
      </c>
      <c r="E10" s="56">
        <f>SUM(D10/C10)*100</f>
        <v>0</v>
      </c>
      <c r="F10" s="26">
        <f>SUM(F5:F9)</f>
        <v>0</v>
      </c>
      <c r="G10" s="56">
        <f>SUM(F10/C10)*100</f>
        <v>0</v>
      </c>
      <c r="H10" s="26">
        <f>SUM(H5:H9)</f>
        <v>0</v>
      </c>
      <c r="I10" s="56">
        <f>SUM(H10/C10)*100</f>
        <v>0</v>
      </c>
      <c r="J10" s="26">
        <f>SUM(J5:J9)</f>
        <v>152743</v>
      </c>
      <c r="K10" s="30">
        <f>SUM(J10/C10)*100</f>
        <v>68.50076240021527</v>
      </c>
      <c r="L10" s="26">
        <f>SUM(L5:L9)</f>
        <v>70237</v>
      </c>
      <c r="M10" s="74">
        <f>SUM(L10/C10)*100</f>
        <v>31.499237599784735</v>
      </c>
    </row>
    <row r="11" spans="2:13" s="80" customFormat="1" ht="12" customHeight="1">
      <c r="B11" s="92" t="s">
        <v>77</v>
      </c>
      <c r="C11" s="19"/>
      <c r="D11" s="75"/>
      <c r="E11" s="21"/>
      <c r="F11" s="75"/>
      <c r="G11" s="76"/>
      <c r="H11" s="75"/>
      <c r="I11" s="77"/>
      <c r="J11" s="78"/>
      <c r="K11" s="79"/>
      <c r="L11" s="16"/>
      <c r="M11" s="22"/>
    </row>
    <row r="12" spans="2:13" s="80" customFormat="1" ht="12" customHeight="1">
      <c r="B12" s="14" t="s">
        <v>79</v>
      </c>
      <c r="C12" s="19"/>
      <c r="D12" s="75"/>
      <c r="E12" s="21"/>
      <c r="F12" s="75"/>
      <c r="G12" s="76"/>
      <c r="H12" s="75"/>
      <c r="I12" s="77"/>
      <c r="J12" s="78"/>
      <c r="K12" s="79"/>
      <c r="L12" s="16">
        <f>SUM(C12-D12-F12-H12-J12)</f>
        <v>0</v>
      </c>
      <c r="M12" s="22"/>
    </row>
    <row r="13" spans="2:13" s="80" customFormat="1" ht="12" customHeight="1">
      <c r="B13" s="93" t="s">
        <v>82</v>
      </c>
      <c r="C13" s="19"/>
      <c r="D13" s="75"/>
      <c r="E13" s="21"/>
      <c r="F13" s="75"/>
      <c r="G13" s="76"/>
      <c r="H13" s="75"/>
      <c r="I13" s="77"/>
      <c r="J13" s="78"/>
      <c r="K13" s="79"/>
      <c r="L13" s="16"/>
      <c r="M13" s="22"/>
    </row>
    <row r="14" spans="2:13" s="80" customFormat="1" ht="12" customHeight="1">
      <c r="B14" s="14" t="s">
        <v>78</v>
      </c>
      <c r="C14" s="19"/>
      <c r="D14" s="75"/>
      <c r="E14" s="21"/>
      <c r="F14" s="75"/>
      <c r="G14" s="76"/>
      <c r="H14" s="75"/>
      <c r="I14" s="77"/>
      <c r="J14" s="78"/>
      <c r="K14" s="79"/>
      <c r="L14" s="16"/>
      <c r="M14" s="22"/>
    </row>
    <row r="15" spans="2:13" s="80" customFormat="1" ht="12" customHeight="1" thickBot="1">
      <c r="B15" s="14" t="s">
        <v>79</v>
      </c>
      <c r="C15" s="23"/>
      <c r="D15" s="81"/>
      <c r="E15" s="24"/>
      <c r="F15" s="81"/>
      <c r="G15" s="82"/>
      <c r="H15" s="81"/>
      <c r="I15" s="77"/>
      <c r="J15" s="83"/>
      <c r="K15" s="79"/>
      <c r="L15" s="16"/>
      <c r="M15" s="73"/>
    </row>
    <row r="16" spans="2:13" s="31" customFormat="1" ht="12" customHeight="1" thickBot="1">
      <c r="B16" s="29" t="s">
        <v>38</v>
      </c>
      <c r="C16" s="26">
        <f>SUM(C11:C15)</f>
        <v>0</v>
      </c>
      <c r="D16" s="26">
        <f aca="true" t="shared" si="0" ref="D16:L16">SUM(D11:D15)</f>
        <v>0</v>
      </c>
      <c r="E16" s="30"/>
      <c r="F16" s="26">
        <f t="shared" si="0"/>
        <v>0</v>
      </c>
      <c r="G16" s="30"/>
      <c r="H16" s="26">
        <f t="shared" si="0"/>
        <v>0</v>
      </c>
      <c r="I16" s="56"/>
      <c r="J16" s="26">
        <f>SUM(J11:J15)</f>
        <v>0</v>
      </c>
      <c r="K16" s="30"/>
      <c r="L16" s="26">
        <f t="shared" si="0"/>
        <v>0</v>
      </c>
      <c r="M16" s="41"/>
    </row>
    <row r="17" spans="2:13" ht="12" customHeight="1">
      <c r="B17" s="93" t="s">
        <v>82</v>
      </c>
      <c r="C17" s="85"/>
      <c r="D17" s="86"/>
      <c r="E17" s="87"/>
      <c r="F17" s="86"/>
      <c r="G17" s="87"/>
      <c r="H17" s="86"/>
      <c r="I17" s="88"/>
      <c r="J17" s="86"/>
      <c r="K17" s="87"/>
      <c r="L17" s="86"/>
      <c r="M17" s="89"/>
    </row>
    <row r="18" spans="2:13" ht="12" customHeight="1" thickBot="1">
      <c r="B18" s="14" t="s">
        <v>79</v>
      </c>
      <c r="C18" s="27">
        <v>20000</v>
      </c>
      <c r="D18" s="28"/>
      <c r="E18" s="39">
        <f>SUM(D18/C18)*100</f>
        <v>0</v>
      </c>
      <c r="F18" s="28"/>
      <c r="G18" s="39">
        <f>SUM(F18/C18)*100</f>
        <v>0</v>
      </c>
      <c r="H18" s="28"/>
      <c r="I18" s="64">
        <f>SUM(H18/C18)*100</f>
        <v>0</v>
      </c>
      <c r="J18" s="28"/>
      <c r="K18" s="39">
        <f>SUM(J18/C18)*100</f>
        <v>0</v>
      </c>
      <c r="L18" s="28">
        <f>SUM(C18-D18-F18-H18-J18)</f>
        <v>20000</v>
      </c>
      <c r="M18" s="40">
        <f>SUM(L18/C18)*100</f>
        <v>100</v>
      </c>
    </row>
    <row r="19" spans="2:13" ht="12" customHeight="1" thickBot="1">
      <c r="B19" s="29" t="s">
        <v>52</v>
      </c>
      <c r="C19" s="26">
        <f>SUM(C17:C18)</f>
        <v>20000</v>
      </c>
      <c r="D19" s="26">
        <f>SUM(D17:D18)</f>
        <v>0</v>
      </c>
      <c r="E19" s="56">
        <f>SUM(D19/C19)*100</f>
        <v>0</v>
      </c>
      <c r="F19" s="26">
        <f aca="true" t="shared" si="1" ref="F19:L19">SUM(F17:F18)</f>
        <v>0</v>
      </c>
      <c r="G19" s="56">
        <f t="shared" si="1"/>
        <v>0</v>
      </c>
      <c r="H19" s="26">
        <f t="shared" si="1"/>
        <v>0</v>
      </c>
      <c r="I19" s="56">
        <f t="shared" si="1"/>
        <v>0</v>
      </c>
      <c r="J19" s="26">
        <f t="shared" si="1"/>
        <v>0</v>
      </c>
      <c r="K19" s="30">
        <f t="shared" si="1"/>
        <v>0</v>
      </c>
      <c r="L19" s="26">
        <f t="shared" si="1"/>
        <v>20000</v>
      </c>
      <c r="M19" s="74">
        <f>SUM(L19/C19)*100</f>
        <v>100</v>
      </c>
    </row>
    <row r="20" spans="2:13" ht="12" customHeight="1">
      <c r="B20" s="93" t="s">
        <v>82</v>
      </c>
      <c r="C20" s="99"/>
      <c r="D20" s="99"/>
      <c r="E20" s="106"/>
      <c r="F20" s="99"/>
      <c r="G20" s="106"/>
      <c r="H20" s="99"/>
      <c r="I20" s="106"/>
      <c r="J20" s="99"/>
      <c r="K20" s="104"/>
      <c r="L20" s="99"/>
      <c r="M20" s="107"/>
    </row>
    <row r="21" spans="2:13" ht="12" customHeight="1" thickBot="1">
      <c r="B21" s="14" t="s">
        <v>79</v>
      </c>
      <c r="C21" s="103"/>
      <c r="D21" s="101"/>
      <c r="E21" s="108"/>
      <c r="F21" s="101"/>
      <c r="G21" s="108"/>
      <c r="H21" s="101"/>
      <c r="I21" s="108"/>
      <c r="J21" s="101"/>
      <c r="K21" s="102"/>
      <c r="L21" s="101"/>
      <c r="M21" s="109"/>
    </row>
    <row r="22" spans="2:13" ht="12" customHeight="1" thickBot="1">
      <c r="B22" s="29" t="s">
        <v>89</v>
      </c>
      <c r="C22" s="26">
        <f>SUM(C21)</f>
        <v>0</v>
      </c>
      <c r="D22" s="26"/>
      <c r="E22" s="56"/>
      <c r="F22" s="26"/>
      <c r="G22" s="56"/>
      <c r="H22" s="26"/>
      <c r="I22" s="56"/>
      <c r="J22" s="26"/>
      <c r="K22" s="95"/>
      <c r="L22" s="26"/>
      <c r="M22" s="74"/>
    </row>
    <row r="23" spans="2:13" ht="12" customHeight="1">
      <c r="B23" s="93" t="s">
        <v>82</v>
      </c>
      <c r="C23" s="99"/>
      <c r="D23" s="99"/>
      <c r="E23" s="106"/>
      <c r="F23" s="99"/>
      <c r="G23" s="106"/>
      <c r="H23" s="99"/>
      <c r="I23" s="106"/>
      <c r="J23" s="99"/>
      <c r="K23" s="104"/>
      <c r="L23" s="99"/>
      <c r="M23" s="107"/>
    </row>
    <row r="24" spans="2:13" ht="12" customHeight="1" thickBot="1">
      <c r="B24" s="14" t="s">
        <v>79</v>
      </c>
      <c r="C24" s="103"/>
      <c r="D24" s="101"/>
      <c r="E24" s="108"/>
      <c r="F24" s="101"/>
      <c r="G24" s="108"/>
      <c r="H24" s="101"/>
      <c r="I24" s="108"/>
      <c r="J24" s="101"/>
      <c r="K24" s="102"/>
      <c r="L24" s="101"/>
      <c r="M24" s="109"/>
    </row>
    <row r="25" spans="2:13" ht="12" customHeight="1" thickBot="1">
      <c r="B25" s="29" t="s">
        <v>90</v>
      </c>
      <c r="C25" s="26">
        <f>SUM(C24)</f>
        <v>0</v>
      </c>
      <c r="D25" s="26"/>
      <c r="E25" s="56"/>
      <c r="F25" s="26"/>
      <c r="G25" s="56"/>
      <c r="H25" s="26"/>
      <c r="I25" s="56"/>
      <c r="J25" s="26"/>
      <c r="K25" s="95"/>
      <c r="L25" s="26"/>
      <c r="M25" s="74"/>
    </row>
    <row r="26" spans="2:13" ht="12" customHeight="1">
      <c r="B26" s="110" t="s">
        <v>82</v>
      </c>
      <c r="C26" s="99"/>
      <c r="D26" s="99"/>
      <c r="E26" s="106"/>
      <c r="F26" s="99"/>
      <c r="G26" s="106"/>
      <c r="H26" s="99"/>
      <c r="I26" s="106"/>
      <c r="J26" s="99"/>
      <c r="K26" s="104"/>
      <c r="L26" s="99"/>
      <c r="M26" s="107"/>
    </row>
    <row r="27" spans="2:13" ht="12" customHeight="1" thickBot="1">
      <c r="B27" s="38" t="s">
        <v>79</v>
      </c>
      <c r="C27" s="103"/>
      <c r="D27" s="101"/>
      <c r="E27" s="108"/>
      <c r="F27" s="101"/>
      <c r="G27" s="108"/>
      <c r="H27" s="101"/>
      <c r="I27" s="108"/>
      <c r="J27" s="101"/>
      <c r="K27" s="102"/>
      <c r="L27" s="101"/>
      <c r="M27" s="109"/>
    </row>
    <row r="28" spans="2:13" ht="12" customHeight="1" thickBot="1">
      <c r="B28" s="29" t="s">
        <v>91</v>
      </c>
      <c r="C28" s="26">
        <f>SUM(C27)</f>
        <v>0</v>
      </c>
      <c r="D28" s="26"/>
      <c r="E28" s="56"/>
      <c r="F28" s="26"/>
      <c r="G28" s="56"/>
      <c r="H28" s="26"/>
      <c r="I28" s="56"/>
      <c r="J28" s="26"/>
      <c r="K28" s="95"/>
      <c r="L28" s="26"/>
      <c r="M28" s="74"/>
    </row>
    <row r="29" spans="2:16" s="4" customFormat="1" ht="12" customHeight="1" thickBot="1">
      <c r="B29" s="25" t="s">
        <v>17</v>
      </c>
      <c r="C29" s="26">
        <f>SUM(C19,C16,C10,C22,C25,C28)</f>
        <v>242980</v>
      </c>
      <c r="D29" s="26">
        <f aca="true" t="shared" si="2" ref="D29:L29">SUM(D19,D16,D10)</f>
        <v>0</v>
      </c>
      <c r="E29" s="56">
        <f>SUM(D29/C29)*100</f>
        <v>0</v>
      </c>
      <c r="F29" s="26">
        <f t="shared" si="2"/>
        <v>0</v>
      </c>
      <c r="G29" s="56">
        <f>SUM(G18:G19)</f>
        <v>0</v>
      </c>
      <c r="H29" s="26">
        <f t="shared" si="2"/>
        <v>0</v>
      </c>
      <c r="I29" s="56">
        <f>SUM(I18:I19)</f>
        <v>0</v>
      </c>
      <c r="J29" s="26">
        <f t="shared" si="2"/>
        <v>152743</v>
      </c>
      <c r="K29" s="39">
        <f>SUM(J29/C29)*100</f>
        <v>62.86237550415672</v>
      </c>
      <c r="L29" s="26">
        <f t="shared" si="2"/>
        <v>90237</v>
      </c>
      <c r="M29" s="74">
        <f>SUM(L29/C29)*100</f>
        <v>37.13762449584328</v>
      </c>
      <c r="O29" s="90"/>
      <c r="P29" s="90"/>
    </row>
    <row r="30" spans="2:13" ht="12.75">
      <c r="B30" s="8"/>
      <c r="C30" s="9"/>
      <c r="D30" s="9"/>
      <c r="E30" s="13"/>
      <c r="F30" s="9"/>
      <c r="G30" s="10"/>
      <c r="H30" s="60"/>
      <c r="I30" s="65"/>
      <c r="J30" s="11"/>
      <c r="K30" s="68"/>
      <c r="L30" s="12"/>
      <c r="M30" s="8"/>
    </row>
    <row r="31" ht="12.75">
      <c r="E31" s="3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20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70" t="s">
        <v>31</v>
      </c>
      <c r="L1" s="170"/>
    </row>
    <row r="2" spans="1:12" ht="12.75">
      <c r="A2" s="171" t="s">
        <v>108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2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3.5" thickBot="1">
      <c r="A4" s="57"/>
      <c r="B4" s="57"/>
      <c r="C4" s="57"/>
      <c r="D4" s="70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3</v>
      </c>
      <c r="B5" s="45" t="s">
        <v>69</v>
      </c>
      <c r="C5" s="45" t="s">
        <v>80</v>
      </c>
      <c r="D5" s="46" t="s">
        <v>70</v>
      </c>
      <c r="E5" s="45" t="s">
        <v>60</v>
      </c>
      <c r="F5" s="46" t="s">
        <v>71</v>
      </c>
      <c r="G5" s="45" t="s">
        <v>81</v>
      </c>
      <c r="H5" s="46" t="s">
        <v>73</v>
      </c>
      <c r="I5" s="46" t="s">
        <v>76</v>
      </c>
      <c r="J5" s="46" t="s">
        <v>48</v>
      </c>
      <c r="K5" s="47" t="s">
        <v>74</v>
      </c>
      <c r="L5" s="54" t="s">
        <v>75</v>
      </c>
    </row>
    <row r="6" spans="1:12" ht="12.75">
      <c r="A6" s="92"/>
      <c r="B6" s="15"/>
      <c r="C6" s="15"/>
      <c r="D6" s="96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92</v>
      </c>
      <c r="B7" s="19">
        <f>8000000+5000000</f>
        <v>13000000</v>
      </c>
      <c r="C7" s="19"/>
      <c r="D7" s="97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13000000</v>
      </c>
      <c r="L7" s="22">
        <f>SUM(K7/B7)*100</f>
        <v>100</v>
      </c>
    </row>
    <row r="8" spans="1:12" ht="12.75">
      <c r="A8" s="14" t="s">
        <v>94</v>
      </c>
      <c r="B8" s="19">
        <f>105172+150+720</f>
        <v>106042</v>
      </c>
      <c r="C8" s="19"/>
      <c r="D8" s="97">
        <f>SUM(C8/B8)*100</f>
        <v>0</v>
      </c>
      <c r="E8" s="20"/>
      <c r="F8" s="21">
        <f>SUM(E8/B8)*100</f>
        <v>0</v>
      </c>
      <c r="G8" s="20"/>
      <c r="H8" s="21">
        <f>SUM(G8/B8*100)</f>
        <v>0</v>
      </c>
      <c r="I8" s="20"/>
      <c r="J8" s="17">
        <f>SUM(I8/B8*100)</f>
        <v>0</v>
      </c>
      <c r="K8" s="20">
        <f>SUM(B8-C8-E8-G8-I8)</f>
        <v>106042</v>
      </c>
      <c r="L8" s="22">
        <f>SUM(K8/B8)*100</f>
        <v>100</v>
      </c>
    </row>
    <row r="9" spans="1:12" ht="13.5" thickBot="1">
      <c r="A9" s="14"/>
      <c r="B9" s="19"/>
      <c r="C9" s="19"/>
      <c r="D9" s="97"/>
      <c r="E9" s="20"/>
      <c r="F9" s="21"/>
      <c r="G9" s="20"/>
      <c r="H9" s="21"/>
      <c r="I9" s="20"/>
      <c r="J9" s="17"/>
      <c r="K9" s="20"/>
      <c r="L9" s="22"/>
    </row>
    <row r="10" spans="1:12" s="31" customFormat="1" ht="13.5" thickBot="1">
      <c r="A10" s="29" t="s">
        <v>39</v>
      </c>
      <c r="B10" s="26">
        <f>SUM(B6:B9)</f>
        <v>13106042</v>
      </c>
      <c r="C10" s="26">
        <f>SUM(C6:C9)</f>
        <v>0</v>
      </c>
      <c r="D10" s="98">
        <f>SUM(C10/B10)*100</f>
        <v>0</v>
      </c>
      <c r="E10" s="26">
        <f>SUM(E6:E9)</f>
        <v>0</v>
      </c>
      <c r="F10" s="56">
        <f>SUM(E10/B10*100)</f>
        <v>0</v>
      </c>
      <c r="G10" s="26">
        <f>SUM(G6:G9)</f>
        <v>0</v>
      </c>
      <c r="H10" s="30">
        <f>SUM(G10/B10*100)</f>
        <v>0</v>
      </c>
      <c r="I10" s="26">
        <f>SUM(I6:I9)</f>
        <v>0</v>
      </c>
      <c r="J10" s="30">
        <f>SUM(I10/B10*100)</f>
        <v>0</v>
      </c>
      <c r="K10" s="26">
        <f>SUM(K6:K9)</f>
        <v>13106042</v>
      </c>
      <c r="L10" s="41">
        <f>SUM(K10/B10)*100</f>
        <v>100</v>
      </c>
    </row>
    <row r="11" spans="3:11" ht="12.75">
      <c r="C11" s="6"/>
      <c r="D11" s="71"/>
      <c r="E11" s="3"/>
      <c r="F11" s="2"/>
      <c r="G11" s="3"/>
      <c r="H11" s="2"/>
      <c r="I11" s="2"/>
      <c r="J11" s="2"/>
      <c r="K11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B1">
      <selection activeCell="F33" sqref="F3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73" t="s">
        <v>30</v>
      </c>
      <c r="M1" s="173"/>
    </row>
    <row r="2" spans="2:13" ht="18" customHeight="1"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51.75" customHeight="1" thickBot="1">
      <c r="B4" s="37" t="s">
        <v>3</v>
      </c>
      <c r="C4" s="45" t="s">
        <v>65</v>
      </c>
      <c r="D4" s="45" t="s">
        <v>80</v>
      </c>
      <c r="E4" s="46" t="s">
        <v>70</v>
      </c>
      <c r="F4" s="45" t="s">
        <v>60</v>
      </c>
      <c r="G4" s="46" t="s">
        <v>71</v>
      </c>
      <c r="H4" s="45" t="s">
        <v>81</v>
      </c>
      <c r="I4" s="46" t="s">
        <v>73</v>
      </c>
      <c r="J4" s="46" t="s">
        <v>76</v>
      </c>
      <c r="K4" s="46" t="s">
        <v>48</v>
      </c>
      <c r="L4" s="47" t="s">
        <v>74</v>
      </c>
      <c r="M4" s="54" t="s">
        <v>75</v>
      </c>
    </row>
    <row r="5" spans="2:13" ht="12" customHeight="1">
      <c r="B5" s="92" t="s">
        <v>96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93</v>
      </c>
      <c r="C6" s="19">
        <v>5574041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/>
      <c r="K6" s="17">
        <f>SUM(J6/C6)*100</f>
        <v>0</v>
      </c>
      <c r="L6" s="16">
        <f>SUM(C6-D6-F6-H6-J6)</f>
        <v>5574041</v>
      </c>
      <c r="M6" s="22">
        <f>SUM(L6/C6)*100</f>
        <v>100</v>
      </c>
    </row>
    <row r="7" spans="2:13" ht="12" customHeight="1">
      <c r="B7" s="14" t="s">
        <v>94</v>
      </c>
      <c r="C7" s="19">
        <f>20000+1000</f>
        <v>21000</v>
      </c>
      <c r="D7" s="20"/>
      <c r="E7" s="21">
        <f>SUM(D7/C7)*100</f>
        <v>0</v>
      </c>
      <c r="F7" s="20"/>
      <c r="G7" s="21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21000</v>
      </c>
      <c r="M7" s="22">
        <f>SUM(L7/C7)*100</f>
        <v>100</v>
      </c>
    </row>
    <row r="8" spans="2:13" ht="12" customHeight="1" thickBot="1">
      <c r="B8" s="14" t="s">
        <v>95</v>
      </c>
      <c r="C8" s="19">
        <v>82953</v>
      </c>
      <c r="D8" s="20"/>
      <c r="E8" s="21">
        <f>SUM(D8/C8)*100</f>
        <v>0</v>
      </c>
      <c r="F8" s="20"/>
      <c r="G8" s="21">
        <f>SUM(F8/C8)*100</f>
        <v>0</v>
      </c>
      <c r="H8" s="20"/>
      <c r="I8" s="63">
        <f>SUM(H8/C8)*100</f>
        <v>0</v>
      </c>
      <c r="J8" s="16"/>
      <c r="K8" s="17">
        <f>SUM(J8/C8)*100</f>
        <v>0</v>
      </c>
      <c r="L8" s="16">
        <f>SUM(C8-D8-F8-H8-J8)</f>
        <v>82953</v>
      </c>
      <c r="M8" s="22">
        <f>SUM(L8/C8)*100</f>
        <v>100</v>
      </c>
    </row>
    <row r="9" spans="2:13" s="31" customFormat="1" ht="12" customHeight="1" thickBot="1">
      <c r="B9" s="29" t="s">
        <v>39</v>
      </c>
      <c r="C9" s="26">
        <f>SUM(C5:C8)</f>
        <v>5677994</v>
      </c>
      <c r="D9" s="26">
        <f>SUM(D5:D8)</f>
        <v>0</v>
      </c>
      <c r="E9" s="56">
        <f>SUM(D9/C9)*100</f>
        <v>0</v>
      </c>
      <c r="F9" s="26">
        <f>SUM(F5:F8)</f>
        <v>0</v>
      </c>
      <c r="G9" s="56">
        <f>SUM(F9/C9)*100</f>
        <v>0</v>
      </c>
      <c r="H9" s="26">
        <f>SUM(H5:H8)</f>
        <v>0</v>
      </c>
      <c r="I9" s="56">
        <f>SUM(H9/C9)*100</f>
        <v>0</v>
      </c>
      <c r="J9" s="26">
        <f>SUM(J5:J8)</f>
        <v>0</v>
      </c>
      <c r="K9" s="30">
        <f>SUM(J9/C9)*100</f>
        <v>0</v>
      </c>
      <c r="L9" s="26">
        <f>SUM(L5:L8)</f>
        <v>5677994</v>
      </c>
      <c r="M9" s="74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2018-12-06T13:08:17Z</cp:lastPrinted>
  <dcterms:created xsi:type="dcterms:W3CDTF">2009-02-04T11:37:44Z</dcterms:created>
  <dcterms:modified xsi:type="dcterms:W3CDTF">2018-12-06T13:16:49Z</dcterms:modified>
  <cp:category/>
  <cp:version/>
  <cp:contentType/>
  <cp:contentStatus/>
</cp:coreProperties>
</file>