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22" firstSheet="2" activeTab="19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'beruházás'!$A$1:$E$161</definedName>
    <definedName name="_xlnm.Print_Area" localSheetId="0">'bevétfő '!$A$1:$I$92</definedName>
    <definedName name="_xlnm.Print_Area" localSheetId="15">'felújítás'!$A$1:$E$122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'hivatal7'!$A$1:$Q$63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'!$A$1:$H$81</definedName>
    <definedName name="_xlnm.Print_Area" localSheetId="19">'kötelező feladatok'!$B$1:$L$69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4">'segélyek'!$A$1:$H$31</definedName>
    <definedName name="_xlnm.Print_Area" localSheetId="13">'támogatások'!$A$1:$F$92</definedName>
    <definedName name="_xlnm.Print_Area" localSheetId="17">'tartalék'!$A$1:$F$39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<sst xmlns="http://schemas.openxmlformats.org/spreadsheetml/2006/main" count="2329" uniqueCount="887">
  <si>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</si>
  <si>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</si>
  <si>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</si>
  <si>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</si>
  <si>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</si>
  <si>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</si>
  <si>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</si>
  <si>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</si>
  <si>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</si>
  <si>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</si>
  <si>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</si>
  <si>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</si>
  <si>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</si>
  <si>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</si>
  <si>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</si>
  <si>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</si>
  <si>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</si>
  <si>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</si>
  <si>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</si>
  <si>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</si>
  <si>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</si>
  <si>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</si>
  <si>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</si>
  <si>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</si>
  <si>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</si>
  <si>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</si>
  <si>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</si>
  <si>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</si>
  <si>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</si>
  <si>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</si>
  <si>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</si>
  <si>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</si>
  <si>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</si>
  <si>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</si>
  <si>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</si>
  <si>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</si>
  <si>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</si>
  <si>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</si>
  <si>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</si>
  <si>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</si>
  <si>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</si>
  <si>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</si>
  <si>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</si>
  <si>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</si>
  <si>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</si>
  <si>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</si>
  <si>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</si>
  <si>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</si>
  <si>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</si>
  <si>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</si>
  <si>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</si>
  <si>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</si>
  <si>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</si>
  <si>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</si>
  <si>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</si>
  <si>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</si>
  <si>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</si>
  <si>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</si>
  <si>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</si>
  <si>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</si>
  <si>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</si>
  <si>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</si>
  <si>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</si>
  <si>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</si>
  <si>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</si>
  <si>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</si>
  <si>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</si>
  <si>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</si>
  <si>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</si>
  <si>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</si>
  <si>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</si>
  <si>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</si>
  <si>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</si>
  <si>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</si>
  <si>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</si>
  <si>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</si>
  <si>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</si>
  <si>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</si>
  <si>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</si>
  <si>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</si>
  <si>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</si>
  <si>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</si>
  <si>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</si>
  <si>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</si>
  <si>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</si>
  <si>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</si>
  <si>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</si>
  <si>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</si>
  <si>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</si>
  <si>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</si>
  <si>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</si>
  <si>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</si>
  <si>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</si>
  <si>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</si>
  <si>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</si>
  <si>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</si>
  <si>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</si>
  <si>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</si>
  <si>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</si>
  <si>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</si>
  <si>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</si>
  <si>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</si>
  <si>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</si>
  <si>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</si>
  <si>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</si>
  <si>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</si>
  <si>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</si>
  <si>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</si>
  <si>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</si>
  <si>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</si>
  <si>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</si>
  <si>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</si>
  <si>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</si>
  <si>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</si>
  <si>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</si>
  <si>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</si>
  <si>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</si>
  <si>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</si>
  <si>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</si>
  <si>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</si>
  <si>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</si>
  <si>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</si>
  <si>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</si>
  <si>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</si>
  <si>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</si>
  <si>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</si>
  <si>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</si>
  <si>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</si>
  <si>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</si>
  <si>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</si>
  <si>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</si>
  <si>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</si>
  <si>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</si>
  <si>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</si>
  <si>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</si>
  <si>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</si>
  <si>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</si>
  <si>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</si>
  <si>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</si>
  <si>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</si>
  <si>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</si>
  <si>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</si>
  <si>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</si>
  <si>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</si>
  <si>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</si>
  <si>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</si>
  <si>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</si>
  <si>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</si>
  <si>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</si>
  <si>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</si>
  <si>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</si>
  <si>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</si>
  <si>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</si>
  <si>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</si>
  <si>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</si>
  <si>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</si>
  <si>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</si>
  <si>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</si>
  <si>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</si>
  <si>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</si>
  <si>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</si>
  <si>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</si>
  <si>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</si>
  <si>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</si>
  <si>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</si>
  <si>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</si>
  <si>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</si>
  <si>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</si>
  <si>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</si>
  <si>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</si>
  <si>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</si>
  <si>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</si>
  <si>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</si>
  <si>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</si>
  <si>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</si>
  <si>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</si>
  <si>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</si>
  <si>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</si>
  <si>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</si>
  <si>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</si>
  <si>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</si>
  <si>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</si>
  <si>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</si>
  <si>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</si>
  <si>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</si>
  <si>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</si>
  <si>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</si>
  <si>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</si>
  <si>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</si>
  <si>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</si>
  <si>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</si>
  <si>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</si>
  <si>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</si>
  <si>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</si>
  <si>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</si>
  <si>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</si>
  <si>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</si>
  <si>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</si>
  <si>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</si>
  <si>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</si>
  <si>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</si>
  <si>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</si>
  <si>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</si>
  <si>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</si>
  <si>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</si>
  <si>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</si>
  <si>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</si>
  <si>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</si>
  <si>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Útfenntartási kiadások összesen: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</si>
  <si>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</si>
  <si>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</si>
  <si>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</si>
  <si>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</si>
  <si>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</si>
  <si>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</si>
  <si>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</si>
  <si>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</si>
  <si>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</si>
  <si>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 xml:space="preserve">    Szent Bernát Alapítvány</t>
  </si>
  <si>
    <t xml:space="preserve">BERUHÁZÁSI KIADÁSOK ÖSSZESEN  (A+B): </t>
  </si>
  <si>
    <t>FELÚJÍTÁSI KIADÁSOK ÖSSZESEN (A+B):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</si>
  <si>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</si>
  <si>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</si>
  <si>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</si>
  <si>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</si>
  <si>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</si>
  <si>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</si>
  <si>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</si>
  <si>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</si>
  <si>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</si>
  <si>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</si>
  <si>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</si>
  <si>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</si>
  <si>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</si>
  <si>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</si>
  <si>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</si>
  <si>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</si>
  <si>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</si>
  <si>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</si>
  <si>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</si>
  <si>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</si>
  <si>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</si>
  <si>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</si>
  <si>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</si>
  <si>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</si>
  <si>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</si>
  <si>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</si>
  <si>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</si>
  <si>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</si>
  <si>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</si>
  <si>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</si>
  <si>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</si>
  <si>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</si>
  <si>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</si>
  <si>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</si>
  <si>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</si>
  <si>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</si>
  <si>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</si>
  <si>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</si>
  <si>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</si>
  <si>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</si>
  <si>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</si>
  <si>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</si>
  <si>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</si>
  <si>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</si>
  <si>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</si>
  <si>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</si>
  <si>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</si>
  <si>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</si>
  <si>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</si>
  <si>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</si>
  <si>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</si>
  <si>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</si>
  <si>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</si>
  <si>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</si>
  <si>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</si>
  <si>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</si>
  <si>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</si>
  <si>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</si>
  <si>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</si>
  <si>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</si>
  <si>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</si>
  <si>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</si>
  <si>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</si>
  <si>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</si>
  <si>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</si>
  <si>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</si>
  <si>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</si>
  <si>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</si>
  <si>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</si>
  <si>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</si>
  <si>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</si>
  <si>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</si>
  <si>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</si>
  <si>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</si>
  <si>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</si>
  <si>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</si>
  <si>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</si>
  <si>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</si>
  <si>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</si>
  <si>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</si>
  <si>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</si>
  <si>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</si>
  <si>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</si>
  <si>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</si>
  <si>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</si>
  <si>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</si>
  <si>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</si>
  <si>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</si>
  <si>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</si>
  <si>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</si>
  <si>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</si>
  <si>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</si>
  <si>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Nemzetiségi önkormányzatok közüzemi díja</t>
  </si>
  <si>
    <t>Főépítészi, városrendezési feladatok</t>
  </si>
  <si>
    <t>VI.</t>
  </si>
  <si>
    <t>VII.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</si>
  <si>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</si>
  <si>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</si>
  <si>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</si>
  <si>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</si>
  <si>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</si>
  <si>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</si>
  <si>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</si>
  <si>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</si>
  <si>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</si>
  <si>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</si>
  <si>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</si>
  <si>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</si>
  <si>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</si>
  <si>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</si>
  <si>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</si>
  <si>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</si>
  <si>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</si>
  <si>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</si>
  <si>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</si>
  <si>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</si>
  <si>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</si>
  <si>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</si>
  <si>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</si>
  <si>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</si>
  <si>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</si>
  <si>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</si>
  <si>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</si>
  <si>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</si>
  <si>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</si>
  <si>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</si>
  <si>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</si>
  <si>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</si>
  <si>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</si>
  <si>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</si>
  <si>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</si>
  <si>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</si>
  <si>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</si>
  <si>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</si>
  <si>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</si>
  <si>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</si>
  <si>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</si>
  <si>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</si>
  <si>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</si>
  <si>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</si>
  <si>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</si>
  <si>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</si>
  <si>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</si>
  <si>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</si>
  <si>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</si>
  <si>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</si>
  <si>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</si>
  <si>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</si>
  <si>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</si>
  <si>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</si>
  <si>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</si>
  <si>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</si>
  <si>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</si>
  <si>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</si>
  <si>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</si>
  <si>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</si>
  <si>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</si>
  <si>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</si>
  <si>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</si>
  <si>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</si>
  <si>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</si>
  <si>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</si>
  <si>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</si>
  <si>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</si>
  <si>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</si>
  <si>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</si>
  <si>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</si>
  <si>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</si>
  <si>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</si>
  <si>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</si>
  <si>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</si>
  <si>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</si>
  <si>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</si>
  <si>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</si>
  <si>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</si>
  <si>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</si>
  <si>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</si>
  <si>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</si>
  <si>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</si>
  <si>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</si>
  <si>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</si>
  <si>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</si>
  <si>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</si>
  <si>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</si>
  <si>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</si>
  <si>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</si>
  <si>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</si>
  <si>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</si>
  <si>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</si>
  <si>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</si>
  <si>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</si>
  <si>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</si>
  <si>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</si>
  <si>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</si>
  <si>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</si>
  <si>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</si>
  <si>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</si>
  <si>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</si>
  <si>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</si>
  <si>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</si>
  <si>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</si>
  <si>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</si>
  <si>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</si>
  <si>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</si>
  <si>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</si>
  <si>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</si>
  <si>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</si>
  <si>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</si>
  <si>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</si>
  <si>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</si>
  <si>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</si>
  <si>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</si>
  <si>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</si>
  <si>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</si>
  <si>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</si>
  <si>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</si>
  <si>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</si>
  <si>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</si>
  <si>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</si>
  <si>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</si>
  <si>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</si>
  <si>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</si>
  <si>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</si>
  <si>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</si>
  <si>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</si>
  <si>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</si>
  <si>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</si>
  <si>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</si>
  <si>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</si>
  <si>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</si>
  <si>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</si>
  <si>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</si>
  <si>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</si>
  <si>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</si>
  <si>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</si>
  <si>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</si>
  <si>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</si>
  <si>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</si>
  <si>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</si>
  <si>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</si>
  <si>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</si>
  <si>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</si>
  <si>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</si>
  <si>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</si>
  <si>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</si>
  <si>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</si>
  <si>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k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</si>
  <si>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</si>
  <si>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</si>
  <si>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</si>
  <si>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</si>
  <si>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</si>
  <si>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</si>
  <si>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</si>
  <si>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</si>
  <si>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Atlasz SE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</si>
  <si>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</si>
  <si>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</si>
  <si>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</si>
  <si>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</si>
  <si>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</si>
  <si>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</si>
  <si>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</si>
  <si>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</si>
  <si>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</si>
  <si>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</si>
  <si>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</si>
  <si>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</si>
  <si>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</si>
  <si>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</si>
  <si>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</si>
  <si>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 xml:space="preserve">Intézményekbe egyedi bútorok beszerzése </t>
  </si>
  <si>
    <t>akadálymentesítés összesen:</t>
  </si>
  <si>
    <t>egyéb intézményi beruházások összesen:</t>
  </si>
  <si>
    <t>i</t>
  </si>
  <si>
    <t>intézményekbe egyedi bútorok beszerzése:</t>
  </si>
  <si>
    <t>Intézményekben tervezett beruházások (a+b+...+k):</t>
  </si>
  <si>
    <t>Vagyongazdálkodási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</si>
  <si>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</si>
  <si>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</si>
  <si>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</si>
  <si>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</si>
  <si>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</si>
  <si>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</si>
  <si>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</si>
  <si>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</si>
  <si>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</si>
  <si>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</si>
  <si>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</si>
  <si>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</si>
  <si>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</si>
  <si>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</si>
  <si>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</si>
  <si>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</si>
  <si>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</si>
  <si>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</si>
  <si>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</si>
  <si>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</si>
  <si>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Parkolók Összesen:</t>
  </si>
  <si>
    <t>Közterület-felügyeleti feladatok:</t>
  </si>
  <si>
    <t>VEKOP-6.1.1-15-BP1-2016-00003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</si>
  <si>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</si>
  <si>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</si>
  <si>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</si>
  <si>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</si>
  <si>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</si>
  <si>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</si>
  <si>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</si>
  <si>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</si>
  <si>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</si>
  <si>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egyéb intézményi feladatok összesen:</t>
  </si>
  <si>
    <t>program 2020. évi ütemezése</t>
  </si>
  <si>
    <t>Finanszírozási bevételek</t>
  </si>
  <si>
    <t>Pályázatok önrésze</t>
  </si>
  <si>
    <t>Mentőszolgálat Budafoki állomás</t>
  </si>
  <si>
    <t>Leányka Tagbölcsőde előtérből leválasztott helyiség műanyag lambéria fala átalakítása</t>
  </si>
  <si>
    <t>Mocorgó Tagbölcsőde fűtésrendszer korszerűsítése</t>
  </si>
  <si>
    <t>Lakás felújítások bérbeszámítással</t>
  </si>
  <si>
    <t>Nem lakás célú helyiség felújítása bérbeszámítással</t>
  </si>
  <si>
    <t>Leányka Tagóvoda dajka öltöző és zuhanyzó felújítása</t>
  </si>
  <si>
    <t>Zöldecske Tagóvoda tetőszerkezet felújítása, hőszigetelése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</si>
  <si>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</si>
  <si>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</si>
  <si>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Gyalogátkelőhelyek létesítése közvilágítással</t>
  </si>
  <si>
    <t>Intézmények bútorozási és lambéria csere munkái</t>
  </si>
  <si>
    <t>Rózsakert Tagbölcsőde iroda felőli bejáratnál rámpás védőkorlát felszerelése és beléptető ajtózár szerelése</t>
  </si>
  <si>
    <t>Rózsakert Tagóvoda - tető felülvizsgálata és felújítása</t>
  </si>
  <si>
    <t xml:space="preserve">Hegybíró utca csapadékvízelvezetés 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</si>
  <si>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</si>
  <si>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</si>
  <si>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 xml:space="preserve">Játszó- és sporteszközök telepítése, pótlása és cseréje közterületen és intézményekben 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</si>
  <si>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</si>
  <si>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</si>
  <si>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</si>
  <si>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</si>
  <si>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</si>
  <si>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</si>
  <si>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</si>
  <si>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</si>
  <si>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</si>
  <si>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</si>
  <si>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</si>
  <si>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</si>
  <si>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</si>
  <si>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</si>
  <si>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</si>
  <si>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</si>
  <si>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</si>
  <si>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</si>
  <si>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</si>
  <si>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</si>
  <si>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 xml:space="preserve">Árnyaskert Tagóvoda udvari kisház külső felújítása, külső-belső festése, a kisház környékén műfüvezése, járda javítása </t>
  </si>
  <si>
    <t xml:space="preserve">Budafok-Tétény Budapest XXII. kerület Önkormányzata </t>
  </si>
  <si>
    <t>Budafok-Tétény Budapest XXII. kerület Önkormányzata</t>
  </si>
  <si>
    <t>Budafok-Tétény Budapest XXII. kerület Önkormányzata ASP központhoz való csatlakozása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</si>
  <si>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</si>
  <si>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</si>
  <si>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</si>
  <si>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</si>
  <si>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</si>
  <si>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</si>
  <si>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2020. évi tervezett bevételei</t>
  </si>
  <si>
    <t>2020. évi tervezett kiadásai</t>
  </si>
  <si>
    <t>2020. évi tervezett előirányzatai</t>
  </si>
  <si>
    <t>2020. évi önkormányzati feladatainak tervezett előirányzatai</t>
  </si>
  <si>
    <t>2020. évi tervezett támogatások</t>
  </si>
  <si>
    <t>2020. évben lakosságnak önkormányzat által nyújtott 
szociális és rászorultsági ellátások</t>
  </si>
  <si>
    <t>2020. évi tervezett felújítási kiadásai</t>
  </si>
  <si>
    <t>2020. évi tervezett beruházási kiadásai</t>
  </si>
  <si>
    <t>2020. évi tervezett tartalék előirányzata</t>
  </si>
  <si>
    <t>program 2021. évi ütemezése</t>
  </si>
  <si>
    <t>2020. évi költségvetési bevételei és kiadásai</t>
  </si>
  <si>
    <t>2020. évi létszámelőirányzat / fő</t>
  </si>
  <si>
    <t>Közfoglalkoztatottak 2020. évi létszámelőirányzata</t>
  </si>
  <si>
    <t xml:space="preserve">    Határon túli programok támogatása</t>
  </si>
  <si>
    <t xml:space="preserve">    24 órás központi ügyelet</t>
  </si>
  <si>
    <t xml:space="preserve">    Központi gyermek ügyelet</t>
  </si>
  <si>
    <t xml:space="preserve">    Bértámogatás</t>
  </si>
  <si>
    <t xml:space="preserve">    Stratégiai partnerségi megállapodások</t>
  </si>
  <si>
    <t>2020. évi iparűzési adó beszedésével kapcsolatos költségek (forrásmegosztás alapján)</t>
  </si>
  <si>
    <t xml:space="preserve">Játszóeszközök alatti ütéscsillapító gumiburkolat javítása, cseréje </t>
  </si>
  <si>
    <t>Kisebb zöldterület-fejlesztési munkák</t>
  </si>
  <si>
    <t>Péter Pál utca vízvezeték utáni járda felújítás</t>
  </si>
  <si>
    <t>Előre nem tervezhető járda és park felújításfelújítás</t>
  </si>
  <si>
    <t>Gloriette körüli térburkolat kiépítése</t>
  </si>
  <si>
    <t>Intézményekben burkolatok (hideg és meleg) felújítása</t>
  </si>
  <si>
    <t>Intézményekben hőérzet javítása, árnyékolás és klímaszerelés</t>
  </si>
  <si>
    <t>Bartók Béla ált. iskola udvar burkolatjavítás és játszótér felújítás tervezése</t>
  </si>
  <si>
    <t>Napraforgó Tagbölcsőde pince csatornarendszer kiépítésének felülvizsgálata</t>
  </si>
  <si>
    <t>Mocorgó Tagbölcsőde teraszok tetőszerkezetén a hullámos fémlemez borítás javítása, cseréje</t>
  </si>
  <si>
    <t>Bartók Tagóvoda Teknős csoportban parketta csere</t>
  </si>
  <si>
    <t>Zöldecske Tagóvoda szennyvízelvezető cső teljes cseréje</t>
  </si>
  <si>
    <t>Maci Tagóvoda tető felújítása az M2 épületben</t>
  </si>
  <si>
    <t>Árnyaskert Tagóvoda játszóház cseréje</t>
  </si>
  <si>
    <t>Szivárvány Tagóvoda dekorbeton javítása</t>
  </si>
  <si>
    <t>Huncutka Tagóvoda épület süllyedésének megállítása, fürdőszobák felújításával, iroda szárnyban</t>
  </si>
  <si>
    <t>XII. u. 28. válaszfal építés és bontás</t>
  </si>
  <si>
    <t>XVI. U. 22. Polgári Kör emeleti klubhelyiség teljes elektromos felújítása</t>
  </si>
  <si>
    <t>Klauzál ház színházterem feletti lapostető cseréje</t>
  </si>
  <si>
    <t>Útépítések kivitelezése</t>
  </si>
  <si>
    <t>Alkotmány utca szakaszosan</t>
  </si>
  <si>
    <t>Terv utcai járda és Terv-Bibic kereszteződés átépítés</t>
  </si>
  <si>
    <t>Tündérkert Tagóvoda kazáncsere</t>
  </si>
  <si>
    <t>Maci Tagóvoda M2 udvari szín tetejének felújítása (napelem )</t>
  </si>
  <si>
    <t>Csemetekert Tagóvoda tocsogó, pancsoló kialakítása</t>
  </si>
  <si>
    <t>Nagytétényi út 266. kerti pavilon helyének betonozása vagy térkövezése</t>
  </si>
  <si>
    <t>Városháza főépítészi iroda átalakítása</t>
  </si>
  <si>
    <t>Rózsakert Tagóvoda - tető összefolyó javítás (2 db)</t>
  </si>
  <si>
    <t>Csicsergő Tagóvoda kerítés javítása utcafronton</t>
  </si>
  <si>
    <t>Polgármesteri Hivatal folyosói padlóburkolat rekonstrukciója</t>
  </si>
  <si>
    <t>Országos görpark program (pályázat)</t>
  </si>
  <si>
    <t>"Főváros kerületi belterületi szilárd burkolat nélküli utak szilárd burkolattal történő ellátása" pályázat 2019</t>
  </si>
  <si>
    <t>"Főváros kerületi belterületi szilárd burkolat nélküli utak szilárd burkolattal történő ellátása" pályázat 2019. Komáromi utca</t>
  </si>
  <si>
    <t>Útépítések leőtti közmű kiváltások</t>
  </si>
  <si>
    <t>Leányka Tagbölcsőde vasút felőli kerítés lábazatának kialakítása</t>
  </si>
  <si>
    <t>Szociális Szolgálat Anna u. 10. épület főbejáratánál előtető kialakítása</t>
  </si>
  <si>
    <t>K914</t>
  </si>
  <si>
    <t>pályázati forrásokból megvalósuló feladatai és azok évenkénti ütemezése</t>
  </si>
  <si>
    <t>program 2022. évi ütemezése</t>
  </si>
  <si>
    <t>13.</t>
  </si>
  <si>
    <t>14.</t>
  </si>
  <si>
    <t>15.</t>
  </si>
  <si>
    <t>Bartók Utcai Tagóvoda, Napraforgó Tagbölcsőde és Halacska Református Óvoda (1225 Budapest, Bartók Béla utca 4., hrsz.) utólagos homlokzati hőszigetelése, tetőszigetelése, akadálymentesítése és külső nyílászárók cseréje</t>
  </si>
  <si>
    <t>KÖFOP-1.2.1-VEKOP-16-2017-01279</t>
  </si>
  <si>
    <t>URBACT III. Integrált városfejlesztést támogató transznacionális program</t>
  </si>
  <si>
    <t>URBACT III. Integrált városfejlesztést támogató transznacionális program 1555398745</t>
  </si>
  <si>
    <t>Környezeti és Energiahatékonysági Operatív Program</t>
  </si>
  <si>
    <t xml:space="preserve">KEHOP-1.2.1-18-2018-00018 Változz a jövődért, változz a Kerületért! </t>
  </si>
  <si>
    <t>Budafoki Művészeti és Helytörténeti Galéria kialakítása</t>
  </si>
  <si>
    <t>"TÉR-KÖZ"</t>
  </si>
  <si>
    <t>Országos Görpark Program</t>
  </si>
  <si>
    <t>Polgármesteri Hivatal – folyosói padlólap rekonstrukciója</t>
  </si>
  <si>
    <t>Építészeti Örökségvédelmi Támogatás 2017</t>
  </si>
  <si>
    <t>Rekortán kültéri kézilabda pálya építése</t>
  </si>
  <si>
    <t>Magyar Kézilabda Szövetség Pályaépítési Program</t>
  </si>
  <si>
    <t>Hazai forrásból megvalósuló pályázatok összesen:</t>
  </si>
  <si>
    <t>Piac fejlesztés (hulladékkezelés)</t>
  </si>
  <si>
    <t>Államháztartáson belüli megelőlegezések visszafizetése</t>
  </si>
  <si>
    <t>XI.</t>
  </si>
  <si>
    <t>Módosított előirányzat</t>
  </si>
  <si>
    <t>Üzemeltetési, karbantartási és egyéb működési kiadások tartaléka</t>
  </si>
  <si>
    <t>Felhalmozási kiadások (beruházások és felújítások) tartaléka</t>
  </si>
  <si>
    <t>Érvényes előiárnyzat</t>
  </si>
  <si>
    <t xml:space="preserve">Érvényes előirányzat          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</si>
  <si>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</si>
  <si>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</si>
  <si>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</si>
  <si>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</si>
  <si>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</si>
  <si>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</si>
  <si>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</si>
  <si>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Nádasdy Művészeti Iskola - dobogó és színpad hátsó felületének akusztikai borítása</t>
  </si>
  <si>
    <t>Egyéb pályázatok - YoulnHerit pályázat elszámolása</t>
  </si>
  <si>
    <t>Szent István tér komplex fejlesztése</t>
  </si>
  <si>
    <t>Lakáskarbantartás</t>
  </si>
  <si>
    <t>Balatonakali üdülőházak cseréje</t>
  </si>
  <si>
    <t>Kerületi feladatok:</t>
  </si>
  <si>
    <t>Péter Pál utcai játszótér felújítása</t>
  </si>
  <si>
    <t>Kőbányász park felújítása</t>
  </si>
  <si>
    <t>BKISZ keretében végzett szennyvízcsatorna építések utáni útfelújítások - Árpád u.</t>
  </si>
  <si>
    <t>Egyéb útfenntartási kiadások:</t>
  </si>
  <si>
    <t>-- Városház tér Rendőrkapitányság előtti járdaburkolat nagyjavítása</t>
  </si>
  <si>
    <t>-- Zsoldos forduló - útszerkezetet megámasztó mélycölöp támasztó sor építése</t>
  </si>
  <si>
    <t>Bartók Tagóvoda - tető-és homlokzatszigetelési munkák, nyílászárók cseréje (VEKOP pályázat)</t>
  </si>
  <si>
    <t>Általános hibaelhárítás</t>
  </si>
  <si>
    <t>-- Csemetekert Tagóvoda - kazánház szivattyú cseréje</t>
  </si>
  <si>
    <t>-- Nagytétényi út 31-33. - uszodatér homlokzati nyílászáró üvegeinek cseréje</t>
  </si>
  <si>
    <t>-- Szociális Szolgálat (Anna u.) - fűtésrendszer cseréje</t>
  </si>
  <si>
    <t>Külső ellenőrzések által előírt feladatok (NÉBIH HACCP)</t>
  </si>
  <si>
    <t>-- Leányka Tagbölcsőde - átadó helyiségben felnőtt kézmosók helyreállítása</t>
  </si>
  <si>
    <t>Intézményekben tervezett felújítások (a+b+..+k) :</t>
  </si>
  <si>
    <t>Városüzemeltetési feladatok összesen (1+…+7):</t>
  </si>
  <si>
    <t>Egyéb városüzemeltetési feladatok:</t>
  </si>
  <si>
    <t>Szakorvosi rendelő - gépészet és mosdók felújítása I. ütem</t>
  </si>
  <si>
    <t>Dél-budai Egészségügyi Szolgálat Közhasznú NKft:</t>
  </si>
  <si>
    <t>Kulturális feladatok:</t>
  </si>
  <si>
    <t>Egészségügyi és szociális feladatok:</t>
  </si>
  <si>
    <t>Közszolgáltatás fejlesztési feladatok:</t>
  </si>
  <si>
    <t>Főépítészi, városrendezési feladatok:</t>
  </si>
  <si>
    <t>Ingatlanok vásárlása:</t>
  </si>
  <si>
    <t>Hajó utca - Duna parti sétány környezetének fejl.-e:</t>
  </si>
  <si>
    <t>Memento Szmolenszkért emlékmű:</t>
  </si>
  <si>
    <t>Budafoki Művészeti és Helytörténeti Galéria:</t>
  </si>
  <si>
    <t>Kerületi feladat:</t>
  </si>
  <si>
    <t>Önkormányzati igazgatás:</t>
  </si>
  <si>
    <t>XII.</t>
  </si>
  <si>
    <t>XIII.</t>
  </si>
  <si>
    <t>XIV.</t>
  </si>
  <si>
    <t>XV.</t>
  </si>
  <si>
    <t>Kossuth L. u. 26. - pergola építése</t>
  </si>
  <si>
    <t>"Főváros kerületi belterületi szilárd burkolat nélküli utak szilárd burkolattal történő ellátása" pályázat 2018</t>
  </si>
  <si>
    <t xml:space="preserve">Előre nem tervezhető járda és park felújításfelújítás </t>
  </si>
  <si>
    <t>-- Honfoglalás út 22-vel szembeni játszótér ivóvíz ellátása</t>
  </si>
  <si>
    <t>Leányka utca 38. sz. mögött gépkocsi parkoló építés + közvilágítás</t>
  </si>
  <si>
    <t>Egyéb forgalomtechnikai létesítmények</t>
  </si>
  <si>
    <t>-- Polgármesteri Hivatal (Városház tér) - informatika ajtó beépítése</t>
  </si>
  <si>
    <t>-- Leányka Tagbölcsőde - konyhaszekrény készítése, szállítása és felszerelése</t>
  </si>
  <si>
    <t>-- Rosta u. és Kender u.</t>
  </si>
  <si>
    <t>-- Só u.</t>
  </si>
  <si>
    <t>-- Szikla u.</t>
  </si>
  <si>
    <t>-- Temesvári u.</t>
  </si>
  <si>
    <t>-- Kiskőbánya u.</t>
  </si>
  <si>
    <t>-- Méz u. és Villa u.</t>
  </si>
  <si>
    <t>-- Angolna u., Márna u., Pikó u., Compó u. és Törpeharcsa u.</t>
  </si>
  <si>
    <t>-- Naphal u. és Dévér park</t>
  </si>
  <si>
    <t>-- Iluska u. (Bartók B. út - Csút u.)</t>
  </si>
  <si>
    <t>-- Busa u. (Balin u. - Naphal u.)</t>
  </si>
  <si>
    <t>-- Libertás u. (Dukát u. - Kunyhó u.)</t>
  </si>
  <si>
    <t xml:space="preserve">-- Csúcs u. (Dukát u. - Barackos u.) </t>
  </si>
  <si>
    <t>-- Dukát u. (Barackos u. - Szélkakas u.)</t>
  </si>
  <si>
    <t>-- Dukát u. (Szélkakas u. - Peták u.)</t>
  </si>
  <si>
    <t>-- Dukát u. (Peták u. - Kakukkhegyi u.)</t>
  </si>
  <si>
    <t>-- Móricz Zsigmond u. (Géza u. - 9.sz.)</t>
  </si>
  <si>
    <t>-- Kő u.</t>
  </si>
  <si>
    <t>-- Kötő u.</t>
  </si>
  <si>
    <t>-- Pógyor István u. (Gyula vezér út - végig)</t>
  </si>
  <si>
    <t>-- Vitéz u. (Dallam u. - Kossuth u.)</t>
  </si>
  <si>
    <t>-- Cikória u.</t>
  </si>
  <si>
    <t>-- Nyírfás köz</t>
  </si>
  <si>
    <t>-- Diófa u. (Sörház u. - zsákutca vége)</t>
  </si>
  <si>
    <t>-- Szalontai - Ménes u. (Szél u. - zsákutca vége)</t>
  </si>
  <si>
    <t>-- Kenderike u. (Kelenvölgyi u. - Kamaraerdei u.)</t>
  </si>
  <si>
    <t>-- Halom u. (Olajhegy u. - Árpád u.)</t>
  </si>
  <si>
    <t>-- Kőház sor (XIV. u. - XV. u.)</t>
  </si>
  <si>
    <t>-- Palást u. (234401/4 - 234400/4 hrsz)</t>
  </si>
  <si>
    <t>-- Hegyfok köz (Hegyfok u. - zsákutca vége)</t>
  </si>
  <si>
    <t>-- Aranyvessző u.(Dukát u. - Dénár u.)</t>
  </si>
  <si>
    <t>-- Babérfűz u.(3.sz. - 7/b.sz.)</t>
  </si>
  <si>
    <t>-- Dénár u. (Libertás u. - Aranyvessző u. között)</t>
  </si>
  <si>
    <t>-- Diótörő u. (Balatoni út. - Viharvédő u.)</t>
  </si>
  <si>
    <t>-- Sárgarigó u. (Alkotmány u. - zsákutca vége)</t>
  </si>
  <si>
    <t>fejezeti kezelésű előirányzatok EU-s programokra</t>
  </si>
  <si>
    <t>Járványügyi veszélyhelyzet</t>
  </si>
  <si>
    <t>Zöldterületek fejlesztése pályázatok keretében</t>
  </si>
  <si>
    <t>Működési tartalék bevételi elmaradások fedezetére</t>
  </si>
  <si>
    <t>Cafeteria keret összeg emelésének fedezete</t>
  </si>
  <si>
    <t>Elágazás park I. ütem - bringapark pályázat</t>
  </si>
  <si>
    <t xml:space="preserve">Parkfenntartási részleg anyag és szerszám szükséglet </t>
  </si>
  <si>
    <t>Napvitorlák közterületen</t>
  </si>
  <si>
    <t>"Főváros kerületi belterületi szilárd burkolat nélküli utak szilárd burkolattal történő ellátása" pályázat 2020.</t>
  </si>
  <si>
    <t>-- Egyesített Óvoda (Nagytétényi út 291) klimatizálása</t>
  </si>
  <si>
    <t>-- Zöldecske Tagóvoda - kazánköri szivattyú cseréje</t>
  </si>
  <si>
    <t>-- Halacska Református Óvoda - fűtési rendszer átalakítása</t>
  </si>
  <si>
    <t>-- Tündérkert Tagóvoda - fűtésrendszer cseréje</t>
  </si>
  <si>
    <t>Intézményekben gépészeti vezetékek, berendezések felülvizsgálata, javítása</t>
  </si>
  <si>
    <t xml:space="preserve">-- Leányka Tagbölcsőde - légcsatorna bontása </t>
  </si>
  <si>
    <t>-- Ficánka Tagóvoda - fűtési tágulási tartály cseréje</t>
  </si>
  <si>
    <t>-- Hajós Alfréd Tanuszoda - fűtési tágulási tartály cserélye</t>
  </si>
  <si>
    <t>Intézményekben kazánok vízkőtelenítése</t>
  </si>
  <si>
    <t>-- Művelődési Központ (Klauzál Ház) - kazánok és hőcserélők vízkőtelenítése + iszapleválasztók beépítése</t>
  </si>
  <si>
    <t>-- Polgármesteri Hivatal (Városház tér) - kazánok és hőcserélők vízkőtelenítése + iszapleválasztók beépítése</t>
  </si>
  <si>
    <t>I. félév</t>
  </si>
  <si>
    <t>Nem lakás célú helyiség karbantartása</t>
  </si>
  <si>
    <t>-- Csemetekert Tagóvoda - ablakrács készítése, lépcsőkorlát meghosszabítása</t>
  </si>
  <si>
    <t>Dél-Budai Egészségügyi Szolgálat Közhasznú NKft. öszesen:</t>
  </si>
  <si>
    <t xml:space="preserve">    Dél-budai Egészségügyi Szolgálat Közhasznú NKft. - működési támogatás</t>
  </si>
  <si>
    <t>Környezetvédelmi pályázat</t>
  </si>
  <si>
    <t>Szociális feladatellátás - jelzőrendszeres házi segítségnyújtás</t>
  </si>
  <si>
    <t xml:space="preserve">Nemzetiségi önkormányzatok támogatása összesen: </t>
  </si>
  <si>
    <t xml:space="preserve">    Görög Nemzetiségi Önkormányzat</t>
  </si>
  <si>
    <t xml:space="preserve">    Horvát Önkormányzat</t>
  </si>
  <si>
    <t xml:space="preserve">    Lengyel Nemzetiségi Önkormányzat</t>
  </si>
  <si>
    <t xml:space="preserve">    Német Nemzetiségi Önkormányzat</t>
  </si>
  <si>
    <t xml:space="preserve">    Örmény Nemzetiségi Önkormányzat</t>
  </si>
  <si>
    <t xml:space="preserve">    Roma Önkormányzat</t>
  </si>
  <si>
    <t xml:space="preserve">    Ukrán Nemzetiségi Önkormányzat</t>
  </si>
  <si>
    <t>Polgármesteri Hivatal - önkormányzati képviselők választása</t>
  </si>
  <si>
    <r>
      <t xml:space="preserve">Védőoltások támogatása </t>
    </r>
    <r>
      <rPr>
        <b/>
        <i/>
        <sz val="11"/>
        <rFont val="Arial"/>
        <family val="2"/>
      </rPr>
      <t>(települési támogatás)</t>
    </r>
  </si>
  <si>
    <t>Promontor Udvar alvállalkozói szerződések</t>
  </si>
  <si>
    <t>Vagyongazdálkodási feladatok tervezett kiadásai összesen (a+...+e):</t>
  </si>
  <si>
    <t>Járványügyi veszélyhelyzet:</t>
  </si>
  <si>
    <t>XVI.</t>
  </si>
  <si>
    <t>Felügyeleti díj</t>
  </si>
  <si>
    <t>elkülönített állami pénzalapnak</t>
  </si>
  <si>
    <t>-- Sörház u. 37. szám előtti útszűkület melletti támfal felújítása</t>
  </si>
  <si>
    <t>Batthyány utca 10-12. szám alatti orvosi rendelő felújítása pályázat keretében</t>
  </si>
  <si>
    <t>A fővárosi kerületi belterületi szilárd burkolat nélküli utak szilárd burkolattal történő ellátása II. ütem</t>
  </si>
  <si>
    <t>Miniszterelnökség</t>
  </si>
  <si>
    <t xml:space="preserve">Országos Bringapark Program </t>
  </si>
  <si>
    <t>A fővárosi kerületi belterületi szilárd burkolat nélküli utak szilárd burkolattal történő ellátása IV. ütem</t>
  </si>
  <si>
    <t xml:space="preserve">Bölcsőde fejlesztési program </t>
  </si>
  <si>
    <t xml:space="preserve">Pénzügyminisztérium </t>
  </si>
  <si>
    <t>Egészséges Budapest Program, járóbeteg szakellátást érintő orvosieszköz-fejlesztés</t>
  </si>
  <si>
    <t>Egészséges Budapest Program</t>
  </si>
  <si>
    <t>módosítás              ( ± )</t>
  </si>
  <si>
    <t>Tárgyévi normatív támogatások tartaléka</t>
  </si>
  <si>
    <t>Dél-budai Egészségügyi Szolgálat Közhasznú NKft. - Egészséges Budapest Program</t>
  </si>
  <si>
    <t>Civil szervezetek felhalmozási támogatása (kulturális feladatok)</t>
  </si>
  <si>
    <t>Kerületi díjak - Tiszta virágos kerületért díj</t>
  </si>
  <si>
    <t>-- Leányka u. 16-24. szám előtt + átjárók között balesetveszélyes járda felújítása</t>
  </si>
  <si>
    <t>-- Leányka u. 14-32. szám előtti járdaszakasz helyreállítása</t>
  </si>
  <si>
    <t>-- Wesselényi utca -  vízvezeték rekonstrukciót követő útburkolat helyreállítása (félpálya)</t>
  </si>
  <si>
    <t>Sportpark Program</t>
  </si>
  <si>
    <t>-- Tatárka u. 15. és Vincellér utcai járdaburkolatok összekötése</t>
  </si>
  <si>
    <t>Egyéb útfenntartási kiadások</t>
  </si>
  <si>
    <t>-- Libertás u. - Dukát u. csatlakozása - vízelvezetés megoldása</t>
  </si>
  <si>
    <t>"Régi idők új kapui" és "Budafok-Belváros megújul" pályázat (2019-ig)</t>
  </si>
  <si>
    <t>"Régi idők új kapui" és "Budafok-Tétény utcaképe megújul" pályázat</t>
  </si>
  <si>
    <t>Adományközvetítés, (hideg-meleg) ételosztás támogatása pályázat keretében</t>
  </si>
  <si>
    <t>-- XI. utca (Gyula vezér út - 42. szám között)</t>
  </si>
  <si>
    <t>-- 228409/80 hrsz (Hűség utcai lakóparkon belüli utca)</t>
  </si>
  <si>
    <t>-- 234475/25 hrsz (Pedellus utcából nyíló útszakasz)</t>
  </si>
  <si>
    <t>-- 231963 hrsz (Kormorán u. - Rudnyányszky u.)</t>
  </si>
  <si>
    <t>-- Mária u. (Kövesföld u. - 230155/22 hrsz között)</t>
  </si>
  <si>
    <t>-- Aszály utca (Kő u. - Klauzál u. között)</t>
  </si>
  <si>
    <t>-- 229220/1 hrsz (Bibic u. - 229208 hrsz között)</t>
  </si>
  <si>
    <t>-- Sík u. (Cikória u. - Rózsabarack u. között)</t>
  </si>
  <si>
    <t>-- Barackos út (Szakiskola u. - 79. sz. között)</t>
  </si>
  <si>
    <t>-- Mogyoró u. (Rózsabarack u. - Cikória u. között)</t>
  </si>
  <si>
    <t>-- Só u. (Pannónia u. - lépcső között)</t>
  </si>
  <si>
    <t>-- Komáromi út - BMTE előtti szakaszon vízelvezetési feladatok</t>
  </si>
  <si>
    <t>-- Forgalomtechnikai tervek, egyéb tervezési feladatok</t>
  </si>
  <si>
    <t>-- Rózsakert Tagbölcsőde - személybejáró ajtó kódzár és nyitás kiépítése</t>
  </si>
  <si>
    <t>-- Tündérkert Tagóvoda - fűtési vezeték cseréje, kötések hyelyreállítása</t>
  </si>
  <si>
    <t>-- Fűtési tágulási tartályok cseréje 3 intézményben</t>
  </si>
  <si>
    <t>III. negyedév</t>
  </si>
  <si>
    <t>-- Vincellér u. 24. szám előtti járdaburkolat kiépítése (telekszabályozási eljárást követően)</t>
  </si>
  <si>
    <t>Felhalmozási célú támogatások áht-n belülre</t>
  </si>
  <si>
    <t xml:space="preserve">FKI Budafoki Katasztrófavédelmi Őrs </t>
  </si>
  <si>
    <t>Dél-budai Egészségügyi Szolgálat Közhasznú NKft. - 2019. évi EBP pályázat elszámolása</t>
  </si>
  <si>
    <t>Egészségügyi, közbiztonsági és balesetmegelőzési prevenciós programok, szolgáltatások</t>
  </si>
  <si>
    <t xml:space="preserve">Önkormányzati igazgatás </t>
  </si>
  <si>
    <t>Önkormányzati felújítások összesen (I+…….+V):</t>
  </si>
  <si>
    <t>Egyéb pályázatok:</t>
  </si>
  <si>
    <t>helyi  önkormányzatok és költségvetési szerveik részére</t>
  </si>
  <si>
    <t>Utcanyitások és terület-lejegyzések költségei:</t>
  </si>
  <si>
    <t>Utcanyitások és terület-lejegyzések költségei</t>
  </si>
  <si>
    <t>A fővárosi kerületi belterületi szilárd burkolat nélküli utak szilárd burkolattal történő ellátása V. ütem</t>
  </si>
  <si>
    <t>"Idősbarás Önkormányzat Díj" pályázat</t>
  </si>
  <si>
    <t>Kulturális feladatok - OKTB pályázatok</t>
  </si>
  <si>
    <t>Közszolgáltatás fejlesztési feladatok - ASP Központhoz való csatlakozás támogatása (pályázat)</t>
  </si>
  <si>
    <t>Intézményekben magas és lapos tetők, csapadékvíz elvezetés felülvizsgálata és javítása</t>
  </si>
  <si>
    <t>-- Mocorgó Tagbölcsőde - lapostetőn felülvilágító kupolák cseréje</t>
  </si>
  <si>
    <t>"Főváros kerületi belterületi szilárd burkolat nélküli utak szilárd burkolattal történő ellátása" pályázat
 2020. II. ütem</t>
  </si>
  <si>
    <t>-- Bibic utca - forgalomcsillapító küszö építése</t>
  </si>
  <si>
    <t>Idegenforgalmi feladatok:</t>
  </si>
  <si>
    <t>XVII.</t>
  </si>
  <si>
    <t>Önkormányzati beruházások összesen (I-től XVII-ig):</t>
  </si>
  <si>
    <t>IV. negyedév</t>
  </si>
  <si>
    <t>-- Görpark fejlesztéséhez kapcsolódó ivóvízellátás és szennyvízelvezetés tervezése</t>
  </si>
  <si>
    <t>-- Elágazáspark - új fogyasztási hely bekapcsolása, elektromos, műszaki gazdasági tájékoztató</t>
  </si>
  <si>
    <t>Városüzemeltetés feladatok összesen (1-től 12-ig) :</t>
  </si>
  <si>
    <t>Intézmények karbantartási kiadásai</t>
  </si>
  <si>
    <t>-- Huncutka Tagóvoda - csapadékvíz ejtővezeték javítása</t>
  </si>
  <si>
    <t>-- Huncutka Tagóvoda - WC elválasztófalak cseréje</t>
  </si>
  <si>
    <t>-- Varázskastély Tagóvoda - WC elválasztófalak cseréje</t>
  </si>
  <si>
    <t>Intézményekben elektromos vezetékek, berendezések felülvizsgálata, javítása</t>
  </si>
  <si>
    <t>-- IGI (Nagytétényi út 274-276) - világítás korszerűsítése</t>
  </si>
  <si>
    <t>-- Napraforgó Tagbölcsőde - hőközpontban HMV hőcserélő primerköri szivattyú cseréje</t>
  </si>
  <si>
    <t>Fiúról Apára Cselekvő Környezetvédelmi Program</t>
  </si>
  <si>
    <t>A fővárosi kerületi belterületi szilárd burkolat nélküli utak szilárd burkolattal történő ellátása 2020 II. ütem</t>
  </si>
  <si>
    <t>Klauzál Gábor Budafok-Tétényi Művelődési Központ - Klauzál Ház világítás, Cziffra Központ árnyékolás</t>
  </si>
  <si>
    <t>Közművelődési érdekeltségnövelő támogatás</t>
  </si>
  <si>
    <t>Klauzál Gábor Budafok-Tétényi Művelődési Központ - Budafoki Barlanglakás Emlékkiállítás - honlap, múzeumpedagógai kiadvány, kiállítás megújítás</t>
  </si>
  <si>
    <t>Kubinyi Ágoston Program</t>
  </si>
  <si>
    <t>2020. évi Kubinyi Ágoston Program</t>
  </si>
  <si>
    <t>1. melléklet a 3/2021.(II.23.) számú</t>
  </si>
  <si>
    <t>2. melléklet a 3/2021.(II.23.) számú</t>
  </si>
  <si>
    <t>3. melléklet a 3/2021.(II.23.) számú</t>
  </si>
  <si>
    <t>4. melléklet a  3/2021.(II.23.) számú</t>
  </si>
  <si>
    <t>4. melléklet a 3/2021.(II.23.) számú</t>
  </si>
  <si>
    <t>5. melléklet a 3/2021.(II.23.) számú</t>
  </si>
  <si>
    <t>6. melléklet a 3/2021.(II.23.) számú</t>
  </si>
  <si>
    <t>9. melléklet a 3/2021.(II.23.) számú</t>
  </si>
  <si>
    <t>10. melléklet a 3/2021.(II.23.) számú</t>
  </si>
  <si>
    <t>11. melléklet a 3/2021.(II.23.) számú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</si>
</sst>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160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10"/>
      <color indexed="10"/>
      <name val="Times New Roman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sz val="11"/>
      <color indexed="10"/>
      <name val="Arial CE"/>
      <family val="0"/>
    </font>
    <font>
      <b/>
      <sz val="11"/>
      <color indexed="17"/>
      <name val="Arial"/>
      <family val="2"/>
    </font>
    <font>
      <sz val="12"/>
      <color indexed="10"/>
      <name val="Arial CE"/>
      <family val="2"/>
    </font>
    <font>
      <b/>
      <sz val="10"/>
      <color indexed="14"/>
      <name val="Times New Roman CE"/>
      <family val="0"/>
    </font>
    <font>
      <b/>
      <sz val="10"/>
      <color indexed="14"/>
      <name val="Arial"/>
      <family val="2"/>
    </font>
    <font>
      <b/>
      <sz val="10"/>
      <color indexed="14"/>
      <name val="Arial CE"/>
      <family val="2"/>
    </font>
    <font>
      <b/>
      <sz val="11"/>
      <color indexed="14"/>
      <name val="Arial CE"/>
      <family val="2"/>
    </font>
    <font>
      <b/>
      <sz val="10"/>
      <color indexed="12"/>
      <name val="Arial"/>
      <family val="2"/>
    </font>
    <font>
      <b/>
      <sz val="10"/>
      <color indexed="12"/>
      <name val="Times New Roman CE"/>
      <family val="0"/>
    </font>
    <font>
      <b/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60"/>
      <name val="Arial"/>
      <family val="2"/>
    </font>
    <font>
      <b/>
      <sz val="10"/>
      <color indexed="60"/>
      <name val="Times New Roman CE"/>
      <family val="0"/>
    </font>
    <font>
      <b/>
      <sz val="10"/>
      <color indexed="60"/>
      <name val="Arial CE"/>
      <family val="2"/>
    </font>
    <font>
      <b/>
      <sz val="11"/>
      <color indexed="60"/>
      <name val="Arial CE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sz val="11"/>
      <color rgb="FFFF0000"/>
      <name val="Arial CE"/>
      <family val="0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2"/>
      <color rgb="FFFF0000"/>
      <name val="Arial CE"/>
      <family val="2"/>
    </font>
    <font>
      <b/>
      <sz val="10"/>
      <color rgb="FFCC00FF"/>
      <name val="Times New Roman CE"/>
      <family val="0"/>
    </font>
    <font>
      <b/>
      <sz val="10"/>
      <color rgb="FFCC00FF"/>
      <name val="Arial"/>
      <family val="2"/>
    </font>
    <font>
      <b/>
      <sz val="10"/>
      <color rgb="FFCC00FF"/>
      <name val="Arial CE"/>
      <family val="2"/>
    </font>
    <font>
      <b/>
      <sz val="11"/>
      <color rgb="FFCC00FF"/>
      <name val="Arial CE"/>
      <family val="2"/>
    </font>
    <font>
      <b/>
      <sz val="10"/>
      <color rgb="FF0000FF"/>
      <name val="Arial"/>
      <family val="2"/>
    </font>
    <font>
      <b/>
      <sz val="10"/>
      <color rgb="FF0000FF"/>
      <name val="Times New Roman CE"/>
      <family val="0"/>
    </font>
    <font>
      <b/>
      <sz val="10"/>
      <color rgb="FF0000FF"/>
      <name val="Arial CE"/>
      <family val="2"/>
    </font>
    <font>
      <b/>
      <sz val="11"/>
      <color rgb="FF0000FF"/>
      <name val="Arial CE"/>
      <family val="2"/>
    </font>
    <font>
      <b/>
      <sz val="10"/>
      <color rgb="FFC00000"/>
      <name val="Arial"/>
      <family val="2"/>
    </font>
    <font>
      <b/>
      <sz val="10"/>
      <color rgb="FFC00000"/>
      <name val="Times New Roman CE"/>
      <family val="0"/>
    </font>
    <font>
      <b/>
      <sz val="10"/>
      <color rgb="FFC00000"/>
      <name val="Arial CE"/>
      <family val="2"/>
    </font>
    <font>
      <b/>
      <sz val="11"/>
      <color rgb="FFC00000"/>
      <name val="Arial CE"/>
      <family val="2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 style="thin"/>
      <right/>
      <top style="medium"/>
      <bottom style="thin"/>
    </border>
    <border>
      <left style="medium"/>
      <right/>
      <top style="medium"/>
      <bottom style="thick"/>
    </border>
    <border>
      <left style="medium"/>
      <right style="medium"/>
      <top style="medium"/>
      <bottom style="thick"/>
    </border>
    <border>
      <left/>
      <right/>
      <top>
        <color indexed="63"/>
      </top>
      <bottom style="thick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/>
      <right/>
      <top style="thick"/>
      <bottom style="medium"/>
    </border>
    <border>
      <left/>
      <right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medium"/>
    </border>
    <border>
      <left/>
      <right style="medium"/>
      <top style="thick"/>
      <bottom style="thick"/>
    </border>
    <border>
      <left style="thin"/>
      <right/>
      <top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41" fillId="3" borderId="0" applyNumberFormat="0" applyBorder="0" applyAlignment="0" applyProtection="0"/>
    <xf numFmtId="0" fontId="114" fillId="4" borderId="0" applyNumberFormat="0" applyBorder="0" applyAlignment="0" applyProtection="0"/>
    <xf numFmtId="0" fontId="41" fillId="5" borderId="0" applyNumberFormat="0" applyBorder="0" applyAlignment="0" applyProtection="0"/>
    <xf numFmtId="0" fontId="114" fillId="6" borderId="0" applyNumberFormat="0" applyBorder="0" applyAlignment="0" applyProtection="0"/>
    <xf numFmtId="0" fontId="41" fillId="7" borderId="0" applyNumberFormat="0" applyBorder="0" applyAlignment="0" applyProtection="0"/>
    <xf numFmtId="0" fontId="114" fillId="8" borderId="0" applyNumberFormat="0" applyBorder="0" applyAlignment="0" applyProtection="0"/>
    <xf numFmtId="0" fontId="41" fillId="9" borderId="0" applyNumberFormat="0" applyBorder="0" applyAlignment="0" applyProtection="0"/>
    <xf numFmtId="0" fontId="114" fillId="10" borderId="0" applyNumberFormat="0" applyBorder="0" applyAlignment="0" applyProtection="0"/>
    <xf numFmtId="0" fontId="41" fillId="11" borderId="0" applyNumberFormat="0" applyBorder="0" applyAlignment="0" applyProtection="0"/>
    <xf numFmtId="0" fontId="114" fillId="12" borderId="0" applyNumberFormat="0" applyBorder="0" applyAlignment="0" applyProtection="0"/>
    <xf numFmtId="0" fontId="41" fillId="7" borderId="0" applyNumberFormat="0" applyBorder="0" applyAlignment="0" applyProtection="0"/>
    <xf numFmtId="0" fontId="114" fillId="13" borderId="0" applyNumberFormat="0" applyBorder="0" applyAlignment="0" applyProtection="0"/>
    <xf numFmtId="0" fontId="41" fillId="11" borderId="0" applyNumberFormat="0" applyBorder="0" applyAlignment="0" applyProtection="0"/>
    <xf numFmtId="0" fontId="114" fillId="14" borderId="0" applyNumberFormat="0" applyBorder="0" applyAlignment="0" applyProtection="0"/>
    <xf numFmtId="0" fontId="41" fillId="5" borderId="0" applyNumberFormat="0" applyBorder="0" applyAlignment="0" applyProtection="0"/>
    <xf numFmtId="0" fontId="114" fillId="15" borderId="0" applyNumberFormat="0" applyBorder="0" applyAlignment="0" applyProtection="0"/>
    <xf numFmtId="0" fontId="41" fillId="16" borderId="0" applyNumberFormat="0" applyBorder="0" applyAlignment="0" applyProtection="0"/>
    <xf numFmtId="0" fontId="114" fillId="17" borderId="0" applyNumberFormat="0" applyBorder="0" applyAlignment="0" applyProtection="0"/>
    <xf numFmtId="0" fontId="41" fillId="18" borderId="0" applyNumberFormat="0" applyBorder="0" applyAlignment="0" applyProtection="0"/>
    <xf numFmtId="0" fontId="114" fillId="19" borderId="0" applyNumberFormat="0" applyBorder="0" applyAlignment="0" applyProtection="0"/>
    <xf numFmtId="0" fontId="41" fillId="11" borderId="0" applyNumberFormat="0" applyBorder="0" applyAlignment="0" applyProtection="0"/>
    <xf numFmtId="0" fontId="114" fillId="20" borderId="0" applyNumberFormat="0" applyBorder="0" applyAlignment="0" applyProtection="0"/>
    <xf numFmtId="0" fontId="41" fillId="7" borderId="0" applyNumberFormat="0" applyBorder="0" applyAlignment="0" applyProtection="0"/>
    <xf numFmtId="0" fontId="115" fillId="21" borderId="0" applyNumberFormat="0" applyBorder="0" applyAlignment="0" applyProtection="0"/>
    <xf numFmtId="0" fontId="60" fillId="11" borderId="0" applyNumberFormat="0" applyBorder="0" applyAlignment="0" applyProtection="0"/>
    <xf numFmtId="0" fontId="115" fillId="22" borderId="0" applyNumberFormat="0" applyBorder="0" applyAlignment="0" applyProtection="0"/>
    <xf numFmtId="0" fontId="60" fillId="23" borderId="0" applyNumberFormat="0" applyBorder="0" applyAlignment="0" applyProtection="0"/>
    <xf numFmtId="0" fontId="115" fillId="24" borderId="0" applyNumberFormat="0" applyBorder="0" applyAlignment="0" applyProtection="0"/>
    <xf numFmtId="0" fontId="60" fillId="25" borderId="0" applyNumberFormat="0" applyBorder="0" applyAlignment="0" applyProtection="0"/>
    <xf numFmtId="0" fontId="115" fillId="26" borderId="0" applyNumberFormat="0" applyBorder="0" applyAlignment="0" applyProtection="0"/>
    <xf numFmtId="0" fontId="60" fillId="18" borderId="0" applyNumberFormat="0" applyBorder="0" applyAlignment="0" applyProtection="0"/>
    <xf numFmtId="0" fontId="115" fillId="27" borderId="0" applyNumberFormat="0" applyBorder="0" applyAlignment="0" applyProtection="0"/>
    <xf numFmtId="0" fontId="60" fillId="11" borderId="0" applyNumberFormat="0" applyBorder="0" applyAlignment="0" applyProtection="0"/>
    <xf numFmtId="0" fontId="115" fillId="28" borderId="0" applyNumberFormat="0" applyBorder="0" applyAlignment="0" applyProtection="0"/>
    <xf numFmtId="0" fontId="60" fillId="5" borderId="0" applyNumberFormat="0" applyBorder="0" applyAlignment="0" applyProtection="0"/>
    <xf numFmtId="0" fontId="116" fillId="29" borderId="1" applyNumberFormat="0" applyAlignment="0" applyProtection="0"/>
    <xf numFmtId="0" fontId="61" fillId="16" borderId="2" applyNumberFormat="0" applyAlignment="0" applyProtection="0"/>
    <xf numFmtId="0" fontId="1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62" fillId="0" borderId="4" applyNumberFormat="0" applyFill="0" applyAlignment="0" applyProtection="0"/>
    <xf numFmtId="0" fontId="119" fillId="0" borderId="5" applyNumberFormat="0" applyFill="0" applyAlignment="0" applyProtection="0"/>
    <xf numFmtId="0" fontId="63" fillId="0" borderId="6" applyNumberFormat="0" applyFill="0" applyAlignment="0" applyProtection="0"/>
    <xf numFmtId="0" fontId="120" fillId="0" borderId="7" applyNumberFormat="0" applyFill="0" applyAlignment="0" applyProtection="0"/>
    <xf numFmtId="0" fontId="64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" fontId="52" fillId="0" borderId="0" applyFont="0" applyFill="0" applyBorder="0" applyAlignment="0">
      <protection locked="0"/>
    </xf>
    <xf numFmtId="0" fontId="121" fillId="30" borderId="9" applyNumberFormat="0" applyAlignment="0" applyProtection="0"/>
    <xf numFmtId="0" fontId="65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11" applyNumberFormat="0" applyFill="0" applyAlignment="0" applyProtection="0"/>
    <xf numFmtId="0" fontId="66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60" fillId="33" borderId="0" applyNumberFormat="0" applyBorder="0" applyAlignment="0" applyProtection="0"/>
    <xf numFmtId="0" fontId="60" fillId="23" borderId="0" applyNumberFormat="0" applyBorder="0" applyAlignment="0" applyProtection="0"/>
    <xf numFmtId="0" fontId="60" fillId="25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25" fillId="43" borderId="0" applyNumberFormat="0" applyBorder="0" applyAlignment="0" applyProtection="0"/>
    <xf numFmtId="0" fontId="67" fillId="11" borderId="0" applyNumberFormat="0" applyBorder="0" applyAlignment="0" applyProtection="0"/>
    <xf numFmtId="0" fontId="126" fillId="44" borderId="15" applyNumberFormat="0" applyAlignment="0" applyProtection="0"/>
    <xf numFmtId="0" fontId="68" fillId="45" borderId="16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0" fillId="0" borderId="17" applyNumberFormat="0" applyFill="0" applyAlignment="0" applyProtection="0"/>
    <xf numFmtId="0" fontId="5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46" borderId="0" applyNumberFormat="0" applyBorder="0" applyAlignment="0" applyProtection="0"/>
    <xf numFmtId="0" fontId="70" fillId="47" borderId="0" applyNumberFormat="0" applyBorder="0" applyAlignment="0" applyProtection="0"/>
    <xf numFmtId="0" fontId="132" fillId="48" borderId="0" applyNumberFormat="0" applyBorder="0" applyAlignment="0" applyProtection="0"/>
    <xf numFmtId="0" fontId="71" fillId="16" borderId="0" applyNumberFormat="0" applyBorder="0" applyAlignment="0" applyProtection="0"/>
    <xf numFmtId="0" fontId="133" fillId="44" borderId="1" applyNumberFormat="0" applyAlignment="0" applyProtection="0"/>
    <xf numFmtId="0" fontId="72" fillId="45" borderId="2" applyNumberFormat="0" applyAlignment="0" applyProtection="0"/>
    <xf numFmtId="9" fontId="0" fillId="0" borderId="0" applyFont="0" applyFill="0" applyBorder="0" applyAlignment="0" applyProtection="0"/>
  </cellStyleXfs>
  <cellXfs count="20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2" fillId="45" borderId="34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2" fillId="51" borderId="35" xfId="0" applyNumberFormat="1" applyFont="1" applyFill="1" applyBorder="1" applyAlignment="1">
      <alignment horizontal="right" vertical="center"/>
    </xf>
    <xf numFmtId="3" fontId="12" fillId="45" borderId="34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24" fillId="45" borderId="36" xfId="0" applyFont="1" applyFill="1" applyBorder="1" applyAlignment="1">
      <alignment/>
    </xf>
    <xf numFmtId="0" fontId="24" fillId="45" borderId="37" xfId="0" applyFont="1" applyFill="1" applyBorder="1" applyAlignment="1">
      <alignment/>
    </xf>
    <xf numFmtId="0" fontId="18" fillId="51" borderId="36" xfId="0" applyFont="1" applyFill="1" applyBorder="1" applyAlignment="1">
      <alignment horizontal="center" vertical="center"/>
    </xf>
    <xf numFmtId="0" fontId="18" fillId="51" borderId="37" xfId="0" applyFont="1" applyFill="1" applyBorder="1" applyAlignment="1">
      <alignment horizontal="center" vertical="center"/>
    </xf>
    <xf numFmtId="0" fontId="15" fillId="50" borderId="38" xfId="0" applyFont="1" applyFill="1" applyBorder="1" applyAlignment="1">
      <alignment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Continuous" vertical="center"/>
    </xf>
    <xf numFmtId="0" fontId="22" fillId="45" borderId="3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7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3" fillId="45" borderId="36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6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8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5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4">
      <alignment/>
      <protection/>
    </xf>
    <xf numFmtId="0" fontId="18" fillId="0" borderId="0" xfId="104" applyFont="1">
      <alignment/>
      <protection/>
    </xf>
    <xf numFmtId="0" fontId="8" fillId="0" borderId="0" xfId="104" applyFont="1">
      <alignment/>
      <protection/>
    </xf>
    <xf numFmtId="0" fontId="4" fillId="0" borderId="0" xfId="104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45" borderId="34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7" fillId="0" borderId="27" xfId="0" applyNumberFormat="1" applyFont="1" applyFill="1" applyBorder="1" applyAlignment="1">
      <alignment horizontal="right" vertical="center"/>
    </xf>
    <xf numFmtId="3" fontId="17" fillId="45" borderId="27" xfId="0" applyNumberFormat="1" applyFont="1" applyFill="1" applyBorder="1" applyAlignment="1">
      <alignment horizontal="right" vertical="center"/>
    </xf>
    <xf numFmtId="3" fontId="17" fillId="0" borderId="27" xfId="0" applyNumberFormat="1" applyFont="1" applyFill="1" applyBorder="1" applyAlignment="1">
      <alignment horizontal="right" vertical="center"/>
    </xf>
    <xf numFmtId="0" fontId="0" fillId="0" borderId="0" xfId="104" applyAlignment="1">
      <alignment vertical="center"/>
      <protection/>
    </xf>
    <xf numFmtId="0" fontId="2" fillId="0" borderId="0" xfId="104" applyFont="1" applyFill="1" applyAlignment="1">
      <alignment horizontal="center"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ont="1" applyFill="1" applyAlignment="1">
      <alignment vertical="center"/>
      <protection/>
    </xf>
    <xf numFmtId="3" fontId="4" fillId="0" borderId="0" xfId="104" applyNumberFormat="1" applyFont="1" applyAlignment="1">
      <alignment horizontal="right" vertical="center"/>
      <protection/>
    </xf>
    <xf numFmtId="3" fontId="15" fillId="0" borderId="0" xfId="100" applyNumberFormat="1" applyFont="1" applyAlignment="1">
      <alignment horizontal="right" vertical="center"/>
      <protection/>
    </xf>
    <xf numFmtId="0" fontId="12" fillId="0" borderId="0" xfId="104" applyFont="1" applyFill="1" applyBorder="1" applyAlignment="1">
      <alignment horizontal="center" vertical="center"/>
      <protection/>
    </xf>
    <xf numFmtId="0" fontId="18" fillId="0" borderId="0" xfId="104" applyFont="1" applyFill="1" applyBorder="1" applyAlignment="1">
      <alignment vertical="center"/>
      <protection/>
    </xf>
    <xf numFmtId="0" fontId="18" fillId="0" borderId="0" xfId="106" applyFont="1" applyBorder="1" applyAlignment="1">
      <alignment horizontal="right" vertical="center"/>
      <protection/>
    </xf>
    <xf numFmtId="3" fontId="12" fillId="0" borderId="0" xfId="104" applyNumberFormat="1" applyFont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15" fillId="0" borderId="0" xfId="99" applyFont="1" applyAlignment="1">
      <alignment horizontal="right" vertical="center"/>
      <protection/>
    </xf>
    <xf numFmtId="0" fontId="2" fillId="54" borderId="62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4" xfId="0" applyNumberFormat="1" applyFont="1" applyFill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5" xfId="0" applyNumberFormat="1" applyFont="1" applyFill="1" applyBorder="1" applyAlignment="1">
      <alignment horizontal="right" vertical="center"/>
    </xf>
    <xf numFmtId="3" fontId="34" fillId="0" borderId="34" xfId="0" applyNumberFormat="1" applyFont="1" applyFill="1" applyBorder="1" applyAlignment="1">
      <alignment horizontal="right" vertical="center"/>
    </xf>
    <xf numFmtId="3" fontId="42" fillId="0" borderId="55" xfId="0" applyNumberFormat="1" applyFont="1" applyFill="1" applyBorder="1" applyAlignment="1">
      <alignment horizontal="right" vertical="center"/>
    </xf>
    <xf numFmtId="3" fontId="42" fillId="54" borderId="24" xfId="0" applyNumberFormat="1" applyFont="1" applyFill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42" fillId="0" borderId="35" xfId="0" applyNumberFormat="1" applyFont="1" applyFill="1" applyBorder="1" applyAlignment="1">
      <alignment horizontal="right" vertical="center"/>
    </xf>
    <xf numFmtId="3" fontId="42" fillId="0" borderId="34" xfId="0" applyNumberFormat="1" applyFont="1" applyFill="1" applyBorder="1" applyAlignment="1">
      <alignment horizontal="right" vertical="center"/>
    </xf>
    <xf numFmtId="3" fontId="42" fillId="0" borderId="67" xfId="0" applyNumberFormat="1" applyFont="1" applyFill="1" applyBorder="1" applyAlignment="1">
      <alignment horizontal="right" vertical="center"/>
    </xf>
    <xf numFmtId="3" fontId="42" fillId="0" borderId="68" xfId="0" applyNumberFormat="1" applyFont="1" applyFill="1" applyBorder="1" applyAlignment="1">
      <alignment horizontal="right" vertical="center"/>
    </xf>
    <xf numFmtId="3" fontId="42" fillId="57" borderId="24" xfId="0" applyNumberFormat="1" applyFont="1" applyFill="1" applyBorder="1" applyAlignment="1">
      <alignment horizontal="right" vertical="center"/>
    </xf>
    <xf numFmtId="3" fontId="42" fillId="57" borderId="69" xfId="0" applyNumberFormat="1" applyFont="1" applyFill="1" applyBorder="1" applyAlignment="1">
      <alignment horizontal="right" vertical="center"/>
    </xf>
    <xf numFmtId="3" fontId="42" fillId="57" borderId="70" xfId="0" applyNumberFormat="1" applyFont="1" applyFill="1" applyBorder="1" applyAlignment="1">
      <alignment horizontal="right" vertical="center"/>
    </xf>
    <xf numFmtId="3" fontId="42" fillId="57" borderId="71" xfId="0" applyNumberFormat="1" applyFont="1" applyFill="1" applyBorder="1" applyAlignment="1">
      <alignment horizontal="right" vertical="center"/>
    </xf>
    <xf numFmtId="3" fontId="42" fillId="54" borderId="72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3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3" fontId="15" fillId="0" borderId="0" xfId="99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2" fillId="53" borderId="38" xfId="0" applyFont="1" applyFill="1" applyBorder="1" applyAlignment="1">
      <alignment horizontal="center" vertical="center"/>
    </xf>
    <xf numFmtId="0" fontId="42" fillId="54" borderId="38" xfId="0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5" xfId="0" applyFont="1" applyFill="1" applyBorder="1" applyAlignment="1">
      <alignment horizontal="centerContinuous" vertical="center" wrapText="1"/>
    </xf>
    <xf numFmtId="0" fontId="12" fillId="0" borderId="75" xfId="0" applyFont="1" applyFill="1" applyBorder="1" applyAlignment="1">
      <alignment horizontal="centerContinuous" vertical="center" wrapText="1"/>
    </xf>
    <xf numFmtId="0" fontId="12" fillId="9" borderId="78" xfId="0" applyFont="1" applyFill="1" applyBorder="1" applyAlignment="1">
      <alignment horizontal="center" vertical="center"/>
    </xf>
    <xf numFmtId="3" fontId="12" fillId="9" borderId="7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5" xfId="102" applyNumberFormat="1" applyFont="1" applyBorder="1" applyAlignment="1">
      <alignment vertical="center"/>
    </xf>
    <xf numFmtId="0" fontId="12" fillId="53" borderId="38" xfId="0" applyFont="1" applyFill="1" applyBorder="1" applyAlignment="1">
      <alignment horizontal="center" vertical="center"/>
    </xf>
    <xf numFmtId="3" fontId="12" fillId="53" borderId="24" xfId="102" applyNumberFormat="1" applyFont="1" applyFill="1" applyBorder="1" applyAlignment="1">
      <alignment vertical="center"/>
    </xf>
    <xf numFmtId="0" fontId="2" fillId="9" borderId="79" xfId="0" applyFont="1" applyFill="1" applyBorder="1" applyAlignment="1">
      <alignment horizontal="center" vertical="center"/>
    </xf>
    <xf numFmtId="3" fontId="12" fillId="9" borderId="80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2" fillId="45" borderId="5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42" fillId="0" borderId="50" xfId="0" applyFont="1" applyFill="1" applyBorder="1" applyAlignment="1">
      <alignment horizontal="center" vertical="center"/>
    </xf>
    <xf numFmtId="3" fontId="34" fillId="45" borderId="35" xfId="0" applyNumberFormat="1" applyFont="1" applyFill="1" applyBorder="1" applyAlignment="1">
      <alignment horizontal="right" vertical="center"/>
    </xf>
    <xf numFmtId="3" fontId="34" fillId="0" borderId="34" xfId="102" applyNumberFormat="1" applyFont="1" applyBorder="1" applyAlignment="1">
      <alignment vertical="center"/>
    </xf>
    <xf numFmtId="3" fontId="42" fillId="53" borderId="24" xfId="102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57" borderId="79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50" borderId="4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40" xfId="0" applyFont="1" applyFill="1" applyBorder="1" applyAlignment="1">
      <alignment vertical="center"/>
    </xf>
    <xf numFmtId="0" fontId="42" fillId="53" borderId="2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4" applyFont="1" applyFill="1" applyAlignment="1">
      <alignment horizontal="center"/>
      <protection/>
    </xf>
    <xf numFmtId="0" fontId="0" fillId="0" borderId="0" xfId="104" applyFill="1">
      <alignment/>
      <protection/>
    </xf>
    <xf numFmtId="3" fontId="2" fillId="0" borderId="0" xfId="104" applyNumberFormat="1" applyFont="1" applyFill="1">
      <alignment/>
      <protection/>
    </xf>
    <xf numFmtId="3" fontId="2" fillId="0" borderId="0" xfId="104" applyNumberFormat="1" applyFont="1">
      <alignment/>
      <protection/>
    </xf>
    <xf numFmtId="0" fontId="2" fillId="0" borderId="0" xfId="104" applyFont="1" applyFill="1">
      <alignment/>
      <protection/>
    </xf>
    <xf numFmtId="3" fontId="13" fillId="0" borderId="8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13" fillId="0" borderId="84" xfId="0" applyNumberFormat="1" applyFont="1" applyFill="1" applyBorder="1" applyAlignment="1">
      <alignment vertical="center"/>
    </xf>
    <xf numFmtId="0" fontId="42" fillId="54" borderId="24" xfId="0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3" fontId="13" fillId="0" borderId="88" xfId="0" applyNumberFormat="1" applyFont="1" applyBorder="1" applyAlignment="1">
      <alignment vertical="center"/>
    </xf>
    <xf numFmtId="3" fontId="13" fillId="0" borderId="8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4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0" fontId="13" fillId="16" borderId="94" xfId="0" applyFont="1" applyFill="1" applyBorder="1" applyAlignment="1">
      <alignment horizontal="center" vertical="center"/>
    </xf>
    <xf numFmtId="3" fontId="13" fillId="16" borderId="95" xfId="0" applyNumberFormat="1" applyFont="1" applyFill="1" applyBorder="1" applyAlignment="1">
      <alignment vertical="center"/>
    </xf>
    <xf numFmtId="0" fontId="13" fillId="16" borderId="96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97" xfId="0" applyFont="1" applyFill="1" applyBorder="1" applyAlignment="1">
      <alignment vertical="center"/>
    </xf>
    <xf numFmtId="0" fontId="13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49" borderId="93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3" fontId="13" fillId="16" borderId="104" xfId="0" applyNumberFormat="1" applyFont="1" applyFill="1" applyBorder="1" applyAlignment="1">
      <alignment vertical="center"/>
    </xf>
    <xf numFmtId="3" fontId="13" fillId="16" borderId="96" xfId="0" applyNumberFormat="1" applyFont="1" applyFill="1" applyBorder="1" applyAlignment="1">
      <alignment vertical="center"/>
    </xf>
    <xf numFmtId="0" fontId="13" fillId="16" borderId="94" xfId="0" applyFont="1" applyFill="1" applyBorder="1" applyAlignment="1">
      <alignment vertical="center"/>
    </xf>
    <xf numFmtId="0" fontId="13" fillId="0" borderId="105" xfId="0" applyFont="1" applyBorder="1" applyAlignment="1">
      <alignment horizontal="center" vertical="center"/>
    </xf>
    <xf numFmtId="0" fontId="13" fillId="0" borderId="105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3" xfId="0" applyNumberFormat="1" applyFont="1" applyFill="1" applyBorder="1" applyAlignment="1">
      <alignment vertical="center"/>
    </xf>
    <xf numFmtId="3" fontId="13" fillId="16" borderId="106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6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07" xfId="0" applyFont="1" applyFill="1" applyBorder="1" applyAlignment="1">
      <alignment vertical="center"/>
    </xf>
    <xf numFmtId="0" fontId="16" fillId="49" borderId="108" xfId="0" applyFont="1" applyFill="1" applyBorder="1" applyAlignment="1">
      <alignment vertical="center"/>
    </xf>
    <xf numFmtId="0" fontId="16" fillId="49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73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0" fontId="13" fillId="45" borderId="10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74" xfId="0" applyNumberFormat="1" applyFont="1" applyFill="1" applyBorder="1" applyAlignment="1">
      <alignment vertical="center"/>
    </xf>
    <xf numFmtId="3" fontId="13" fillId="0" borderId="73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99" xfId="0" applyNumberFormat="1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10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4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1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88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87" xfId="0" applyFont="1" applyFill="1" applyBorder="1" applyAlignment="1">
      <alignment vertical="center"/>
    </xf>
    <xf numFmtId="0" fontId="16" fillId="49" borderId="1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16" borderId="104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4" fontId="13" fillId="0" borderId="104" xfId="0" applyNumberFormat="1" applyFont="1" applyBorder="1" applyAlignment="1">
      <alignment vertical="center"/>
    </xf>
    <xf numFmtId="4" fontId="13" fillId="0" borderId="95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13" fillId="0" borderId="106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12" fillId="51" borderId="37" xfId="0" applyFont="1" applyFill="1" applyBorder="1" applyAlignment="1">
      <alignment horizontal="center" vertical="center"/>
    </xf>
    <xf numFmtId="0" fontId="0" fillId="0" borderId="0" xfId="104" applyFill="1" applyAlignment="1">
      <alignment horizontal="right"/>
      <protection/>
    </xf>
    <xf numFmtId="3" fontId="2" fillId="0" borderId="0" xfId="104" applyNumberFormat="1" applyFont="1" applyFill="1" applyAlignment="1">
      <alignment horizontal="right"/>
      <protection/>
    </xf>
    <xf numFmtId="3" fontId="2" fillId="0" borderId="0" xfId="104" applyNumberFormat="1" applyFont="1" applyAlignment="1">
      <alignment horizontal="right"/>
      <protection/>
    </xf>
    <xf numFmtId="0" fontId="2" fillId="0" borderId="0" xfId="104" applyFont="1" applyFill="1" applyAlignment="1">
      <alignment horizontal="right"/>
      <protection/>
    </xf>
    <xf numFmtId="3" fontId="0" fillId="0" borderId="0" xfId="104" applyNumberFormat="1" applyFill="1" applyAlignment="1">
      <alignment horizontal="right"/>
      <protection/>
    </xf>
    <xf numFmtId="0" fontId="12" fillId="54" borderId="23" xfId="104" applyFont="1" applyFill="1" applyBorder="1" applyAlignment="1">
      <alignment horizontal="center" vertical="center"/>
      <protection/>
    </xf>
    <xf numFmtId="0" fontId="14" fillId="54" borderId="23" xfId="104" applyFont="1" applyFill="1" applyBorder="1" applyAlignment="1">
      <alignment vertical="center"/>
      <protection/>
    </xf>
    <xf numFmtId="3" fontId="14" fillId="54" borderId="23" xfId="104" applyNumberFormat="1" applyFont="1" applyFill="1" applyBorder="1" applyAlignment="1">
      <alignment vertical="center"/>
      <protection/>
    </xf>
    <xf numFmtId="0" fontId="18" fillId="0" borderId="0" xfId="104" applyFont="1" applyAlignment="1">
      <alignment vertical="center"/>
      <protection/>
    </xf>
    <xf numFmtId="0" fontId="0" fillId="0" borderId="0" xfId="104" applyNumberFormat="1" applyFont="1" applyAlignment="1">
      <alignment horizontal="right" vertical="center"/>
      <protection/>
    </xf>
    <xf numFmtId="0" fontId="13" fillId="0" borderId="114" xfId="104" applyFont="1" applyFill="1" applyBorder="1" applyAlignment="1">
      <alignment horizontal="center" vertical="center"/>
      <protection/>
    </xf>
    <xf numFmtId="0" fontId="8" fillId="0" borderId="114" xfId="104" applyFont="1" applyFill="1" applyBorder="1" applyAlignment="1">
      <alignment vertical="center"/>
      <protection/>
    </xf>
    <xf numFmtId="0" fontId="23" fillId="0" borderId="114" xfId="104" applyFont="1" applyFill="1" applyBorder="1" applyAlignment="1">
      <alignment horizontal="right" vertical="center"/>
      <protection/>
    </xf>
    <xf numFmtId="3" fontId="13" fillId="0" borderId="0" xfId="104" applyNumberFormat="1" applyFont="1" applyAlignment="1">
      <alignment vertical="center"/>
      <protection/>
    </xf>
    <xf numFmtId="3" fontId="13" fillId="0" borderId="0" xfId="104" applyNumberFormat="1" applyFont="1" applyAlignment="1">
      <alignment horizontal="right" vertical="center"/>
      <protection/>
    </xf>
    <xf numFmtId="0" fontId="19" fillId="50" borderId="24" xfId="104" applyFont="1" applyFill="1" applyBorder="1" applyAlignment="1">
      <alignment horizontal="center" vertical="center"/>
      <protection/>
    </xf>
    <xf numFmtId="0" fontId="20" fillId="0" borderId="0" xfId="104" applyFont="1" applyFill="1" applyAlignment="1">
      <alignment horizontal="center" vertical="center"/>
      <protection/>
    </xf>
    <xf numFmtId="0" fontId="19" fillId="0" borderId="0" xfId="104" applyFont="1" applyFill="1" applyAlignment="1">
      <alignment horizontal="center" vertical="center"/>
      <protection/>
    </xf>
    <xf numFmtId="0" fontId="12" fillId="0" borderId="48" xfId="104" applyFont="1" applyFill="1" applyBorder="1" applyAlignment="1">
      <alignment horizontal="center" vertical="center"/>
      <protection/>
    </xf>
    <xf numFmtId="0" fontId="17" fillId="0" borderId="34" xfId="104" applyFont="1" applyFill="1" applyBorder="1" applyAlignment="1">
      <alignment vertical="center"/>
      <protection/>
    </xf>
    <xf numFmtId="3" fontId="14" fillId="57" borderId="34" xfId="104" applyNumberFormat="1" applyFont="1" applyFill="1" applyBorder="1" applyAlignment="1">
      <alignment horizontal="right" vertical="center"/>
      <protection/>
    </xf>
    <xf numFmtId="3" fontId="14" fillId="0" borderId="48" xfId="104" applyNumberFormat="1" applyFont="1" applyFill="1" applyBorder="1" applyAlignment="1">
      <alignment horizontal="right" vertical="center"/>
      <protection/>
    </xf>
    <xf numFmtId="3" fontId="14" fillId="57" borderId="35" xfId="104" applyNumberFormat="1" applyFont="1" applyFill="1" applyBorder="1" applyAlignment="1">
      <alignment vertical="center"/>
      <protection/>
    </xf>
    <xf numFmtId="0" fontId="12" fillId="0" borderId="34" xfId="104" applyFont="1" applyFill="1" applyBorder="1" applyAlignment="1">
      <alignment horizontal="center" vertical="center"/>
      <protection/>
    </xf>
    <xf numFmtId="3" fontId="14" fillId="0" borderId="34" xfId="104" applyNumberFormat="1" applyFont="1" applyFill="1" applyBorder="1" applyAlignment="1">
      <alignment horizontal="right" vertical="center"/>
      <protection/>
    </xf>
    <xf numFmtId="3" fontId="14" fillId="0" borderId="34" xfId="104" applyNumberFormat="1" applyFont="1" applyBorder="1" applyAlignment="1">
      <alignment horizontal="right" vertical="center"/>
      <protection/>
    </xf>
    <xf numFmtId="0" fontId="0" fillId="0" borderId="0" xfId="104" applyFont="1" applyAlignment="1">
      <alignment vertical="center"/>
      <protection/>
    </xf>
    <xf numFmtId="3" fontId="14" fillId="57" borderId="34" xfId="104" applyNumberFormat="1" applyFont="1" applyFill="1" applyBorder="1" applyAlignment="1">
      <alignment vertical="center"/>
      <protection/>
    </xf>
    <xf numFmtId="0" fontId="12" fillId="53" borderId="24" xfId="104" applyFont="1" applyFill="1" applyBorder="1" applyAlignment="1">
      <alignment horizontal="center" vertical="center"/>
      <protection/>
    </xf>
    <xf numFmtId="0" fontId="12" fillId="53" borderId="24" xfId="104" applyFont="1" applyFill="1" applyBorder="1" applyAlignment="1">
      <alignment horizontal="left" vertical="center"/>
      <protection/>
    </xf>
    <xf numFmtId="3" fontId="14" fillId="53" borderId="24" xfId="104" applyNumberFormat="1" applyFont="1" applyFill="1" applyBorder="1" applyAlignment="1">
      <alignment vertical="center"/>
      <protection/>
    </xf>
    <xf numFmtId="0" fontId="2" fillId="0" borderId="0" xfId="104" applyFont="1" applyAlignment="1">
      <alignment vertical="center"/>
      <protection/>
    </xf>
    <xf numFmtId="3" fontId="14" fillId="57" borderId="35" xfId="104" applyNumberFormat="1" applyFont="1" applyFill="1" applyBorder="1" applyAlignment="1">
      <alignment horizontal="right" vertical="center"/>
      <protection/>
    </xf>
    <xf numFmtId="3" fontId="14" fillId="57" borderId="53" xfId="104" applyNumberFormat="1" applyFont="1" applyFill="1" applyBorder="1" applyAlignment="1">
      <alignment vertical="center"/>
      <protection/>
    </xf>
    <xf numFmtId="0" fontId="30" fillId="0" borderId="0" xfId="104" applyFont="1" applyAlignment="1">
      <alignment vertical="center"/>
      <protection/>
    </xf>
    <xf numFmtId="0" fontId="14" fillId="53" borderId="24" xfId="104" applyFont="1" applyFill="1" applyBorder="1" applyAlignment="1">
      <alignment horizontal="center" vertical="center"/>
      <protection/>
    </xf>
    <xf numFmtId="0" fontId="14" fillId="53" borderId="24" xfId="104" applyFont="1" applyFill="1" applyBorder="1" applyAlignment="1">
      <alignment vertical="center"/>
      <protection/>
    </xf>
    <xf numFmtId="3" fontId="14" fillId="53" borderId="24" xfId="104" applyNumberFormat="1" applyFont="1" applyFill="1" applyBorder="1" applyAlignment="1">
      <alignment horizontal="right" vertical="center"/>
      <protection/>
    </xf>
    <xf numFmtId="0" fontId="17" fillId="0" borderId="0" xfId="104" applyFont="1" applyAlignment="1">
      <alignment vertical="center"/>
      <protection/>
    </xf>
    <xf numFmtId="3" fontId="17" fillId="0" borderId="27" xfId="104" applyNumberFormat="1" applyFont="1" applyFill="1" applyBorder="1" applyAlignment="1">
      <alignment horizontal="right" vertical="center"/>
      <protection/>
    </xf>
    <xf numFmtId="3" fontId="17" fillId="0" borderId="74" xfId="103" applyNumberFormat="1" applyFont="1" applyBorder="1" applyAlignment="1">
      <alignment horizontal="right" vertical="center"/>
    </xf>
    <xf numFmtId="3" fontId="17" fillId="0" borderId="74" xfId="103" applyNumberFormat="1" applyFont="1" applyFill="1" applyBorder="1" applyAlignment="1">
      <alignment horizontal="right" vertical="center"/>
    </xf>
    <xf numFmtId="3" fontId="7" fillId="0" borderId="0" xfId="104" applyNumberFormat="1" applyFont="1" applyAlignment="1">
      <alignment horizontal="right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0" fontId="15" fillId="0" borderId="0" xfId="104" applyFont="1" applyFill="1" applyBorder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Fill="1" applyAlignment="1">
      <alignment vertical="center"/>
      <protection/>
    </xf>
    <xf numFmtId="0" fontId="7" fillId="0" borderId="0" xfId="104" applyFont="1" applyFill="1" applyAlignment="1">
      <alignment vertical="center"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4" applyNumberFormat="1" applyFont="1" applyAlignment="1">
      <alignment horizontal="left" vertical="center"/>
      <protection/>
    </xf>
    <xf numFmtId="3" fontId="15" fillId="0" borderId="0" xfId="104" applyNumberFormat="1" applyFont="1" applyFill="1" applyAlignment="1">
      <alignment vertical="center"/>
      <protection/>
    </xf>
    <xf numFmtId="0" fontId="19" fillId="0" borderId="0" xfId="104" applyFont="1" applyAlignment="1">
      <alignment vertical="center"/>
      <protection/>
    </xf>
    <xf numFmtId="0" fontId="20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3" fontId="15" fillId="0" borderId="0" xfId="104" applyNumberFormat="1" applyFont="1" applyAlignment="1">
      <alignment vertical="center"/>
      <protection/>
    </xf>
    <xf numFmtId="0" fontId="7" fillId="0" borderId="0" xfId="104" applyFont="1">
      <alignment/>
      <protection/>
    </xf>
    <xf numFmtId="3" fontId="7" fillId="0" borderId="0" xfId="104" applyNumberFormat="1" applyFont="1">
      <alignment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0" applyNumberFormat="1" applyFont="1" applyFill="1" applyAlignment="1">
      <alignment horizontal="center" vertical="center"/>
      <protection/>
    </xf>
    <xf numFmtId="3" fontId="15" fillId="0" borderId="0" xfId="99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7" fillId="0" borderId="0" xfId="104" applyNumberFormat="1" applyFont="1" applyFill="1" applyAlignment="1">
      <alignment horizontal="center"/>
      <protection/>
    </xf>
    <xf numFmtId="0" fontId="19" fillId="50" borderId="81" xfId="104" applyFont="1" applyFill="1" applyBorder="1" applyAlignment="1">
      <alignment horizontal="center" vertical="center"/>
      <protection/>
    </xf>
    <xf numFmtId="3" fontId="17" fillId="0" borderId="30" xfId="104" applyNumberFormat="1" applyFont="1" applyFill="1" applyBorder="1" applyAlignment="1">
      <alignment horizontal="right" vertical="center"/>
      <protection/>
    </xf>
    <xf numFmtId="3" fontId="17" fillId="0" borderId="31" xfId="103" applyNumberFormat="1" applyFont="1" applyBorder="1" applyAlignment="1">
      <alignment horizontal="right" vertical="center"/>
    </xf>
    <xf numFmtId="3" fontId="17" fillId="0" borderId="31" xfId="103" applyNumberFormat="1" applyFont="1" applyFill="1" applyBorder="1" applyAlignment="1">
      <alignment horizontal="right" vertical="center"/>
    </xf>
    <xf numFmtId="3" fontId="14" fillId="54" borderId="115" xfId="104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8" borderId="4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16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17" xfId="0" applyNumberFormat="1" applyFont="1" applyFill="1" applyBorder="1" applyAlignment="1">
      <alignment horizontal="right" vertical="center"/>
    </xf>
    <xf numFmtId="0" fontId="12" fillId="0" borderId="35" xfId="104" applyFont="1" applyFill="1" applyBorder="1" applyAlignment="1">
      <alignment horizontal="center" vertical="center"/>
      <protection/>
    </xf>
    <xf numFmtId="0" fontId="17" fillId="0" borderId="35" xfId="104" applyFont="1" applyFill="1" applyBorder="1" applyAlignment="1">
      <alignment vertical="center"/>
      <protection/>
    </xf>
    <xf numFmtId="3" fontId="17" fillId="0" borderId="74" xfId="104" applyNumberFormat="1" applyFont="1" applyFill="1" applyBorder="1" applyAlignment="1">
      <alignment horizontal="right" vertical="center"/>
      <protection/>
    </xf>
    <xf numFmtId="3" fontId="17" fillId="0" borderId="31" xfId="104" applyNumberFormat="1" applyFont="1" applyFill="1" applyBorder="1" applyAlignment="1">
      <alignment horizontal="right" vertical="center"/>
      <protection/>
    </xf>
    <xf numFmtId="3" fontId="17" fillId="0" borderId="37" xfId="104" applyNumberFormat="1" applyFont="1" applyFill="1" applyBorder="1" applyAlignment="1">
      <alignment horizontal="right" vertical="center"/>
      <protection/>
    </xf>
    <xf numFmtId="3" fontId="14" fillId="0" borderId="35" xfId="104" applyNumberFormat="1" applyFont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7" borderId="2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13" fillId="16" borderId="38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39" xfId="0" applyNumberFormat="1" applyFont="1" applyFill="1" applyBorder="1" applyAlignment="1">
      <alignment vertical="center"/>
    </xf>
    <xf numFmtId="3" fontId="17" fillId="53" borderId="33" xfId="103" applyNumberFormat="1" applyFont="1" applyFill="1" applyBorder="1" applyAlignment="1">
      <alignment horizontal="right" vertical="center"/>
    </xf>
    <xf numFmtId="3" fontId="17" fillId="53" borderId="118" xfId="103" applyNumberFormat="1" applyFont="1" applyFill="1" applyBorder="1" applyAlignment="1">
      <alignment horizontal="right" vertical="center"/>
    </xf>
    <xf numFmtId="3" fontId="17" fillId="53" borderId="44" xfId="104" applyNumberFormat="1" applyFont="1" applyFill="1" applyBorder="1" applyAlignment="1">
      <alignment horizontal="right" vertical="center"/>
      <protection/>
    </xf>
    <xf numFmtId="3" fontId="14" fillId="53" borderId="48" xfId="104" applyNumberFormat="1" applyFont="1" applyFill="1" applyBorder="1" applyAlignment="1">
      <alignment vertical="center"/>
      <protection/>
    </xf>
    <xf numFmtId="0" fontId="0" fillId="0" borderId="0" xfId="104" applyFont="1" applyFill="1" applyAlignment="1">
      <alignment horizontal="right"/>
      <protection/>
    </xf>
    <xf numFmtId="0" fontId="43" fillId="0" borderId="26" xfId="105" applyFont="1" applyBorder="1" applyAlignment="1" applyProtection="1">
      <alignment vertical="center"/>
      <protection hidden="1"/>
    </xf>
    <xf numFmtId="0" fontId="43" fillId="0" borderId="26" xfId="105" applyFont="1" applyBorder="1" applyAlignment="1" applyProtection="1">
      <alignment horizontal="center" vertical="center"/>
      <protection hidden="1"/>
    </xf>
    <xf numFmtId="0" fontId="48" fillId="0" borderId="26" xfId="105" applyFont="1" applyBorder="1" applyAlignment="1" applyProtection="1">
      <alignment vertical="center"/>
      <protection hidden="1"/>
    </xf>
    <xf numFmtId="0" fontId="48" fillId="0" borderId="26" xfId="105" applyFont="1" applyBorder="1" applyAlignment="1" applyProtection="1">
      <alignment horizontal="left" vertical="center"/>
      <protection hidden="1"/>
    </xf>
    <xf numFmtId="0" fontId="48" fillId="0" borderId="21" xfId="105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45" borderId="81" xfId="105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3" fillId="0" borderId="52" xfId="105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34" xfId="105" applyFont="1" applyBorder="1" applyAlignment="1" applyProtection="1">
      <alignment horizontal="left" vertical="center"/>
      <protection hidden="1"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Alignment="1">
      <alignment horizontal="right"/>
    </xf>
    <xf numFmtId="3" fontId="43" fillId="0" borderId="34" xfId="68" applyNumberFormat="1" applyFont="1" applyBorder="1" applyAlignment="1" applyProtection="1">
      <alignment horizontal="right" vertical="center"/>
      <protection hidden="1"/>
    </xf>
    <xf numFmtId="3" fontId="47" fillId="0" borderId="34" xfId="68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vertical="center"/>
    </xf>
    <xf numFmtId="3" fontId="43" fillId="0" borderId="34" xfId="95" applyNumberFormat="1" applyFont="1" applyBorder="1" applyAlignment="1">
      <alignment horizontal="right" vertical="center"/>
      <protection/>
    </xf>
    <xf numFmtId="3" fontId="43" fillId="0" borderId="53" xfId="95" applyNumberFormat="1" applyFont="1" applyBorder="1" applyAlignment="1">
      <alignment horizontal="right" vertical="center"/>
      <protection/>
    </xf>
    <xf numFmtId="3" fontId="48" fillId="0" borderId="34" xfId="105" applyNumberFormat="1" applyFont="1" applyBorder="1" applyAlignment="1" applyProtection="1">
      <alignment horizontal="right" vertical="center"/>
      <protection hidden="1"/>
    </xf>
    <xf numFmtId="3" fontId="47" fillId="0" borderId="34" xfId="105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horizontal="right" vertical="center"/>
    </xf>
    <xf numFmtId="0" fontId="48" fillId="0" borderId="52" xfId="105" applyFont="1" applyBorder="1" applyAlignment="1" applyProtection="1">
      <alignment vertical="center"/>
      <protection hidden="1"/>
    </xf>
    <xf numFmtId="3" fontId="47" fillId="0" borderId="35" xfId="68" applyNumberFormat="1" applyFont="1" applyBorder="1" applyAlignment="1" applyProtection="1">
      <alignment horizontal="right" vertical="center"/>
      <protection hidden="1"/>
    </xf>
    <xf numFmtId="3" fontId="43" fillId="0" borderId="36" xfId="95" applyNumberFormat="1" applyFont="1" applyBorder="1" applyAlignment="1">
      <alignment horizontal="right" vertical="center"/>
      <protection/>
    </xf>
    <xf numFmtId="3" fontId="43" fillId="0" borderId="36" xfId="105" applyNumberFormat="1" applyFont="1" applyBorder="1" applyAlignment="1" applyProtection="1">
      <alignment horizontal="right" vertical="center"/>
      <protection hidden="1"/>
    </xf>
    <xf numFmtId="3" fontId="43" fillId="0" borderId="119" xfId="95" applyNumberFormat="1" applyFont="1" applyBorder="1" applyAlignment="1">
      <alignment horizontal="right" vertical="center"/>
      <protection/>
    </xf>
    <xf numFmtId="3" fontId="43" fillId="0" borderId="119" xfId="105" applyNumberFormat="1" applyFont="1" applyBorder="1" applyAlignment="1" applyProtection="1">
      <alignment horizontal="right" vertical="center"/>
      <protection hidden="1"/>
    </xf>
    <xf numFmtId="3" fontId="47" fillId="0" borderId="36" xfId="105" applyNumberFormat="1" applyFont="1" applyBorder="1" applyAlignment="1" applyProtection="1">
      <alignment horizontal="right" vertical="center"/>
      <protection hidden="1"/>
    </xf>
    <xf numFmtId="3" fontId="50" fillId="0" borderId="39" xfId="0" applyNumberFormat="1" applyFont="1" applyBorder="1" applyAlignment="1">
      <alignment horizontal="center" vertical="center" wrapText="1"/>
    </xf>
    <xf numFmtId="3" fontId="43" fillId="0" borderId="55" xfId="95" applyNumberFormat="1" applyFont="1" applyBorder="1" applyAlignment="1">
      <alignment horizontal="right" vertical="center"/>
      <protection/>
    </xf>
    <xf numFmtId="3" fontId="43" fillId="0" borderId="55" xfId="68" applyNumberFormat="1" applyFont="1" applyBorder="1" applyAlignment="1" applyProtection="1">
      <alignment horizontal="right" vertical="center"/>
      <protection hidden="1"/>
    </xf>
    <xf numFmtId="3" fontId="43" fillId="0" borderId="34" xfId="105" applyNumberFormat="1" applyFont="1" applyBorder="1" applyAlignment="1" applyProtection="1">
      <alignment horizontal="right" vertical="center"/>
      <protection hidden="1"/>
    </xf>
    <xf numFmtId="3" fontId="43" fillId="0" borderId="53" xfId="105" applyNumberFormat="1" applyFont="1" applyBorder="1" applyAlignment="1" applyProtection="1">
      <alignment horizontal="right" vertical="center"/>
      <protection hidden="1"/>
    </xf>
    <xf numFmtId="0" fontId="47" fillId="45" borderId="39" xfId="105" applyFont="1" applyFill="1" applyBorder="1" applyAlignment="1" applyProtection="1">
      <alignment horizontal="center" vertical="center" wrapText="1"/>
      <protection hidden="1"/>
    </xf>
    <xf numFmtId="0" fontId="43" fillId="0" borderId="55" xfId="95" applyFont="1" applyBorder="1" applyAlignment="1">
      <alignment vertical="center"/>
      <protection/>
    </xf>
    <xf numFmtId="0" fontId="43" fillId="0" borderId="55" xfId="105" applyFont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3" fillId="0" borderId="27" xfId="105" applyFont="1" applyBorder="1" applyAlignment="1" applyProtection="1">
      <alignment horizontal="center" vertical="center"/>
      <protection hidden="1"/>
    </xf>
    <xf numFmtId="0" fontId="43" fillId="0" borderId="76" xfId="105" applyFont="1" applyBorder="1" applyAlignment="1" applyProtection="1">
      <alignment horizontal="center" vertical="center"/>
      <protection hidden="1"/>
    </xf>
    <xf numFmtId="0" fontId="48" fillId="0" borderId="111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vertical="center"/>
      <protection hidden="1"/>
    </xf>
    <xf numFmtId="0" fontId="47" fillId="0" borderId="63" xfId="105" applyFont="1" applyBorder="1" applyAlignment="1" applyProtection="1">
      <alignment horizontal="left" vertical="center"/>
      <protection hidden="1"/>
    </xf>
    <xf numFmtId="0" fontId="48" fillId="0" borderId="30" xfId="105" applyFont="1" applyBorder="1" applyAlignment="1" applyProtection="1">
      <alignment horizontal="center" vertical="center"/>
      <protection hidden="1"/>
    </xf>
    <xf numFmtId="0" fontId="48" fillId="0" borderId="51" xfId="105" applyFont="1" applyBorder="1" applyAlignment="1" applyProtection="1">
      <alignment vertical="center"/>
      <protection hidden="1"/>
    </xf>
    <xf numFmtId="0" fontId="47" fillId="0" borderId="68" xfId="105" applyFont="1" applyBorder="1" applyAlignment="1" applyProtection="1">
      <alignment horizontal="left" vertical="center"/>
      <protection hidden="1"/>
    </xf>
    <xf numFmtId="0" fontId="47" fillId="0" borderId="55" xfId="105" applyFont="1" applyBorder="1" applyAlignment="1" applyProtection="1">
      <alignment horizontal="left" vertical="center"/>
      <protection hidden="1"/>
    </xf>
    <xf numFmtId="0" fontId="43" fillId="0" borderId="90" xfId="105" applyFont="1" applyBorder="1" applyAlignment="1" applyProtection="1">
      <alignment vertical="center"/>
      <protection hidden="1"/>
    </xf>
    <xf numFmtId="0" fontId="48" fillId="0" borderId="90" xfId="105" applyFont="1" applyBorder="1" applyAlignment="1" applyProtection="1">
      <alignment vertical="center"/>
      <protection hidden="1"/>
    </xf>
    <xf numFmtId="0" fontId="48" fillId="0" borderId="19" xfId="105" applyFont="1" applyBorder="1" applyAlignment="1" applyProtection="1">
      <alignment horizontal="left" vertical="center"/>
      <protection hidden="1"/>
    </xf>
    <xf numFmtId="0" fontId="48" fillId="0" borderId="20" xfId="105" applyFont="1" applyBorder="1" applyAlignment="1" applyProtection="1">
      <alignment horizontal="left" vertical="center"/>
      <protection hidden="1"/>
    </xf>
    <xf numFmtId="0" fontId="48" fillId="0" borderId="51" xfId="105" applyFont="1" applyBorder="1" applyAlignment="1" applyProtection="1">
      <alignment horizontal="center" vertical="center"/>
      <protection hidden="1"/>
    </xf>
    <xf numFmtId="3" fontId="47" fillId="0" borderId="44" xfId="68" applyNumberFormat="1" applyFont="1" applyBorder="1" applyAlignment="1" applyProtection="1">
      <alignment horizontal="right" vertical="center"/>
      <protection hidden="1"/>
    </xf>
    <xf numFmtId="3" fontId="47" fillId="0" borderId="48" xfId="68" applyNumberFormat="1" applyFont="1" applyBorder="1" applyAlignment="1" applyProtection="1">
      <alignment horizontal="right" vertical="center"/>
      <protection hidden="1"/>
    </xf>
    <xf numFmtId="0" fontId="47" fillId="0" borderId="108" xfId="105" applyFont="1" applyBorder="1" applyAlignment="1" applyProtection="1">
      <alignment horizontal="center" vertical="center"/>
      <protection hidden="1"/>
    </xf>
    <xf numFmtId="0" fontId="47" fillId="0" borderId="74" xfId="105" applyFont="1" applyBorder="1" applyAlignment="1" applyProtection="1">
      <alignment horizontal="center" vertical="center"/>
      <protection hidden="1"/>
    </xf>
    <xf numFmtId="3" fontId="47" fillId="0" borderId="37" xfId="68" applyNumberFormat="1" applyFont="1" applyBorder="1" applyAlignment="1" applyProtection="1">
      <alignment horizontal="right" vertical="center"/>
      <protection hidden="1"/>
    </xf>
    <xf numFmtId="0" fontId="47" fillId="0" borderId="81" xfId="105" applyFont="1" applyBorder="1" applyAlignment="1" applyProtection="1">
      <alignment horizontal="center" vertical="center"/>
      <protection hidden="1"/>
    </xf>
    <xf numFmtId="0" fontId="47" fillId="0" borderId="39" xfId="105" applyFont="1" applyBorder="1" applyAlignment="1" applyProtection="1">
      <alignment horizontal="left" vertical="center"/>
      <protection hidden="1"/>
    </xf>
    <xf numFmtId="3" fontId="47" fillId="0" borderId="38" xfId="68" applyNumberFormat="1" applyFont="1" applyBorder="1" applyAlignment="1" applyProtection="1">
      <alignment horizontal="right" vertical="center"/>
      <protection hidden="1"/>
    </xf>
    <xf numFmtId="3" fontId="47" fillId="0" borderId="24" xfId="68" applyNumberFormat="1" applyFont="1" applyBorder="1" applyAlignment="1" applyProtection="1">
      <alignment horizontal="right" vertical="center"/>
      <protection hidden="1"/>
    </xf>
    <xf numFmtId="3" fontId="47" fillId="0" borderId="39" xfId="68" applyNumberFormat="1" applyFont="1" applyBorder="1" applyAlignment="1" applyProtection="1">
      <alignment horizontal="right" vertical="center"/>
      <protection hidden="1"/>
    </xf>
    <xf numFmtId="0" fontId="43" fillId="0" borderId="68" xfId="95" applyFont="1" applyBorder="1" applyAlignment="1">
      <alignment vertical="center"/>
      <protection/>
    </xf>
    <xf numFmtId="3" fontId="43" fillId="0" borderId="35" xfId="95" applyNumberFormat="1" applyFont="1" applyBorder="1" applyAlignment="1">
      <alignment horizontal="right" vertical="center"/>
      <protection/>
    </xf>
    <xf numFmtId="3" fontId="43" fillId="0" borderId="68" xfId="95" applyNumberFormat="1" applyFont="1" applyBorder="1" applyAlignment="1">
      <alignment horizontal="right" vertical="center"/>
      <protection/>
    </xf>
    <xf numFmtId="3" fontId="47" fillId="0" borderId="39" xfId="95" applyNumberFormat="1" applyFont="1" applyBorder="1" applyAlignment="1">
      <alignment horizontal="right" vertical="center"/>
      <protection/>
    </xf>
    <xf numFmtId="0" fontId="43" fillId="0" borderId="67" xfId="95" applyFont="1" applyBorder="1" applyAlignment="1">
      <alignment vertical="center"/>
      <protection/>
    </xf>
    <xf numFmtId="3" fontId="47" fillId="0" borderId="38" xfId="105" applyNumberFormat="1" applyFont="1" applyBorder="1" applyAlignment="1" applyProtection="1">
      <alignment horizontal="right" vertical="center"/>
      <protection hidden="1"/>
    </xf>
    <xf numFmtId="3" fontId="47" fillId="0" borderId="24" xfId="105" applyNumberFormat="1" applyFont="1" applyBorder="1" applyAlignment="1" applyProtection="1">
      <alignment horizontal="right" vertical="center"/>
      <protection hidden="1"/>
    </xf>
    <xf numFmtId="0" fontId="47" fillId="0" borderId="90" xfId="105" applyFont="1" applyBorder="1" applyAlignment="1" applyProtection="1">
      <alignment horizontal="center" vertical="center"/>
      <protection hidden="1"/>
    </xf>
    <xf numFmtId="0" fontId="47" fillId="0" borderId="33" xfId="105" applyFont="1" applyBorder="1" applyAlignment="1" applyProtection="1">
      <alignment horizontal="center" vertical="center"/>
      <protection hidden="1"/>
    </xf>
    <xf numFmtId="3" fontId="47" fillId="0" borderId="48" xfId="95" applyNumberFormat="1" applyFont="1" applyBorder="1" applyAlignment="1">
      <alignment horizontal="right" vertical="center"/>
      <protection/>
    </xf>
    <xf numFmtId="3" fontId="47" fillId="0" borderId="63" xfId="95" applyNumberFormat="1" applyFont="1" applyBorder="1" applyAlignment="1">
      <alignment horizontal="right" vertical="center"/>
      <protection/>
    </xf>
    <xf numFmtId="0" fontId="48" fillId="0" borderId="31" xfId="105" applyFont="1" applyBorder="1" applyAlignment="1" applyProtection="1">
      <alignment horizontal="center" vertical="center"/>
      <protection hidden="1"/>
    </xf>
    <xf numFmtId="0" fontId="47" fillId="0" borderId="115" xfId="105" applyFont="1" applyBorder="1" applyAlignment="1" applyProtection="1">
      <alignment horizontal="center" vertical="center"/>
      <protection hidden="1"/>
    </xf>
    <xf numFmtId="0" fontId="43" fillId="0" borderId="90" xfId="105" applyFont="1" applyBorder="1" applyAlignment="1" applyProtection="1">
      <alignment horizontal="left" vertical="center"/>
      <protection hidden="1"/>
    </xf>
    <xf numFmtId="0" fontId="43" fillId="0" borderId="115" xfId="105" applyFont="1" applyBorder="1" applyAlignment="1" applyProtection="1">
      <alignment horizontal="left" vertical="center"/>
      <protection hidden="1"/>
    </xf>
    <xf numFmtId="0" fontId="48" fillId="0" borderId="83" xfId="105" applyFont="1" applyBorder="1" applyAlignment="1" applyProtection="1">
      <alignment horizontal="left" vertical="center"/>
      <protection hidden="1"/>
    </xf>
    <xf numFmtId="3" fontId="47" fillId="0" borderId="41" xfId="95" applyNumberFormat="1" applyFont="1" applyBorder="1" applyAlignment="1">
      <alignment horizontal="right" vertical="center"/>
      <protection/>
    </xf>
    <xf numFmtId="3" fontId="47" fillId="0" borderId="40" xfId="95" applyNumberFormat="1" applyFont="1" applyBorder="1" applyAlignment="1">
      <alignment horizontal="right" vertical="center"/>
      <protection/>
    </xf>
    <xf numFmtId="0" fontId="47" fillId="0" borderId="68" xfId="105" applyFont="1" applyBorder="1" applyAlignment="1" applyProtection="1">
      <alignment vertical="center"/>
      <protection hidden="1"/>
    </xf>
    <xf numFmtId="0" fontId="47" fillId="0" borderId="55" xfId="95" applyFont="1" applyBorder="1" applyAlignment="1">
      <alignment vertical="center"/>
      <protection/>
    </xf>
    <xf numFmtId="0" fontId="48" fillId="0" borderId="67" xfId="105" applyFont="1" applyBorder="1" applyAlignment="1" applyProtection="1">
      <alignment horizontal="left" vertical="center"/>
      <protection hidden="1"/>
    </xf>
    <xf numFmtId="0" fontId="47" fillId="0" borderId="67" xfId="95" applyFont="1" applyBorder="1" applyAlignment="1">
      <alignment vertical="center"/>
      <protection/>
    </xf>
    <xf numFmtId="0" fontId="43" fillId="0" borderId="67" xfId="105" applyFont="1" applyBorder="1" applyAlignment="1" applyProtection="1">
      <alignment horizontal="left" vertical="center"/>
      <protection hidden="1"/>
    </xf>
    <xf numFmtId="0" fontId="47" fillId="0" borderId="73" xfId="105" applyFont="1" applyBorder="1" applyAlignment="1" applyProtection="1">
      <alignment horizontal="center" vertical="center"/>
      <protection hidden="1"/>
    </xf>
    <xf numFmtId="3" fontId="47" fillId="0" borderId="37" xfId="105" applyNumberFormat="1" applyFont="1" applyBorder="1" applyAlignment="1" applyProtection="1">
      <alignment horizontal="right" vertical="center"/>
      <protection hidden="1"/>
    </xf>
    <xf numFmtId="3" fontId="47" fillId="0" borderId="35" xfId="105" applyNumberFormat="1" applyFont="1" applyBorder="1" applyAlignment="1" applyProtection="1">
      <alignment horizontal="right" vertical="center"/>
      <protection hidden="1"/>
    </xf>
    <xf numFmtId="0" fontId="47" fillId="0" borderId="27" xfId="105" applyFont="1" applyBorder="1" applyAlignment="1" applyProtection="1">
      <alignment horizontal="center" vertical="center"/>
      <protection hidden="1"/>
    </xf>
    <xf numFmtId="0" fontId="47" fillId="0" borderId="26" xfId="105" applyFont="1" applyBorder="1" applyAlignment="1" applyProtection="1">
      <alignment horizontal="center" vertical="center"/>
      <protection hidden="1"/>
    </xf>
    <xf numFmtId="3" fontId="47" fillId="0" borderId="36" xfId="95" applyNumberFormat="1" applyFont="1" applyBorder="1" applyAlignment="1">
      <alignment horizontal="right" vertical="center"/>
      <protection/>
    </xf>
    <xf numFmtId="3" fontId="47" fillId="0" borderId="34" xfId="95" applyNumberFormat="1" applyFont="1" applyBorder="1" applyAlignment="1">
      <alignment horizontal="right" vertical="center"/>
      <protection/>
    </xf>
    <xf numFmtId="0" fontId="47" fillId="0" borderId="21" xfId="95" applyFont="1" applyBorder="1" applyAlignment="1">
      <alignment vertical="center"/>
      <protection/>
    </xf>
    <xf numFmtId="0" fontId="47" fillId="0" borderId="76" xfId="105" applyFont="1" applyBorder="1" applyAlignment="1" applyProtection="1">
      <alignment horizontal="center" vertical="center"/>
      <protection hidden="1"/>
    </xf>
    <xf numFmtId="0" fontId="47" fillId="0" borderId="111" xfId="95" applyFont="1" applyBorder="1" applyAlignment="1">
      <alignment vertical="center"/>
      <protection/>
    </xf>
    <xf numFmtId="3" fontId="47" fillId="0" borderId="119" xfId="95" applyNumberFormat="1" applyFont="1" applyBorder="1" applyAlignment="1">
      <alignment horizontal="right" vertical="center"/>
      <protection/>
    </xf>
    <xf numFmtId="3" fontId="47" fillId="0" borderId="53" xfId="95" applyNumberFormat="1" applyFont="1" applyBorder="1" applyAlignment="1">
      <alignment horizontal="right" vertical="center"/>
      <protection/>
    </xf>
    <xf numFmtId="3" fontId="48" fillId="0" borderId="36" xfId="105" applyNumberFormat="1" applyFont="1" applyBorder="1" applyAlignment="1" applyProtection="1">
      <alignment horizontal="right" vertical="center"/>
      <protection hidden="1"/>
    </xf>
    <xf numFmtId="3" fontId="47" fillId="0" borderId="36" xfId="68" applyNumberFormat="1" applyFont="1" applyBorder="1" applyAlignment="1" applyProtection="1">
      <alignment horizontal="right" vertical="center"/>
      <protection hidden="1"/>
    </xf>
    <xf numFmtId="3" fontId="47" fillId="0" borderId="40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3" fillId="0" borderId="74" xfId="105" applyFont="1" applyBorder="1" applyAlignment="1" applyProtection="1">
      <alignment horizontal="center" vertical="center"/>
      <protection hidden="1"/>
    </xf>
    <xf numFmtId="0" fontId="43" fillId="0" borderId="68" xfId="105" applyFont="1" applyBorder="1" applyAlignment="1" applyProtection="1">
      <alignment horizontal="left" vertical="center"/>
      <protection hidden="1"/>
    </xf>
    <xf numFmtId="3" fontId="43" fillId="0" borderId="37" xfId="105" applyNumberFormat="1" applyFont="1" applyBorder="1" applyAlignment="1" applyProtection="1">
      <alignment horizontal="right" vertical="center"/>
      <protection hidden="1"/>
    </xf>
    <xf numFmtId="3" fontId="43" fillId="0" borderId="35" xfId="105" applyNumberFormat="1" applyFont="1" applyBorder="1" applyAlignment="1" applyProtection="1">
      <alignment horizontal="right" vertical="center"/>
      <protection hidden="1"/>
    </xf>
    <xf numFmtId="3" fontId="43" fillId="0" borderId="68" xfId="68" applyNumberFormat="1" applyFont="1" applyBorder="1" applyAlignment="1" applyProtection="1">
      <alignment horizontal="right" vertical="center"/>
      <protection hidden="1"/>
    </xf>
    <xf numFmtId="3" fontId="47" fillId="0" borderId="37" xfId="95" applyNumberFormat="1" applyFont="1" applyBorder="1" applyAlignment="1">
      <alignment horizontal="right" vertical="center"/>
      <protection/>
    </xf>
    <xf numFmtId="3" fontId="47" fillId="0" borderId="35" xfId="95" applyNumberFormat="1" applyFont="1" applyBorder="1" applyAlignment="1">
      <alignment horizontal="right" vertical="center"/>
      <protection/>
    </xf>
    <xf numFmtId="0" fontId="47" fillId="0" borderId="39" xfId="105" applyFont="1" applyBorder="1" applyAlignment="1" applyProtection="1">
      <alignment vertical="center"/>
      <protection hidden="1"/>
    </xf>
    <xf numFmtId="0" fontId="48" fillId="0" borderId="52" xfId="105" applyFont="1" applyBorder="1" applyAlignment="1" applyProtection="1">
      <alignment horizontal="left" vertical="center"/>
      <protection hidden="1"/>
    </xf>
    <xf numFmtId="0" fontId="36" fillId="53" borderId="39" xfId="105" applyFont="1" applyFill="1" applyBorder="1" applyAlignment="1" applyProtection="1">
      <alignment horizontal="center" vertical="center"/>
      <protection hidden="1"/>
    </xf>
    <xf numFmtId="3" fontId="36" fillId="53" borderId="38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7" fillId="0" borderId="37" xfId="68" applyNumberFormat="1" applyFont="1" applyFill="1" applyBorder="1" applyAlignment="1" applyProtection="1">
      <alignment horizontal="right" vertical="center"/>
      <protection hidden="1"/>
    </xf>
    <xf numFmtId="3" fontId="47" fillId="0" borderId="35" xfId="68" applyNumberFormat="1" applyFont="1" applyFill="1" applyBorder="1" applyAlignment="1" applyProtection="1">
      <alignment horizontal="right" vertical="center"/>
      <protection hidden="1"/>
    </xf>
    <xf numFmtId="3" fontId="47" fillId="0" borderId="36" xfId="68" applyNumberFormat="1" applyFont="1" applyFill="1" applyBorder="1" applyAlignment="1" applyProtection="1">
      <alignment horizontal="right" vertical="center"/>
      <protection hidden="1"/>
    </xf>
    <xf numFmtId="3" fontId="47" fillId="0" borderId="34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7" fillId="54" borderId="81" xfId="105" applyFont="1" applyFill="1" applyBorder="1" applyAlignment="1" applyProtection="1">
      <alignment horizontal="center" vertical="center"/>
      <protection hidden="1"/>
    </xf>
    <xf numFmtId="0" fontId="47" fillId="54" borderId="24" xfId="105" applyFont="1" applyFill="1" applyBorder="1" applyAlignment="1" applyProtection="1">
      <alignment horizontal="left" vertical="center"/>
      <protection hidden="1"/>
    </xf>
    <xf numFmtId="3" fontId="47" fillId="54" borderId="38" xfId="68" applyNumberFormat="1" applyFont="1" applyFill="1" applyBorder="1" applyAlignment="1" applyProtection="1">
      <alignment horizontal="right" vertical="center"/>
      <protection hidden="1"/>
    </xf>
    <xf numFmtId="3" fontId="47" fillId="54" borderId="24" xfId="68" applyNumberFormat="1" applyFont="1" applyFill="1" applyBorder="1" applyAlignment="1" applyProtection="1">
      <alignment horizontal="right" vertical="center"/>
      <protection hidden="1"/>
    </xf>
    <xf numFmtId="0" fontId="47" fillId="54" borderId="97" xfId="105" applyFont="1" applyFill="1" applyBorder="1" applyAlignment="1" applyProtection="1">
      <alignment horizontal="center" vertical="center"/>
      <protection hidden="1"/>
    </xf>
    <xf numFmtId="0" fontId="47" fillId="54" borderId="120" xfId="105" applyFont="1" applyFill="1" applyBorder="1" applyAlignment="1" applyProtection="1">
      <alignment horizontal="left" vertical="center"/>
      <protection hidden="1"/>
    </xf>
    <xf numFmtId="3" fontId="47" fillId="54" borderId="97" xfId="68" applyNumberFormat="1" applyFont="1" applyFill="1" applyBorder="1" applyAlignment="1" applyProtection="1">
      <alignment horizontal="right" vertical="center"/>
      <protection hidden="1"/>
    </xf>
    <xf numFmtId="3" fontId="47" fillId="54" borderId="23" xfId="68" applyNumberFormat="1" applyFont="1" applyFill="1" applyBorder="1" applyAlignment="1" applyProtection="1">
      <alignment horizontal="right" vertical="center"/>
      <protection hidden="1"/>
    </xf>
    <xf numFmtId="0" fontId="47" fillId="54" borderId="39" xfId="105" applyFont="1" applyFill="1" applyBorder="1" applyAlignment="1" applyProtection="1">
      <alignment horizontal="left" vertical="center"/>
      <protection hidden="1"/>
    </xf>
    <xf numFmtId="0" fontId="47" fillId="54" borderId="39" xfId="95" applyFont="1" applyFill="1" applyBorder="1" applyAlignment="1">
      <alignment horizontal="left" vertical="center"/>
      <protection/>
    </xf>
    <xf numFmtId="3" fontId="47" fillId="54" borderId="39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9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3" fillId="45" borderId="26" xfId="9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48" fillId="0" borderId="73" xfId="105" applyFont="1" applyBorder="1" applyAlignment="1" applyProtection="1">
      <alignment vertical="center"/>
      <protection hidden="1"/>
    </xf>
    <xf numFmtId="0" fontId="48" fillId="0" borderId="74" xfId="105" applyFont="1" applyBorder="1" applyAlignment="1" applyProtection="1">
      <alignment vertical="center"/>
      <protection hidden="1"/>
    </xf>
    <xf numFmtId="0" fontId="48" fillId="0" borderId="26" xfId="105" applyFont="1" applyBorder="1" applyAlignment="1" applyProtection="1">
      <alignment horizontal="center" vertical="center"/>
      <protection hidden="1"/>
    </xf>
    <xf numFmtId="0" fontId="48" fillId="0" borderId="26" xfId="95" applyFont="1" applyBorder="1" applyAlignment="1">
      <alignment horizontal="left" vertical="center"/>
      <protection/>
    </xf>
    <xf numFmtId="0" fontId="48" fillId="0" borderId="21" xfId="105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7" fillId="28" borderId="25" xfId="105" applyNumberFormat="1" applyFont="1" applyFill="1" applyBorder="1" applyAlignment="1" applyProtection="1">
      <alignment horizontal="right" vertical="center"/>
      <protection hidden="1"/>
    </xf>
    <xf numFmtId="3" fontId="47" fillId="28" borderId="24" xfId="105" applyNumberFormat="1" applyFont="1" applyFill="1" applyBorder="1" applyAlignment="1" applyProtection="1">
      <alignment horizontal="right" vertical="center"/>
      <protection hidden="1"/>
    </xf>
    <xf numFmtId="0" fontId="43" fillId="45" borderId="52" xfId="95" applyFont="1" applyFill="1" applyBorder="1" applyAlignment="1" applyProtection="1">
      <alignment horizontal="center" vertical="center"/>
      <protection/>
    </xf>
    <xf numFmtId="3" fontId="47" fillId="59" borderId="24" xfId="63" applyNumberFormat="1" applyFont="1" applyFill="1" applyBorder="1" applyAlignment="1" applyProtection="1">
      <alignment horizontal="right" vertical="center"/>
      <protection/>
    </xf>
    <xf numFmtId="0" fontId="47" fillId="54" borderId="81" xfId="95" applyFont="1" applyFill="1" applyBorder="1" applyAlignment="1" applyProtection="1">
      <alignment horizontal="center" vertical="center"/>
      <protection/>
    </xf>
    <xf numFmtId="0" fontId="47" fillId="54" borderId="29" xfId="105" applyFont="1" applyFill="1" applyBorder="1" applyAlignment="1" applyProtection="1">
      <alignment horizontal="left" vertical="center"/>
      <protection hidden="1"/>
    </xf>
    <xf numFmtId="0" fontId="47" fillId="54" borderId="90" xfId="105" applyFont="1" applyFill="1" applyBorder="1" applyAlignment="1" applyProtection="1">
      <alignment horizontal="center" vertical="center"/>
      <protection hidden="1"/>
    </xf>
    <xf numFmtId="0" fontId="47" fillId="54" borderId="92" xfId="105" applyFont="1" applyFill="1" applyBorder="1" applyAlignment="1" applyProtection="1">
      <alignment horizontal="left" vertical="center"/>
      <protection hidden="1"/>
    </xf>
    <xf numFmtId="3" fontId="53" fillId="54" borderId="24" xfId="63" applyNumberFormat="1" applyFont="1" applyFill="1" applyBorder="1" applyAlignment="1" applyProtection="1">
      <alignment horizontal="right" vertical="center"/>
      <protection/>
    </xf>
    <xf numFmtId="0" fontId="43" fillId="45" borderId="73" xfId="95" applyFont="1" applyFill="1" applyBorder="1" applyAlignment="1" applyProtection="1">
      <alignment horizontal="center" vertical="center"/>
      <protection/>
    </xf>
    <xf numFmtId="0" fontId="48" fillId="0" borderId="111" xfId="105" applyFont="1" applyFill="1" applyBorder="1" applyAlignment="1" applyProtection="1">
      <alignment horizontal="left" vertical="center"/>
      <protection hidden="1"/>
    </xf>
    <xf numFmtId="0" fontId="48" fillId="0" borderId="77" xfId="105" applyFont="1" applyFill="1" applyBorder="1" applyAlignment="1" applyProtection="1">
      <alignment horizontal="left" vertical="center"/>
      <protection hidden="1"/>
    </xf>
    <xf numFmtId="0" fontId="36" fillId="59" borderId="24" xfId="95" applyFont="1" applyFill="1" applyBorder="1" applyAlignment="1" applyProtection="1">
      <alignment horizontal="center" vertical="center"/>
      <protection/>
    </xf>
    <xf numFmtId="3" fontId="47" fillId="59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5" applyFont="1" applyFill="1" applyBorder="1" applyAlignment="1" applyProtection="1">
      <alignment horizontal="center" vertical="center"/>
      <protection hidden="1"/>
    </xf>
    <xf numFmtId="0" fontId="48" fillId="0" borderId="19" xfId="105" applyFont="1" applyBorder="1" applyAlignment="1" applyProtection="1">
      <alignment horizontal="center" vertical="center"/>
      <protection hidden="1"/>
    </xf>
    <xf numFmtId="0" fontId="43" fillId="0" borderId="82" xfId="95" applyFont="1" applyBorder="1" applyAlignment="1">
      <alignment vertical="center"/>
      <protection/>
    </xf>
    <xf numFmtId="0" fontId="48" fillId="0" borderId="73" xfId="105" applyFont="1" applyBorder="1" applyAlignment="1" applyProtection="1">
      <alignment horizontal="left" vertical="center"/>
      <protection hidden="1"/>
    </xf>
    <xf numFmtId="0" fontId="48" fillId="0" borderId="77" xfId="105" applyFont="1" applyBorder="1" applyAlignment="1" applyProtection="1">
      <alignment horizontal="left" vertical="center"/>
      <protection hidden="1"/>
    </xf>
    <xf numFmtId="3" fontId="13" fillId="0" borderId="8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95" xfId="0" applyNumberFormat="1" applyFont="1" applyFill="1" applyBorder="1" applyAlignment="1">
      <alignment vertical="center"/>
    </xf>
    <xf numFmtId="3" fontId="13" fillId="16" borderId="106" xfId="0" applyNumberFormat="1" applyFont="1" applyFill="1" applyBorder="1" applyAlignment="1">
      <alignment vertical="center"/>
    </xf>
    <xf numFmtId="3" fontId="13" fillId="57" borderId="39" xfId="0" applyNumberFormat="1" applyFont="1" applyFill="1" applyBorder="1" applyAlignment="1">
      <alignment vertical="center"/>
    </xf>
    <xf numFmtId="3" fontId="13" fillId="57" borderId="122" xfId="0" applyNumberFormat="1" applyFont="1" applyFill="1" applyBorder="1" applyAlignment="1">
      <alignment vertical="center"/>
    </xf>
    <xf numFmtId="0" fontId="43" fillId="0" borderId="26" xfId="105" applyFont="1" applyBorder="1" applyAlignment="1" applyProtection="1">
      <alignment horizontal="left" vertical="center"/>
      <protection hidden="1"/>
    </xf>
    <xf numFmtId="0" fontId="36" fillId="54" borderId="81" xfId="95" applyFont="1" applyFill="1" applyBorder="1" applyAlignment="1" applyProtection="1">
      <alignment horizontal="center" vertical="center"/>
      <protection/>
    </xf>
    <xf numFmtId="0" fontId="36" fillId="54" borderId="29" xfId="105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7" fillId="0" borderId="34" xfId="95" applyNumberFormat="1" applyFont="1" applyFill="1" applyBorder="1" applyAlignment="1" applyProtection="1">
      <alignment horizontal="right" vertical="center"/>
      <protection hidden="1"/>
    </xf>
    <xf numFmtId="0" fontId="47" fillId="0" borderId="21" xfId="105" applyFont="1" applyFill="1" applyBorder="1" applyAlignment="1" applyProtection="1">
      <alignment horizontal="left" vertical="center"/>
      <protection hidden="1"/>
    </xf>
    <xf numFmtId="3" fontId="47" fillId="0" borderId="123" xfId="105" applyNumberFormat="1" applyFont="1" applyFill="1" applyBorder="1" applyAlignment="1" applyProtection="1">
      <alignment horizontal="right" vertical="center"/>
      <protection hidden="1"/>
    </xf>
    <xf numFmtId="3" fontId="47" fillId="0" borderId="34" xfId="105" applyNumberFormat="1" applyFont="1" applyFill="1" applyBorder="1" applyAlignment="1" applyProtection="1">
      <alignment horizontal="right" vertical="center"/>
      <protection hidden="1"/>
    </xf>
    <xf numFmtId="0" fontId="48" fillId="0" borderId="73" xfId="105" applyFont="1" applyBorder="1" applyAlignment="1" applyProtection="1">
      <alignment horizontal="center" vertical="center"/>
      <protection hidden="1"/>
    </xf>
    <xf numFmtId="0" fontId="47" fillId="0" borderId="77" xfId="105" applyFont="1" applyBorder="1" applyAlignment="1" applyProtection="1">
      <alignment horizontal="left" vertical="center"/>
      <protection hidden="1"/>
    </xf>
    <xf numFmtId="0" fontId="47" fillId="45" borderId="26" xfId="95" applyFont="1" applyFill="1" applyBorder="1" applyAlignment="1" applyProtection="1">
      <alignment horizontal="center" vertical="center"/>
      <protection/>
    </xf>
    <xf numFmtId="3" fontId="47" fillId="0" borderId="124" xfId="105" applyNumberFormat="1" applyFont="1" applyFill="1" applyBorder="1" applyAlignment="1" applyProtection="1">
      <alignment horizontal="right" vertical="center"/>
      <protection hidden="1"/>
    </xf>
    <xf numFmtId="3" fontId="47" fillId="0" borderId="53" xfId="105" applyNumberFormat="1" applyFont="1" applyFill="1" applyBorder="1" applyAlignment="1" applyProtection="1">
      <alignment horizontal="right" vertical="center"/>
      <protection hidden="1"/>
    </xf>
    <xf numFmtId="0" fontId="47" fillId="0" borderId="26" xfId="95" applyFont="1" applyFill="1" applyBorder="1" applyAlignment="1" applyProtection="1">
      <alignment horizontal="center" vertical="center"/>
      <protection hidden="1"/>
    </xf>
    <xf numFmtId="0" fontId="47" fillId="0" borderId="32" xfId="105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21" fillId="45" borderId="38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45" borderId="30" xfId="0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Alignment="1">
      <alignment/>
    </xf>
    <xf numFmtId="3" fontId="47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8" fillId="0" borderId="86" xfId="95" applyFont="1" applyFill="1" applyBorder="1" applyAlignment="1">
      <alignment vertical="center" wrapText="1"/>
      <protection/>
    </xf>
    <xf numFmtId="0" fontId="48" fillId="0" borderId="87" xfId="95" applyFont="1" applyFill="1" applyBorder="1" applyAlignment="1">
      <alignment vertical="center" wrapText="1"/>
      <protection/>
    </xf>
    <xf numFmtId="0" fontId="48" fillId="0" borderId="125" xfId="95" applyFont="1" applyFill="1" applyBorder="1" applyAlignment="1">
      <alignment vertical="center" wrapText="1"/>
      <protection/>
    </xf>
    <xf numFmtId="0" fontId="44" fillId="0" borderId="40" xfId="95" applyFont="1" applyFill="1" applyBorder="1" applyAlignment="1">
      <alignment horizontal="center" vertical="center" wrapText="1"/>
      <protection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54" fillId="0" borderId="34" xfId="95" applyFont="1" applyFill="1" applyBorder="1" applyAlignment="1">
      <alignment horizontal="center" vertical="center"/>
      <protection/>
    </xf>
    <xf numFmtId="0" fontId="54" fillId="0" borderId="53" xfId="95" applyFont="1" applyFill="1" applyBorder="1" applyAlignment="1">
      <alignment horizontal="center" vertical="center"/>
      <protection/>
    </xf>
    <xf numFmtId="0" fontId="54" fillId="0" borderId="126" xfId="95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7" fillId="56" borderId="25" xfId="0" applyNumberFormat="1" applyFont="1" applyFill="1" applyBorder="1" applyAlignment="1">
      <alignment horizontal="right" vertical="center"/>
    </xf>
    <xf numFmtId="3" fontId="48" fillId="45" borderId="34" xfId="0" applyNumberFormat="1" applyFont="1" applyFill="1" applyBorder="1" applyAlignment="1">
      <alignment horizontal="right" vertical="center"/>
    </xf>
    <xf numFmtId="3" fontId="53" fillId="0" borderId="34" xfId="0" applyNumberFormat="1" applyFont="1" applyFill="1" applyBorder="1" applyAlignment="1">
      <alignment horizontal="right" vertical="center"/>
    </xf>
    <xf numFmtId="3" fontId="53" fillId="0" borderId="53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right" vertical="center"/>
    </xf>
    <xf numFmtId="0" fontId="48" fillId="45" borderId="31" xfId="0" applyFont="1" applyFill="1" applyBorder="1" applyAlignment="1" applyProtection="1">
      <alignment horizontal="center" vertical="center"/>
      <protection locked="0"/>
    </xf>
    <xf numFmtId="0" fontId="48" fillId="0" borderId="85" xfId="95" applyFont="1" applyFill="1" applyBorder="1" applyAlignment="1">
      <alignment vertical="center" wrapText="1"/>
      <protection/>
    </xf>
    <xf numFmtId="0" fontId="54" fillId="0" borderId="35" xfId="95" applyFont="1" applyFill="1" applyBorder="1" applyAlignment="1">
      <alignment horizontal="center" vertical="center"/>
      <protection/>
    </xf>
    <xf numFmtId="0" fontId="47" fillId="60" borderId="48" xfId="0" applyFont="1" applyFill="1" applyBorder="1" applyAlignment="1">
      <alignment horizontal="center" vertical="center"/>
    </xf>
    <xf numFmtId="0" fontId="47" fillId="60" borderId="48" xfId="95" applyFont="1" applyFill="1" applyBorder="1" applyAlignment="1">
      <alignment horizontal="center" vertical="center"/>
      <protection/>
    </xf>
    <xf numFmtId="3" fontId="47" fillId="60" borderId="75" xfId="95" applyNumberFormat="1" applyFont="1" applyFill="1" applyBorder="1" applyAlignment="1" quotePrefix="1">
      <alignment vertical="center"/>
      <protection/>
    </xf>
    <xf numFmtId="3" fontId="43" fillId="60" borderId="48" xfId="0" applyNumberFormat="1" applyFont="1" applyFill="1" applyBorder="1" applyAlignment="1">
      <alignment horizontal="right" vertical="center"/>
    </xf>
    <xf numFmtId="3" fontId="47" fillId="60" borderId="63" xfId="0" applyNumberFormat="1" applyFont="1" applyFill="1" applyBorder="1" applyAlignment="1">
      <alignment horizontal="right" vertical="center"/>
    </xf>
    <xf numFmtId="0" fontId="47" fillId="60" borderId="24" xfId="0" applyFont="1" applyFill="1" applyBorder="1" applyAlignment="1">
      <alignment horizontal="center" vertical="center"/>
    </xf>
    <xf numFmtId="0" fontId="47" fillId="60" borderId="24" xfId="95" applyFont="1" applyFill="1" applyBorder="1" applyAlignment="1">
      <alignment horizontal="center" vertical="center"/>
      <protection/>
    </xf>
    <xf numFmtId="3" fontId="47" fillId="60" borderId="24" xfId="95" applyNumberFormat="1" applyFont="1" applyFill="1" applyBorder="1" applyAlignment="1" quotePrefix="1">
      <alignment vertical="center"/>
      <protection/>
    </xf>
    <xf numFmtId="3" fontId="47" fillId="60" borderId="39" xfId="95" applyNumberFormat="1" applyFont="1" applyFill="1" applyBorder="1" applyAlignment="1" quotePrefix="1">
      <alignment vertical="center"/>
      <protection/>
    </xf>
    <xf numFmtId="3" fontId="48" fillId="45" borderId="68" xfId="0" applyNumberFormat="1" applyFont="1" applyFill="1" applyBorder="1" applyAlignment="1">
      <alignment horizontal="right" vertical="center"/>
    </xf>
    <xf numFmtId="3" fontId="48" fillId="45" borderId="120" xfId="0" applyNumberFormat="1" applyFont="1" applyFill="1" applyBorder="1" applyAlignment="1">
      <alignment horizontal="right" vertical="center"/>
    </xf>
    <xf numFmtId="0" fontId="47" fillId="56" borderId="24" xfId="0" applyFont="1" applyFill="1" applyBorder="1" applyAlignment="1" applyProtection="1">
      <alignment horizontal="center" vertical="center"/>
      <protection locked="0"/>
    </xf>
    <xf numFmtId="0" fontId="48" fillId="45" borderId="127" xfId="0" applyFont="1" applyFill="1" applyBorder="1" applyAlignment="1" applyProtection="1">
      <alignment horizontal="center" vertical="center"/>
      <protection locked="0"/>
    </xf>
    <xf numFmtId="3" fontId="54" fillId="0" borderId="24" xfId="95" applyNumberFormat="1" applyFont="1" applyFill="1" applyBorder="1" applyAlignment="1">
      <alignment vertical="center"/>
      <protection/>
    </xf>
    <xf numFmtId="49" fontId="48" fillId="0" borderId="87" xfId="95" applyNumberFormat="1" applyFont="1" applyFill="1" applyBorder="1" applyAlignment="1">
      <alignment vertical="center" wrapText="1"/>
      <protection/>
    </xf>
    <xf numFmtId="3" fontId="48" fillId="0" borderId="123" xfId="95" applyNumberFormat="1" applyFont="1" applyFill="1" applyBorder="1" applyAlignment="1" quotePrefix="1">
      <alignment vertical="center"/>
      <protection/>
    </xf>
    <xf numFmtId="3" fontId="48" fillId="0" borderId="128" xfId="95" applyNumberFormat="1" applyFont="1" applyFill="1" applyBorder="1" applyAlignment="1" quotePrefix="1">
      <alignment vertical="center"/>
      <protection/>
    </xf>
    <xf numFmtId="3" fontId="48" fillId="0" borderId="124" xfId="95" applyNumberFormat="1" applyFont="1" applyFill="1" applyBorder="1" applyAlignment="1" quotePrefix="1">
      <alignment vertical="center"/>
      <protection/>
    </xf>
    <xf numFmtId="3" fontId="48" fillId="0" borderId="129" xfId="95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8" fillId="45" borderId="76" xfId="0" applyFont="1" applyFill="1" applyBorder="1" applyAlignment="1" applyProtection="1">
      <alignment horizontal="center" vertical="center"/>
      <protection locked="0"/>
    </xf>
    <xf numFmtId="3" fontId="53" fillId="0" borderId="49" xfId="0" applyNumberFormat="1" applyFont="1" applyFill="1" applyBorder="1" applyAlignment="1">
      <alignment horizontal="right" vertical="center"/>
    </xf>
    <xf numFmtId="3" fontId="48" fillId="45" borderId="55" xfId="0" applyNumberFormat="1" applyFont="1" applyFill="1" applyBorder="1" applyAlignment="1">
      <alignment horizontal="right" vertical="center"/>
    </xf>
    <xf numFmtId="3" fontId="48" fillId="0" borderId="34" xfId="95" applyNumberFormat="1" applyFont="1" applyFill="1" applyBorder="1" applyAlignment="1" quotePrefix="1">
      <alignment vertical="center"/>
      <protection/>
    </xf>
    <xf numFmtId="0" fontId="49" fillId="61" borderId="38" xfId="105" applyFont="1" applyFill="1" applyBorder="1" applyAlignment="1" applyProtection="1">
      <alignment horizontal="center" vertical="center"/>
      <protection hidden="1"/>
    </xf>
    <xf numFmtId="0" fontId="36" fillId="61" borderId="39" xfId="105" applyFont="1" applyFill="1" applyBorder="1" applyAlignment="1" applyProtection="1">
      <alignment vertical="center"/>
      <protection hidden="1"/>
    </xf>
    <xf numFmtId="3" fontId="36" fillId="61" borderId="38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/>
      <protection hidden="1"/>
    </xf>
    <xf numFmtId="0" fontId="49" fillId="61" borderId="38" xfId="95" applyFont="1" applyFill="1" applyBorder="1" applyAlignment="1" applyProtection="1">
      <alignment horizontal="center" vertical="center"/>
      <protection hidden="1"/>
    </xf>
    <xf numFmtId="0" fontId="49" fillId="61" borderId="39" xfId="95" applyFont="1" applyFill="1" applyBorder="1" applyAlignment="1" applyProtection="1">
      <alignment vertical="center"/>
      <protection hidden="1"/>
    </xf>
    <xf numFmtId="3" fontId="49" fillId="61" borderId="24" xfId="105" applyNumberFormat="1" applyFont="1" applyFill="1" applyBorder="1" applyAlignment="1" applyProtection="1">
      <alignment horizontal="right" vertical="center"/>
      <protection hidden="1"/>
    </xf>
    <xf numFmtId="0" fontId="49" fillId="61" borderId="39" xfId="95" applyFont="1" applyFill="1" applyBorder="1" applyAlignment="1" applyProtection="1">
      <alignment vertical="center"/>
      <protection/>
    </xf>
    <xf numFmtId="3" fontId="49" fillId="61" borderId="24" xfId="68" applyNumberFormat="1" applyFont="1" applyFill="1" applyBorder="1" applyAlignment="1" applyProtection="1">
      <alignment horizontal="right" vertical="center" wrapText="1"/>
      <protection/>
    </xf>
    <xf numFmtId="3" fontId="47" fillId="54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128" xfId="105" applyNumberFormat="1" applyFont="1" applyBorder="1" applyAlignment="1" applyProtection="1">
      <alignment horizontal="right" vertical="center"/>
      <protection hidden="1"/>
    </xf>
    <xf numFmtId="3" fontId="48" fillId="0" borderId="123" xfId="105" applyNumberFormat="1" applyFont="1" applyFill="1" applyBorder="1" applyAlignment="1" applyProtection="1">
      <alignment horizontal="right" vertical="center"/>
      <protection hidden="1"/>
    </xf>
    <xf numFmtId="3" fontId="48" fillId="0" borderId="123" xfId="105" applyNumberFormat="1" applyFont="1" applyBorder="1" applyAlignment="1" applyProtection="1">
      <alignment horizontal="right" vertical="center"/>
      <protection hidden="1"/>
    </xf>
    <xf numFmtId="3" fontId="47" fillId="0" borderId="123" xfId="95" applyNumberFormat="1" applyFont="1" applyFill="1" applyBorder="1" applyAlignment="1" applyProtection="1">
      <alignment horizontal="right" vertical="center"/>
      <protection hidden="1"/>
    </xf>
    <xf numFmtId="3" fontId="43" fillId="0" borderId="123" xfId="105" applyNumberFormat="1" applyFont="1" applyBorder="1" applyAlignment="1" applyProtection="1">
      <alignment horizontal="right" vertical="center"/>
      <protection hidden="1"/>
    </xf>
    <xf numFmtId="3" fontId="49" fillId="61" borderId="25" xfId="68" applyNumberFormat="1" applyFont="1" applyFill="1" applyBorder="1" applyAlignment="1" applyProtection="1">
      <alignment horizontal="right" vertical="center" wrapText="1"/>
      <protection/>
    </xf>
    <xf numFmtId="3" fontId="43" fillId="0" borderId="123" xfId="105" applyNumberFormat="1" applyFont="1" applyFill="1" applyBorder="1" applyAlignment="1" applyProtection="1">
      <alignment horizontal="right" vertical="center"/>
      <protection hidden="1"/>
    </xf>
    <xf numFmtId="3" fontId="49" fillId="61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128" xfId="95" applyNumberFormat="1" applyFont="1" applyBorder="1" applyAlignment="1">
      <alignment horizontal="right" vertical="center"/>
      <protection/>
    </xf>
    <xf numFmtId="3" fontId="47" fillId="0" borderId="123" xfId="95" applyNumberFormat="1" applyFont="1" applyBorder="1" applyAlignment="1">
      <alignment horizontal="right" vertical="center"/>
      <protection/>
    </xf>
    <xf numFmtId="3" fontId="36" fillId="61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Border="1" applyAlignment="1">
      <alignment horizontal="right" vertical="center"/>
      <protection/>
    </xf>
    <xf numFmtId="3" fontId="47" fillId="0" borderId="55" xfId="105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Fill="1" applyBorder="1" applyAlignment="1" applyProtection="1">
      <alignment horizontal="right" vertical="center"/>
      <protection hidden="1"/>
    </xf>
    <xf numFmtId="3" fontId="49" fillId="61" borderId="39" xfId="68" applyNumberFormat="1" applyFont="1" applyFill="1" applyBorder="1" applyAlignment="1" applyProtection="1">
      <alignment horizontal="right" vertical="center" wrapText="1"/>
      <protection/>
    </xf>
    <xf numFmtId="3" fontId="47" fillId="28" borderId="39" xfId="105" applyNumberFormat="1" applyFont="1" applyFill="1" applyBorder="1" applyAlignment="1" applyProtection="1">
      <alignment horizontal="right" vertical="center"/>
      <protection hidden="1"/>
    </xf>
    <xf numFmtId="3" fontId="47" fillId="0" borderId="68" xfId="95" applyNumberFormat="1" applyFont="1" applyBorder="1" applyAlignment="1">
      <alignment horizontal="right" vertical="center"/>
      <protection/>
    </xf>
    <xf numFmtId="3" fontId="49" fillId="61" borderId="39" xfId="105" applyNumberFormat="1" applyFont="1" applyFill="1" applyBorder="1" applyAlignment="1" applyProtection="1">
      <alignment horizontal="right" vertical="center"/>
      <protection hidden="1"/>
    </xf>
    <xf numFmtId="3" fontId="47" fillId="59" borderId="39" xfId="63" applyNumberFormat="1" applyFont="1" applyFill="1" applyBorder="1" applyAlignment="1" applyProtection="1">
      <alignment horizontal="right" vertical="center"/>
      <protection/>
    </xf>
    <xf numFmtId="3" fontId="47" fillId="54" borderId="24" xfId="105" applyNumberFormat="1" applyFont="1" applyFill="1" applyBorder="1" applyAlignment="1" applyProtection="1">
      <alignment horizontal="right" vertical="center"/>
      <protection hidden="1"/>
    </xf>
    <xf numFmtId="3" fontId="48" fillId="0" borderId="34" xfId="105" applyNumberFormat="1" applyFont="1" applyFill="1" applyBorder="1" applyAlignment="1" applyProtection="1">
      <alignment horizontal="right" vertical="center"/>
      <protection hidden="1"/>
    </xf>
    <xf numFmtId="3" fontId="48" fillId="0" borderId="49" xfId="105" applyNumberFormat="1" applyFont="1" applyBorder="1" applyAlignment="1" applyProtection="1">
      <alignment horizontal="right" vertical="center"/>
      <protection hidden="1"/>
    </xf>
    <xf numFmtId="3" fontId="47" fillId="0" borderId="38" xfId="95" applyNumberFormat="1" applyFont="1" applyBorder="1" applyAlignment="1">
      <alignment horizontal="right" vertical="center"/>
      <protection/>
    </xf>
    <xf numFmtId="3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49" borderId="124" xfId="0" applyNumberFormat="1" applyFont="1" applyFill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48" fillId="0" borderId="34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1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6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3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3" fontId="8" fillId="49" borderId="82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23" xfId="0" applyNumberFormat="1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8" fillId="0" borderId="106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5" xfId="0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8" fillId="49" borderId="87" xfId="0" applyNumberFormat="1" applyFont="1" applyFill="1" applyBorder="1" applyAlignment="1">
      <alignment vertical="center"/>
    </xf>
    <xf numFmtId="0" fontId="16" fillId="49" borderId="121" xfId="0" applyFont="1" applyFill="1" applyBorder="1" applyAlignment="1">
      <alignment vertical="center"/>
    </xf>
    <xf numFmtId="4" fontId="8" fillId="0" borderId="130" xfId="0" applyNumberFormat="1" applyFont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8" fillId="0" borderId="110" xfId="0" applyNumberFormat="1" applyFont="1" applyFill="1" applyBorder="1" applyAlignment="1">
      <alignment vertical="center"/>
    </xf>
    <xf numFmtId="0" fontId="18" fillId="0" borderId="114" xfId="0" applyFont="1" applyBorder="1" applyAlignment="1">
      <alignment horizontal="right" vertical="center"/>
    </xf>
    <xf numFmtId="0" fontId="8" fillId="0" borderId="114" xfId="0" applyFont="1" applyFill="1" applyBorder="1" applyAlignment="1">
      <alignment vertical="center"/>
    </xf>
    <xf numFmtId="0" fontId="18" fillId="0" borderId="11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0" fillId="49" borderId="111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8" borderId="66" xfId="0" applyNumberFormat="1" applyFont="1" applyFill="1" applyBorder="1" applyAlignment="1">
      <alignment horizontal="right" vertical="center"/>
    </xf>
    <xf numFmtId="3" fontId="13" fillId="58" borderId="65" xfId="0" applyNumberFormat="1" applyFont="1" applyFill="1" applyBorder="1" applyAlignment="1">
      <alignment horizontal="right" vertical="center"/>
    </xf>
    <xf numFmtId="0" fontId="134" fillId="0" borderId="0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36" fillId="0" borderId="0" xfId="0" applyFont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38" fillId="0" borderId="0" xfId="0" applyFont="1" applyBorder="1" applyAlignment="1">
      <alignment horizontal="right" vertical="center"/>
    </xf>
    <xf numFmtId="0" fontId="139" fillId="0" borderId="0" xfId="0" applyFont="1" applyBorder="1" applyAlignment="1">
      <alignment horizontal="center" vertical="center" wrapText="1"/>
    </xf>
    <xf numFmtId="3" fontId="140" fillId="0" borderId="0" xfId="0" applyNumberFormat="1" applyFont="1" applyBorder="1" applyAlignment="1">
      <alignment vertical="center"/>
    </xf>
    <xf numFmtId="3" fontId="134" fillId="0" borderId="0" xfId="0" applyNumberFormat="1" applyFont="1" applyBorder="1" applyAlignment="1">
      <alignment vertical="center"/>
    </xf>
    <xf numFmtId="3" fontId="140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3" fillId="0" borderId="36" xfId="68" applyNumberFormat="1" applyFont="1" applyBorder="1" applyAlignment="1" applyProtection="1">
      <alignment horizontal="right" vertical="center"/>
      <protection hidden="1"/>
    </xf>
    <xf numFmtId="3" fontId="48" fillId="0" borderId="53" xfId="68" applyNumberFormat="1" applyFont="1" applyBorder="1" applyAlignment="1" applyProtection="1">
      <alignment horizontal="right" vertical="center"/>
      <protection hidden="1"/>
    </xf>
    <xf numFmtId="3" fontId="48" fillId="0" borderId="55" xfId="95" applyNumberFormat="1" applyFont="1" applyBorder="1" applyAlignment="1">
      <alignment horizontal="right" vertical="center"/>
      <protection/>
    </xf>
    <xf numFmtId="3" fontId="48" fillId="0" borderId="68" xfId="95" applyNumberFormat="1" applyFont="1" applyBorder="1" applyAlignment="1">
      <alignment horizontal="right" vertical="center"/>
      <protection/>
    </xf>
    <xf numFmtId="3" fontId="47" fillId="0" borderId="48" xfId="105" applyNumberFormat="1" applyFont="1" applyBorder="1" applyAlignment="1" applyProtection="1">
      <alignment horizontal="right" vertical="center"/>
      <protection hidden="1"/>
    </xf>
    <xf numFmtId="3" fontId="48" fillId="0" borderId="126" xfId="105" applyNumberFormat="1" applyFont="1" applyBorder="1" applyAlignment="1" applyProtection="1">
      <alignment horizontal="right" vertical="center"/>
      <protection hidden="1"/>
    </xf>
    <xf numFmtId="3" fontId="43" fillId="0" borderId="48" xfId="105" applyNumberFormat="1" applyFont="1" applyFill="1" applyBorder="1" applyAlignment="1" applyProtection="1">
      <alignment horizontal="right" vertical="center"/>
      <protection hidden="1"/>
    </xf>
    <xf numFmtId="3" fontId="43" fillId="0" borderId="126" xfId="105" applyNumberFormat="1" applyFont="1" applyFill="1" applyBorder="1" applyAlignment="1" applyProtection="1">
      <alignment horizontal="right" vertical="center"/>
      <protection hidden="1"/>
    </xf>
    <xf numFmtId="3" fontId="36" fillId="54" borderId="38" xfId="63" applyNumberFormat="1" applyFont="1" applyFill="1" applyBorder="1" applyAlignment="1" applyProtection="1">
      <alignment horizontal="right" vertical="center"/>
      <protection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3" borderId="24" xfId="105" applyNumberFormat="1" applyFont="1" applyFill="1" applyBorder="1" applyAlignment="1" applyProtection="1">
      <alignment horizontal="right" vertical="center"/>
      <protection hidden="1"/>
    </xf>
    <xf numFmtId="3" fontId="17" fillId="0" borderId="27" xfId="103" applyNumberFormat="1" applyFont="1" applyFill="1" applyBorder="1" applyAlignment="1">
      <alignment horizontal="right" vertical="center"/>
    </xf>
    <xf numFmtId="3" fontId="17" fillId="0" borderId="30" xfId="103" applyNumberFormat="1" applyFont="1" applyFill="1" applyBorder="1" applyAlignment="1">
      <alignment horizontal="right" vertical="center"/>
    </xf>
    <xf numFmtId="3" fontId="14" fillId="54" borderId="24" xfId="104" applyNumberFormat="1" applyFont="1" applyFill="1" applyBorder="1" applyAlignment="1">
      <alignment vertical="center"/>
      <protection/>
    </xf>
    <xf numFmtId="3" fontId="17" fillId="0" borderId="74" xfId="104" applyNumberFormat="1" applyFont="1" applyFill="1" applyBorder="1" applyAlignment="1">
      <alignment horizontal="right" vertical="center"/>
      <protection/>
    </xf>
    <xf numFmtId="0" fontId="34" fillId="0" borderId="49" xfId="0" applyFont="1" applyFill="1" applyBorder="1" applyAlignment="1">
      <alignment horizontal="center" vertical="center"/>
    </xf>
    <xf numFmtId="3" fontId="42" fillId="45" borderId="68" xfId="0" applyNumberFormat="1" applyFont="1" applyFill="1" applyBorder="1" applyAlignment="1">
      <alignment horizontal="right" vertical="center"/>
    </xf>
    <xf numFmtId="0" fontId="21" fillId="45" borderId="38" xfId="0" applyFont="1" applyFill="1" applyBorder="1" applyAlignment="1">
      <alignment horizontal="center" vertical="center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4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34" fillId="0" borderId="34" xfId="102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" fillId="57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7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5" fillId="17" borderId="81" xfId="105" applyFont="1" applyFill="1" applyBorder="1" applyAlignment="1" applyProtection="1">
      <alignment horizontal="center" vertical="center" wrapText="1"/>
      <protection hidden="1"/>
    </xf>
    <xf numFmtId="0" fontId="55" fillId="17" borderId="39" xfId="105" applyFont="1" applyFill="1" applyBorder="1" applyAlignment="1" applyProtection="1">
      <alignment horizontal="center" vertical="center" wrapText="1"/>
      <protection hidden="1"/>
    </xf>
    <xf numFmtId="3" fontId="55" fillId="17" borderId="38" xfId="105" applyNumberFormat="1" applyFont="1" applyFill="1" applyBorder="1" applyAlignment="1" applyProtection="1">
      <alignment horizontal="center" vertical="center" wrapText="1"/>
      <protection hidden="1"/>
    </xf>
    <xf numFmtId="3" fontId="55" fillId="17" borderId="24" xfId="105" applyNumberFormat="1" applyFont="1" applyFill="1" applyBorder="1" applyAlignment="1" applyProtection="1">
      <alignment horizontal="center" vertical="center" wrapText="1"/>
      <protection hidden="1"/>
    </xf>
    <xf numFmtId="3" fontId="56" fillId="17" borderId="39" xfId="0" applyNumberFormat="1" applyFont="1" applyFill="1" applyBorder="1" applyAlignment="1">
      <alignment horizontal="center" vertical="center" wrapText="1"/>
    </xf>
    <xf numFmtId="3" fontId="55" fillId="17" borderId="25" xfId="10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7" fillId="54" borderId="24" xfId="105" applyFont="1" applyFill="1" applyBorder="1" applyAlignment="1" applyProtection="1">
      <alignment horizontal="center" vertical="center"/>
      <protection hidden="1"/>
    </xf>
    <xf numFmtId="0" fontId="49" fillId="61" borderId="24" xfId="105" applyFont="1" applyFill="1" applyBorder="1" applyAlignment="1" applyProtection="1">
      <alignment horizontal="center" vertical="center"/>
      <protection hidden="1"/>
    </xf>
    <xf numFmtId="0" fontId="34" fillId="0" borderId="49" xfId="0" applyFont="1" applyFill="1" applyBorder="1" applyAlignment="1">
      <alignment vertical="center"/>
    </xf>
    <xf numFmtId="3" fontId="47" fillId="0" borderId="25" xfId="105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48" fillId="0" borderId="115" xfId="105" applyFont="1" applyBorder="1" applyAlignment="1" applyProtection="1">
      <alignment vertical="center"/>
      <protection hidden="1"/>
    </xf>
    <xf numFmtId="3" fontId="48" fillId="0" borderId="116" xfId="105" applyNumberFormat="1" applyFont="1" applyBorder="1" applyAlignment="1" applyProtection="1">
      <alignment horizontal="right" vertical="center"/>
      <protection hidden="1"/>
    </xf>
    <xf numFmtId="0" fontId="48" fillId="0" borderId="67" xfId="95" applyFont="1" applyBorder="1" applyAlignment="1">
      <alignment vertical="center"/>
      <protection/>
    </xf>
    <xf numFmtId="3" fontId="48" fillId="0" borderId="119" xfId="105" applyNumberFormat="1" applyFont="1" applyBorder="1" applyAlignment="1" applyProtection="1">
      <alignment horizontal="right" vertical="center"/>
      <protection hidden="1"/>
    </xf>
    <xf numFmtId="3" fontId="48" fillId="0" borderId="53" xfId="105" applyNumberFormat="1" applyFont="1" applyBorder="1" applyAlignment="1" applyProtection="1">
      <alignment horizontal="right" vertical="center"/>
      <protection hidden="1"/>
    </xf>
    <xf numFmtId="3" fontId="47" fillId="0" borderId="63" xfId="105" applyNumberFormat="1" applyFont="1" applyBorder="1" applyAlignment="1" applyProtection="1">
      <alignment horizontal="right" vertical="center"/>
      <protection hidden="1"/>
    </xf>
    <xf numFmtId="3" fontId="47" fillId="0" borderId="68" xfId="105" applyNumberFormat="1" applyFont="1" applyBorder="1" applyAlignment="1" applyProtection="1">
      <alignment horizontal="right" vertical="center"/>
      <protection hidden="1"/>
    </xf>
    <xf numFmtId="3" fontId="53" fillId="54" borderId="38" xfId="63" applyNumberFormat="1" applyFont="1" applyFill="1" applyBorder="1" applyAlignment="1" applyProtection="1">
      <alignment horizontal="right" vertical="center"/>
      <protection/>
    </xf>
    <xf numFmtId="3" fontId="47" fillId="0" borderId="24" xfId="95" applyNumberFormat="1" applyFont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3" fontId="43" fillId="0" borderId="37" xfId="95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48" fillId="0" borderId="126" xfId="95" applyNumberFormat="1" applyFont="1" applyFill="1" applyBorder="1" applyAlignment="1">
      <alignment vertical="center"/>
      <protection/>
    </xf>
    <xf numFmtId="3" fontId="18" fillId="0" borderId="35" xfId="101" applyNumberFormat="1" applyFont="1" applyFill="1" applyBorder="1" applyAlignment="1">
      <alignment horizontal="right" vertical="center"/>
    </xf>
    <xf numFmtId="3" fontId="18" fillId="0" borderId="35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3" fontId="34" fillId="0" borderId="35" xfId="102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47" fillId="0" borderId="50" xfId="105" applyFont="1" applyBorder="1" applyAlignment="1" applyProtection="1">
      <alignment horizontal="center" vertical="center"/>
      <protection hidden="1"/>
    </xf>
    <xf numFmtId="0" fontId="48" fillId="0" borderId="35" xfId="105" applyFont="1" applyBorder="1" applyAlignment="1" applyProtection="1">
      <alignment horizontal="left" vertical="center"/>
      <protection hidden="1"/>
    </xf>
    <xf numFmtId="3" fontId="43" fillId="0" borderId="35" xfId="68" applyNumberFormat="1" applyFont="1" applyBorder="1" applyAlignment="1" applyProtection="1">
      <alignment horizontal="right" vertical="center"/>
      <protection hidden="1"/>
    </xf>
    <xf numFmtId="0" fontId="47" fillId="0" borderId="24" xfId="95" applyFont="1" applyBorder="1" applyAlignment="1">
      <alignment vertical="center"/>
      <protection/>
    </xf>
    <xf numFmtId="4" fontId="15" fillId="0" borderId="0" xfId="104" applyNumberFormat="1" applyFont="1" applyFill="1" applyBorder="1" applyAlignment="1">
      <alignment horizontal="center" vertical="center"/>
      <protection/>
    </xf>
    <xf numFmtId="0" fontId="7" fillId="0" borderId="0" xfId="104" applyFont="1" applyFill="1" applyAlignment="1">
      <alignment horizontal="center" vertical="center"/>
      <protection/>
    </xf>
    <xf numFmtId="0" fontId="47" fillId="0" borderId="52" xfId="95" applyFont="1" applyFill="1" applyBorder="1" applyAlignment="1" applyProtection="1">
      <alignment horizontal="center" vertical="center"/>
      <protection hidden="1"/>
    </xf>
    <xf numFmtId="3" fontId="47" fillId="0" borderId="124" xfId="95" applyNumberFormat="1" applyFont="1" applyBorder="1" applyAlignment="1">
      <alignment horizontal="right" vertical="center"/>
      <protection/>
    </xf>
    <xf numFmtId="3" fontId="47" fillId="0" borderId="67" xfId="95" applyNumberFormat="1" applyFont="1" applyBorder="1" applyAlignment="1">
      <alignment horizontal="right" vertical="center"/>
      <protection/>
    </xf>
    <xf numFmtId="0" fontId="47" fillId="54" borderId="115" xfId="95" applyFont="1" applyFill="1" applyBorder="1" applyAlignment="1" applyProtection="1">
      <alignment horizontal="center" vertical="center"/>
      <protection hidden="1"/>
    </xf>
    <xf numFmtId="0" fontId="47" fillId="54" borderId="135" xfId="95" applyFont="1" applyFill="1" applyBorder="1" applyAlignment="1">
      <alignment vertical="center"/>
      <protection/>
    </xf>
    <xf numFmtId="3" fontId="47" fillId="54" borderId="0" xfId="95" applyNumberFormat="1" applyFont="1" applyFill="1" applyBorder="1" applyAlignment="1">
      <alignment horizontal="right" vertical="center"/>
      <protection/>
    </xf>
    <xf numFmtId="3" fontId="47" fillId="54" borderId="49" xfId="95" applyNumberFormat="1" applyFont="1" applyFill="1" applyBorder="1" applyAlignment="1">
      <alignment horizontal="right" vertical="center"/>
      <protection/>
    </xf>
    <xf numFmtId="3" fontId="47" fillId="54" borderId="68" xfId="95" applyNumberFormat="1" applyFont="1" applyFill="1" applyBorder="1" applyAlignment="1">
      <alignment horizontal="right" vertical="center"/>
      <protection/>
    </xf>
    <xf numFmtId="0" fontId="49" fillId="61" borderId="24" xfId="95" applyFont="1" applyFill="1" applyBorder="1" applyAlignment="1" applyProtection="1">
      <alignment horizontal="center" vertical="center"/>
      <protection/>
    </xf>
    <xf numFmtId="0" fontId="49" fillId="61" borderId="24" xfId="95" applyFont="1" applyFill="1" applyBorder="1" applyAlignment="1" applyProtection="1">
      <alignment horizontal="center" vertical="center"/>
      <protection hidden="1"/>
    </xf>
    <xf numFmtId="0" fontId="48" fillId="0" borderId="30" xfId="105" applyFont="1" applyBorder="1" applyAlignment="1" applyProtection="1">
      <alignment horizontal="left" vertical="center"/>
      <protection hidden="1"/>
    </xf>
    <xf numFmtId="0" fontId="36" fillId="61" borderId="24" xfId="105" applyFont="1" applyFill="1" applyBorder="1" applyAlignment="1" applyProtection="1">
      <alignment vertical="center"/>
      <protection hidden="1"/>
    </xf>
    <xf numFmtId="0" fontId="43" fillId="0" borderId="86" xfId="105" applyFont="1" applyBorder="1" applyAlignment="1" applyProtection="1">
      <alignment horizontal="left" vertical="center"/>
      <protection hidden="1"/>
    </xf>
    <xf numFmtId="0" fontId="43" fillId="0" borderId="123" xfId="105" applyFont="1" applyBorder="1" applyAlignment="1" applyProtection="1">
      <alignment horizontal="left" vertical="center"/>
      <protection hidden="1"/>
    </xf>
    <xf numFmtId="3" fontId="12" fillId="53" borderId="40" xfId="102" applyNumberFormat="1" applyFont="1" applyFill="1" applyBorder="1" applyAlignment="1">
      <alignment vertical="center"/>
    </xf>
    <xf numFmtId="3" fontId="12" fillId="57" borderId="136" xfId="0" applyNumberFormat="1" applyFont="1" applyFill="1" applyBorder="1" applyAlignment="1">
      <alignment vertical="center"/>
    </xf>
    <xf numFmtId="3" fontId="12" fillId="53" borderId="43" xfId="102" applyNumberFormat="1" applyFont="1" applyFill="1" applyBorder="1" applyAlignment="1">
      <alignment vertical="center"/>
    </xf>
    <xf numFmtId="3" fontId="42" fillId="59" borderId="39" xfId="0" applyNumberFormat="1" applyFont="1" applyFill="1" applyBorder="1" applyAlignment="1">
      <alignment horizontal="right" vertical="center"/>
    </xf>
    <xf numFmtId="0" fontId="42" fillId="62" borderId="24" xfId="0" applyFont="1" applyFill="1" applyBorder="1" applyAlignment="1">
      <alignment horizontal="center" vertical="center"/>
    </xf>
    <xf numFmtId="3" fontId="34" fillId="45" borderId="34" xfId="0" applyNumberFormat="1" applyFont="1" applyFill="1" applyBorder="1" applyAlignment="1">
      <alignment horizontal="right" vertical="center"/>
    </xf>
    <xf numFmtId="3" fontId="42" fillId="62" borderId="24" xfId="109" applyNumberFormat="1" applyFont="1" applyFill="1" applyBorder="1" applyAlignment="1">
      <alignment vertical="center"/>
      <protection/>
    </xf>
    <xf numFmtId="3" fontId="34" fillId="0" borderId="48" xfId="0" applyNumberFormat="1" applyFont="1" applyFill="1" applyBorder="1" applyAlignment="1">
      <alignment horizontal="right" vertical="center"/>
    </xf>
    <xf numFmtId="3" fontId="42" fillId="0" borderId="48" xfId="0" applyNumberFormat="1" applyFont="1" applyFill="1" applyBorder="1" applyAlignment="1">
      <alignment horizontal="right" vertical="center"/>
    </xf>
    <xf numFmtId="0" fontId="47" fillId="0" borderId="55" xfId="95" applyFont="1" applyFill="1" applyBorder="1" applyAlignment="1">
      <alignment vertical="center"/>
      <protection/>
    </xf>
    <xf numFmtId="0" fontId="47" fillId="0" borderId="67" xfId="95" applyFont="1" applyFill="1" applyBorder="1" applyAlignment="1">
      <alignment vertical="center"/>
      <protection/>
    </xf>
    <xf numFmtId="0" fontId="47" fillId="0" borderId="63" xfId="95" applyFont="1" applyFill="1" applyBorder="1" applyAlignment="1">
      <alignment vertical="center"/>
      <protection/>
    </xf>
    <xf numFmtId="0" fontId="48" fillId="0" borderId="55" xfId="95" applyFont="1" applyFill="1" applyBorder="1" applyAlignment="1">
      <alignment vertical="center"/>
      <protection/>
    </xf>
    <xf numFmtId="0" fontId="48" fillId="0" borderId="67" xfId="95" applyFont="1" applyFill="1" applyBorder="1" applyAlignment="1">
      <alignment vertical="center"/>
      <protection/>
    </xf>
    <xf numFmtId="0" fontId="47" fillId="0" borderId="43" xfId="95" applyFont="1" applyFill="1" applyBorder="1" applyAlignment="1">
      <alignment vertical="center"/>
      <protection/>
    </xf>
    <xf numFmtId="0" fontId="47" fillId="0" borderId="111" xfId="105" applyFont="1" applyFill="1" applyBorder="1" applyAlignment="1" applyProtection="1">
      <alignment horizontal="left" vertical="center"/>
      <protection hidden="1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19" xfId="0" applyNumberFormat="1" applyFont="1" applyFill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7" borderId="9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57" borderId="93" xfId="0" applyNumberFormat="1" applyFont="1" applyFill="1" applyBorder="1" applyAlignment="1">
      <alignment vertical="center"/>
    </xf>
    <xf numFmtId="3" fontId="13" fillId="49" borderId="67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7" borderId="38" xfId="0" applyNumberFormat="1" applyFont="1" applyFill="1" applyBorder="1" applyAlignment="1">
      <alignment vertical="center"/>
    </xf>
    <xf numFmtId="3" fontId="13" fillId="0" borderId="109" xfId="0" applyNumberFormat="1" applyFont="1" applyBorder="1" applyAlignment="1">
      <alignment vertical="center"/>
    </xf>
    <xf numFmtId="3" fontId="13" fillId="57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20" xfId="0" applyNumberFormat="1" applyFont="1" applyFill="1" applyBorder="1" applyAlignment="1">
      <alignment vertical="center"/>
    </xf>
    <xf numFmtId="0" fontId="8" fillId="49" borderId="76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07" xfId="0" applyFont="1" applyFill="1" applyBorder="1" applyAlignment="1">
      <alignment vertical="center"/>
    </xf>
    <xf numFmtId="0" fontId="8" fillId="49" borderId="108" xfId="0" applyFont="1" applyFill="1" applyBorder="1" applyAlignment="1">
      <alignment vertical="center"/>
    </xf>
    <xf numFmtId="0" fontId="8" fillId="49" borderId="109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7" xfId="0" applyNumberFormat="1" applyFont="1" applyFill="1" applyBorder="1" applyAlignment="1">
      <alignment vertical="center"/>
    </xf>
    <xf numFmtId="3" fontId="13" fillId="50" borderId="122" xfId="0" applyNumberFormat="1" applyFont="1" applyFill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3" fontId="13" fillId="50" borderId="93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3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3" fontId="8" fillId="0" borderId="8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3" fontId="13" fillId="50" borderId="120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20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13" fillId="0" borderId="1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8" fillId="0" borderId="24" xfId="95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3" fillId="58" borderId="47" xfId="0" applyNumberFormat="1" applyFont="1" applyFill="1" applyBorder="1" applyAlignment="1">
      <alignment horizontal="right" vertical="center"/>
    </xf>
    <xf numFmtId="3" fontId="14" fillId="54" borderId="122" xfId="104" applyNumberFormat="1" applyFont="1" applyFill="1" applyBorder="1" applyAlignment="1">
      <alignment vertical="center"/>
      <protection/>
    </xf>
    <xf numFmtId="0" fontId="19" fillId="50" borderId="38" xfId="104" applyFont="1" applyFill="1" applyBorder="1" applyAlignment="1">
      <alignment horizontal="center" vertical="center"/>
      <protection/>
    </xf>
    <xf numFmtId="0" fontId="19" fillId="50" borderId="28" xfId="104" applyFont="1" applyFill="1" applyBorder="1" applyAlignment="1">
      <alignment horizontal="center" vertical="center"/>
      <protection/>
    </xf>
    <xf numFmtId="3" fontId="47" fillId="0" borderId="24" xfId="9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8" fillId="0" borderId="123" xfId="105" applyFont="1" applyBorder="1" applyAlignment="1" applyProtection="1">
      <alignment horizontal="left" vertical="center"/>
      <protection hidden="1"/>
    </xf>
    <xf numFmtId="0" fontId="42" fillId="0" borderId="40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vertical="center" wrapText="1"/>
    </xf>
    <xf numFmtId="0" fontId="12" fillId="57" borderId="137" xfId="0" applyFont="1" applyFill="1" applyBorder="1" applyAlignment="1">
      <alignment horizontal="center" vertical="center"/>
    </xf>
    <xf numFmtId="3" fontId="42" fillId="57" borderId="136" xfId="0" applyNumberFormat="1" applyFont="1" applyFill="1" applyBorder="1" applyAlignment="1">
      <alignment horizontal="right"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3" xfId="0" applyFont="1" applyFill="1" applyBorder="1" applyAlignment="1">
      <alignment vertical="center"/>
    </xf>
    <xf numFmtId="3" fontId="14" fillId="57" borderId="38" xfId="0" applyNumberFormat="1" applyFont="1" applyFill="1" applyBorder="1" applyAlignment="1">
      <alignment vertical="center"/>
    </xf>
    <xf numFmtId="3" fontId="48" fillId="0" borderId="36" xfId="68" applyNumberFormat="1" applyFont="1" applyBorder="1" applyAlignment="1" applyProtection="1">
      <alignment horizontal="right" vertical="center"/>
      <protection hidden="1"/>
    </xf>
    <xf numFmtId="3" fontId="48" fillId="0" borderId="126" xfId="68" applyNumberFormat="1" applyFont="1" applyBorder="1" applyAlignment="1" applyProtection="1">
      <alignment horizontal="right" vertical="center"/>
      <protection hidden="1"/>
    </xf>
    <xf numFmtId="0" fontId="2" fillId="57" borderId="1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vertical="center"/>
    </xf>
    <xf numFmtId="3" fontId="1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2" fillId="63" borderId="50" xfId="0" applyFont="1" applyFill="1" applyBorder="1" applyAlignment="1">
      <alignment horizontal="center" vertical="center"/>
    </xf>
    <xf numFmtId="3" fontId="42" fillId="63" borderId="49" xfId="0" applyNumberFormat="1" applyFont="1" applyFill="1" applyBorder="1" applyAlignment="1">
      <alignment horizontal="right" vertical="center"/>
    </xf>
    <xf numFmtId="0" fontId="42" fillId="0" borderId="38" xfId="0" applyFont="1" applyFill="1" applyBorder="1" applyAlignment="1">
      <alignment horizontal="center" vertical="center"/>
    </xf>
    <xf numFmtId="3" fontId="42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0" fontId="48" fillId="0" borderId="26" xfId="105" applyFont="1" applyBorder="1" applyAlignment="1" applyProtection="1">
      <alignment horizontal="center" vertical="top"/>
      <protection hidden="1"/>
    </xf>
    <xf numFmtId="0" fontId="12" fillId="0" borderId="50" xfId="104" applyFont="1" applyFill="1" applyBorder="1" applyAlignment="1">
      <alignment vertical="center"/>
      <protection/>
    </xf>
    <xf numFmtId="3" fontId="17" fillId="0" borderId="26" xfId="103" applyNumberFormat="1" applyFont="1" applyFill="1" applyBorder="1" applyAlignment="1">
      <alignment horizontal="right" vertical="center"/>
    </xf>
    <xf numFmtId="0" fontId="18" fillId="0" borderId="128" xfId="104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4" xfId="0" applyFont="1" applyFill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120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8" fillId="0" borderId="53" xfId="101" applyNumberFormat="1" applyFont="1" applyFill="1" applyBorder="1" applyAlignment="1">
      <alignment horizontal="right" vertical="center"/>
    </xf>
    <xf numFmtId="0" fontId="42" fillId="0" borderId="41" xfId="0" applyFont="1" applyFill="1" applyBorder="1" applyAlignment="1">
      <alignment vertical="center"/>
    </xf>
    <xf numFmtId="3" fontId="42" fillId="0" borderId="53" xfId="0" applyNumberFormat="1" applyFont="1" applyFill="1" applyBorder="1" applyAlignment="1">
      <alignment horizontal="right" vertical="center"/>
    </xf>
    <xf numFmtId="0" fontId="2" fillId="64" borderId="24" xfId="0" applyFont="1" applyFill="1" applyBorder="1" applyAlignment="1">
      <alignment horizontal="center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0" borderId="23" xfId="101" applyNumberFormat="1" applyFont="1" applyFill="1" applyBorder="1" applyAlignment="1">
      <alignment horizontal="right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45" borderId="35" xfId="101" applyNumberFormat="1" applyFont="1" applyFill="1" applyBorder="1" applyAlignment="1">
      <alignment horizontal="right" vertical="center"/>
    </xf>
    <xf numFmtId="3" fontId="34" fillId="0" borderId="23" xfId="102" applyNumberFormat="1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22" fillId="0" borderId="0" xfId="104" applyFont="1" applyFill="1" applyBorder="1" applyAlignment="1">
      <alignment horizontal="center" vertical="center"/>
      <protection/>
    </xf>
    <xf numFmtId="0" fontId="17" fillId="0" borderId="50" xfId="104" applyFont="1" applyFill="1" applyBorder="1" applyAlignment="1">
      <alignment horizontal="left" vertical="center"/>
      <protection/>
    </xf>
    <xf numFmtId="0" fontId="17" fillId="0" borderId="119" xfId="104" applyFont="1" applyFill="1" applyBorder="1" applyAlignment="1">
      <alignment horizontal="left" vertical="center"/>
      <protection/>
    </xf>
    <xf numFmtId="3" fontId="14" fillId="57" borderId="68" xfId="104" applyNumberFormat="1" applyFont="1" applyFill="1" applyBorder="1" applyAlignment="1">
      <alignment horizontal="right" vertical="center"/>
      <protection/>
    </xf>
    <xf numFmtId="3" fontId="14" fillId="57" borderId="55" xfId="104" applyNumberFormat="1" applyFont="1" applyFill="1" applyBorder="1" applyAlignment="1">
      <alignment horizontal="right" vertical="center"/>
      <protection/>
    </xf>
    <xf numFmtId="3" fontId="14" fillId="53" borderId="108" xfId="104" applyNumberFormat="1" applyFont="1" applyFill="1" applyBorder="1" applyAlignment="1">
      <alignment vertical="center"/>
      <protection/>
    </xf>
    <xf numFmtId="3" fontId="14" fillId="53" borderId="131" xfId="104" applyNumberFormat="1" applyFont="1" applyFill="1" applyBorder="1" applyAlignment="1">
      <alignment vertical="center"/>
      <protection/>
    </xf>
    <xf numFmtId="3" fontId="14" fillId="53" borderId="115" xfId="104" applyNumberFormat="1" applyFont="1" applyFill="1" applyBorder="1" applyAlignment="1">
      <alignment horizontal="right" vertical="center"/>
      <protection/>
    </xf>
    <xf numFmtId="3" fontId="14" fillId="53" borderId="122" xfId="104" applyNumberFormat="1" applyFont="1" applyFill="1" applyBorder="1" applyAlignment="1">
      <alignment horizontal="right" vertical="center"/>
      <protection/>
    </xf>
    <xf numFmtId="3" fontId="14" fillId="53" borderId="114" xfId="104" applyNumberFormat="1" applyFont="1" applyFill="1" applyBorder="1" applyAlignment="1">
      <alignment horizontal="right" vertical="center"/>
      <protection/>
    </xf>
    <xf numFmtId="3" fontId="17" fillId="0" borderId="33" xfId="104" applyNumberFormat="1" applyFont="1" applyFill="1" applyBorder="1" applyAlignment="1">
      <alignment horizontal="right" vertical="center"/>
      <protection/>
    </xf>
    <xf numFmtId="3" fontId="17" fillId="0" borderId="22" xfId="104" applyNumberFormat="1" applyFont="1" applyFill="1" applyBorder="1" applyAlignment="1">
      <alignment horizontal="right" vertical="center"/>
      <protection/>
    </xf>
    <xf numFmtId="3" fontId="17" fillId="0" borderId="19" xfId="104" applyNumberFormat="1" applyFont="1" applyFill="1" applyBorder="1" applyAlignment="1">
      <alignment horizontal="right" vertical="center"/>
      <protection/>
    </xf>
    <xf numFmtId="3" fontId="17" fillId="0" borderId="20" xfId="104" applyNumberFormat="1" applyFont="1" applyFill="1" applyBorder="1" applyAlignment="1">
      <alignment horizontal="right" vertical="center"/>
      <protection/>
    </xf>
    <xf numFmtId="0" fontId="17" fillId="0" borderId="86" xfId="103" applyFont="1" applyFill="1" applyBorder="1" applyAlignment="1">
      <alignment vertical="center"/>
    </xf>
    <xf numFmtId="3" fontId="14" fillId="53" borderId="75" xfId="104" applyNumberFormat="1" applyFont="1" applyFill="1" applyBorder="1" applyAlignment="1">
      <alignment horizontal="right" vertical="center"/>
      <protection/>
    </xf>
    <xf numFmtId="3" fontId="14" fillId="0" borderId="123" xfId="104" applyNumberFormat="1" applyFont="1" applyFill="1" applyBorder="1" applyAlignment="1">
      <alignment horizontal="right" vertical="center"/>
      <protection/>
    </xf>
    <xf numFmtId="3" fontId="17" fillId="53" borderId="48" xfId="104" applyNumberFormat="1" applyFont="1" applyFill="1" applyBorder="1" applyAlignment="1">
      <alignment horizontal="right" vertical="center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18" fillId="0" borderId="34" xfId="101" applyNumberFormat="1" applyFont="1" applyFill="1" applyBorder="1" applyAlignment="1">
      <alignment horizontal="right" vertical="center"/>
    </xf>
    <xf numFmtId="3" fontId="42" fillId="54" borderId="23" xfId="0" applyNumberFormat="1" applyFont="1" applyFill="1" applyBorder="1" applyAlignment="1">
      <alignment horizontal="right" vertical="center"/>
    </xf>
    <xf numFmtId="0" fontId="42" fillId="59" borderId="38" xfId="0" applyFont="1" applyFill="1" applyBorder="1" applyAlignment="1">
      <alignment horizontal="center" vertical="center"/>
    </xf>
    <xf numFmtId="3" fontId="42" fillId="59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42" fillId="53" borderId="23" xfId="0" applyFont="1" applyFill="1" applyBorder="1" applyAlignment="1">
      <alignment horizontal="center" vertical="center"/>
    </xf>
    <xf numFmtId="3" fontId="48" fillId="0" borderId="67" xfId="68" applyNumberFormat="1" applyFont="1" applyBorder="1" applyAlignment="1" applyProtection="1">
      <alignment horizontal="right" vertical="center"/>
      <protection hidden="1"/>
    </xf>
    <xf numFmtId="3" fontId="43" fillId="0" borderId="55" xfId="105" applyNumberFormat="1" applyFont="1" applyBorder="1" applyAlignment="1" applyProtection="1">
      <alignment horizontal="right" vertical="center"/>
      <protection hidden="1"/>
    </xf>
    <xf numFmtId="3" fontId="48" fillId="0" borderId="55" xfId="105" applyNumberFormat="1" applyFont="1" applyBorder="1" applyAlignment="1" applyProtection="1">
      <alignment horizontal="right" vertical="center"/>
      <protection hidden="1"/>
    </xf>
    <xf numFmtId="3" fontId="47" fillId="0" borderId="63" xfId="68" applyNumberFormat="1" applyFont="1" applyBorder="1" applyAlignment="1" applyProtection="1">
      <alignment horizontal="right" vertical="center"/>
      <protection hidden="1"/>
    </xf>
    <xf numFmtId="0" fontId="48" fillId="0" borderId="87" xfId="105" applyFont="1" applyBorder="1" applyAlignment="1" applyProtection="1">
      <alignment horizontal="left" vertical="center"/>
      <protection hidden="1"/>
    </xf>
    <xf numFmtId="3" fontId="48" fillId="0" borderId="117" xfId="105" applyNumberFormat="1" applyFont="1" applyBorder="1" applyAlignment="1" applyProtection="1">
      <alignment horizontal="right" vertical="center"/>
      <protection hidden="1"/>
    </xf>
    <xf numFmtId="0" fontId="48" fillId="0" borderId="126" xfId="105" applyFont="1" applyBorder="1" applyAlignment="1" applyProtection="1">
      <alignment horizontal="left" vertical="center"/>
      <protection hidden="1"/>
    </xf>
    <xf numFmtId="0" fontId="47" fillId="0" borderId="48" xfId="105" applyFont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>
      <alignment horizontal="center" vertical="center"/>
    </xf>
    <xf numFmtId="3" fontId="43" fillId="0" borderId="35" xfId="105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7" borderId="25" xfId="0" applyNumberFormat="1" applyFont="1" applyFill="1" applyBorder="1" applyAlignment="1">
      <alignment vertical="center"/>
    </xf>
    <xf numFmtId="3" fontId="13" fillId="57" borderId="120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8" fillId="49" borderId="62" xfId="0" applyNumberFormat="1" applyFont="1" applyFill="1" applyBorder="1" applyAlignment="1">
      <alignment vertical="center"/>
    </xf>
    <xf numFmtId="3" fontId="8" fillId="49" borderId="138" xfId="0" applyNumberFormat="1" applyFont="1" applyFill="1" applyBorder="1" applyAlignment="1">
      <alignment vertical="center"/>
    </xf>
    <xf numFmtId="3" fontId="13" fillId="49" borderId="139" xfId="0" applyNumberFormat="1" applyFont="1" applyFill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27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0" xfId="0" applyNumberFormat="1" applyFont="1" applyFill="1" applyBorder="1" applyAlignment="1">
      <alignment vertical="center"/>
    </xf>
    <xf numFmtId="3" fontId="8" fillId="49" borderId="114" xfId="0" applyNumberFormat="1" applyFont="1" applyFill="1" applyBorder="1" applyAlignment="1">
      <alignment vertical="center"/>
    </xf>
    <xf numFmtId="3" fontId="13" fillId="0" borderId="118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4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3" fontId="13" fillId="57" borderId="114" xfId="0" applyNumberFormat="1" applyFont="1" applyFill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13" fillId="0" borderId="141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6" xfId="0" applyNumberFormat="1" applyFont="1" applyFill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42" fillId="0" borderId="55" xfId="102" applyNumberFormat="1" applyFont="1" applyFill="1" applyBorder="1" applyAlignment="1">
      <alignment horizontal="right" vertical="center"/>
    </xf>
    <xf numFmtId="3" fontId="42" fillId="54" borderId="39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82" xfId="0" applyNumberFormat="1" applyFont="1" applyFill="1" applyBorder="1" applyAlignment="1">
      <alignment horizontal="right" vertical="center"/>
    </xf>
    <xf numFmtId="3" fontId="34" fillId="0" borderId="68" xfId="0" applyNumberFormat="1" applyFont="1" applyFill="1" applyBorder="1" applyAlignment="1">
      <alignment horizontal="right" vertical="center"/>
    </xf>
    <xf numFmtId="3" fontId="42" fillId="54" borderId="25" xfId="0" applyNumberFormat="1" applyFont="1" applyFill="1" applyBorder="1" applyAlignment="1">
      <alignment horizontal="right" vertical="center"/>
    </xf>
    <xf numFmtId="3" fontId="42" fillId="53" borderId="39" xfId="102" applyNumberFormat="1" applyFont="1" applyFill="1" applyBorder="1" applyAlignment="1">
      <alignment vertical="center"/>
    </xf>
    <xf numFmtId="3" fontId="42" fillId="0" borderId="128" xfId="102" applyNumberFormat="1" applyFont="1" applyFill="1" applyBorder="1" applyAlignment="1">
      <alignment horizontal="right" vertical="center"/>
    </xf>
    <xf numFmtId="3" fontId="42" fillId="0" borderId="68" xfId="102" applyNumberFormat="1" applyFont="1" applyFill="1" applyBorder="1" applyAlignment="1">
      <alignment horizontal="right" vertical="center"/>
    </xf>
    <xf numFmtId="3" fontId="42" fillId="0" borderId="120" xfId="102" applyNumberFormat="1" applyFont="1" applyFill="1" applyBorder="1" applyAlignment="1">
      <alignment horizontal="right" vertical="center"/>
    </xf>
    <xf numFmtId="3" fontId="42" fillId="54" borderId="139" xfId="0" applyNumberFormat="1" applyFont="1" applyFill="1" applyBorder="1" applyAlignment="1">
      <alignment horizontal="right" vertical="center"/>
    </xf>
    <xf numFmtId="3" fontId="34" fillId="0" borderId="35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39" xfId="0" applyFont="1" applyFill="1" applyBorder="1" applyAlignment="1">
      <alignment horizontal="center"/>
    </xf>
    <xf numFmtId="0" fontId="19" fillId="50" borderId="25" xfId="104" applyFont="1" applyFill="1" applyBorder="1" applyAlignment="1">
      <alignment horizontal="center" vertical="center"/>
      <protection/>
    </xf>
    <xf numFmtId="3" fontId="17" fillId="53" borderId="75" xfId="103" applyNumberFormat="1" applyFont="1" applyFill="1" applyBorder="1" applyAlignment="1">
      <alignment horizontal="right" vertical="center"/>
    </xf>
    <xf numFmtId="3" fontId="14" fillId="53" borderId="42" xfId="104" applyNumberFormat="1" applyFont="1" applyFill="1" applyBorder="1" applyAlignment="1">
      <alignment vertical="center"/>
      <protection/>
    </xf>
    <xf numFmtId="3" fontId="17" fillId="0" borderId="142" xfId="104" applyNumberFormat="1" applyFont="1" applyFill="1" applyBorder="1" applyAlignment="1">
      <alignment horizontal="right" vertical="center"/>
      <protection/>
    </xf>
    <xf numFmtId="3" fontId="17" fillId="0" borderId="125" xfId="104" applyNumberFormat="1" applyFont="1" applyFill="1" applyBorder="1" applyAlignment="1">
      <alignment horizontal="right" vertical="center"/>
      <protection/>
    </xf>
    <xf numFmtId="3" fontId="14" fillId="54" borderId="114" xfId="104" applyNumberFormat="1" applyFont="1" applyFill="1" applyBorder="1" applyAlignment="1">
      <alignment vertical="center"/>
      <protection/>
    </xf>
    <xf numFmtId="0" fontId="19" fillId="50" borderId="29" xfId="104" applyFont="1" applyFill="1" applyBorder="1" applyAlignment="1">
      <alignment horizontal="center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3" fontId="17" fillId="53" borderId="32" xfId="103" applyNumberFormat="1" applyFont="1" applyFill="1" applyBorder="1" applyAlignment="1">
      <alignment horizontal="right" vertical="center"/>
    </xf>
    <xf numFmtId="3" fontId="14" fillId="53" borderId="135" xfId="104" applyNumberFormat="1" applyFont="1" applyFill="1" applyBorder="1" applyAlignment="1">
      <alignment horizontal="right" vertical="center"/>
      <protection/>
    </xf>
    <xf numFmtId="3" fontId="14" fillId="54" borderId="135" xfId="104" applyNumberFormat="1" applyFont="1" applyFill="1" applyBorder="1" applyAlignment="1">
      <alignment vertical="center"/>
      <protection/>
    </xf>
    <xf numFmtId="3" fontId="14" fillId="53" borderId="29" xfId="104" applyNumberFormat="1" applyFont="1" applyFill="1" applyBorder="1" applyAlignment="1">
      <alignment vertical="center"/>
      <protection/>
    </xf>
    <xf numFmtId="3" fontId="12" fillId="64" borderId="24" xfId="101" applyNumberFormat="1" applyFont="1" applyFill="1" applyBorder="1" applyAlignment="1">
      <alignment horizontal="right" vertical="center"/>
    </xf>
    <xf numFmtId="3" fontId="12" fillId="64" borderId="39" xfId="101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34" fillId="0" borderId="49" xfId="102" applyNumberFormat="1" applyFont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34" fillId="0" borderId="48" xfId="102" applyNumberFormat="1" applyFont="1" applyFill="1" applyBorder="1" applyAlignment="1">
      <alignment vertical="center"/>
    </xf>
    <xf numFmtId="3" fontId="34" fillId="0" borderId="49" xfId="102" applyNumberFormat="1" applyFont="1" applyFill="1" applyBorder="1" applyAlignment="1">
      <alignment vertical="center"/>
    </xf>
    <xf numFmtId="0" fontId="142" fillId="65" borderId="86" xfId="0" applyFont="1" applyFill="1" applyBorder="1" applyAlignment="1">
      <alignment vertical="top" wrapText="1"/>
    </xf>
    <xf numFmtId="3" fontId="34" fillId="0" borderId="34" xfId="68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34" fillId="0" borderId="48" xfId="102" applyNumberFormat="1" applyFont="1" applyBorder="1" applyAlignment="1">
      <alignment vertical="center"/>
    </xf>
    <xf numFmtId="3" fontId="142" fillId="0" borderId="34" xfId="0" applyNumberFormat="1" applyFont="1" applyBorder="1" applyAlignment="1">
      <alignment horizontal="right" vertical="center"/>
    </xf>
    <xf numFmtId="3" fontId="34" fillId="0" borderId="23" xfId="102" applyNumberFormat="1" applyFont="1" applyBorder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3" fontId="34" fillId="45" borderId="82" xfId="0" applyNumberFormat="1" applyFont="1" applyFill="1" applyBorder="1" applyAlignment="1">
      <alignment horizontal="right" vertical="center"/>
    </xf>
    <xf numFmtId="3" fontId="34" fillId="45" borderId="55" xfId="0" applyNumberFormat="1" applyFont="1" applyFill="1" applyBorder="1" applyAlignment="1">
      <alignment horizontal="right" vertical="center"/>
    </xf>
    <xf numFmtId="3" fontId="42" fillId="0" borderId="0" xfId="102" applyNumberFormat="1" applyFont="1" applyFill="1" applyBorder="1" applyAlignment="1">
      <alignment horizontal="right" vertical="center"/>
    </xf>
    <xf numFmtId="3" fontId="42" fillId="0" borderId="82" xfId="102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3" fontId="34" fillId="0" borderId="49" xfId="101" applyNumberFormat="1" applyFont="1" applyFill="1" applyBorder="1" applyAlignment="1">
      <alignment horizontal="right" vertical="center"/>
    </xf>
    <xf numFmtId="3" fontId="48" fillId="0" borderId="55" xfId="105" applyNumberFormat="1" applyFont="1" applyFill="1" applyBorder="1" applyAlignment="1" applyProtection="1">
      <alignment horizontal="right" vertical="center"/>
      <protection hidden="1"/>
    </xf>
    <xf numFmtId="3" fontId="48" fillId="0" borderId="36" xfId="105" applyNumberFormat="1" applyFont="1" applyFill="1" applyBorder="1" applyAlignment="1" applyProtection="1">
      <alignment horizontal="right" vertical="center"/>
      <protection hidden="1"/>
    </xf>
    <xf numFmtId="3" fontId="48" fillId="0" borderId="0" xfId="105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8" fillId="0" borderId="34" xfId="95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3" fontId="48" fillId="0" borderId="124" xfId="105" applyNumberFormat="1" applyFont="1" applyFill="1" applyBorder="1" applyAlignment="1" applyProtection="1">
      <alignment horizontal="right" vertical="center"/>
      <protection hidden="1"/>
    </xf>
    <xf numFmtId="0" fontId="17" fillId="0" borderId="34" xfId="104" applyFont="1" applyFill="1" applyBorder="1" applyAlignment="1">
      <alignment vertical="center" wrapText="1"/>
      <protection/>
    </xf>
    <xf numFmtId="0" fontId="44" fillId="62" borderId="38" xfId="108" applyNumberFormat="1" applyFont="1" applyFill="1" applyBorder="1" applyAlignment="1">
      <alignment horizontal="right" vertical="center" wrapText="1"/>
      <protection/>
    </xf>
    <xf numFmtId="0" fontId="42" fillId="54" borderId="38" xfId="0" applyFont="1" applyFill="1" applyBorder="1" applyAlignment="1">
      <alignment horizontal="right" vertical="center"/>
    </xf>
    <xf numFmtId="0" fontId="42" fillId="53" borderId="25" xfId="102" applyFont="1" applyFill="1" applyBorder="1" applyAlignment="1">
      <alignment vertical="center"/>
    </xf>
    <xf numFmtId="0" fontId="42" fillId="53" borderId="38" xfId="102" applyFont="1" applyFill="1" applyBorder="1" applyAlignment="1">
      <alignment vertical="center"/>
    </xf>
    <xf numFmtId="0" fontId="142" fillId="0" borderId="37" xfId="0" applyFont="1" applyFill="1" applyBorder="1" applyAlignment="1">
      <alignment horizontal="left" vertical="top" wrapText="1"/>
    </xf>
    <xf numFmtId="0" fontId="142" fillId="0" borderId="123" xfId="0" applyFont="1" applyFill="1" applyBorder="1" applyAlignment="1">
      <alignment wrapText="1"/>
    </xf>
    <xf numFmtId="0" fontId="34" fillId="0" borderId="37" xfId="0" applyFont="1" applyBorder="1" applyAlignment="1">
      <alignment vertical="center"/>
    </xf>
    <xf numFmtId="0" fontId="42" fillId="53" borderId="38" xfId="101" applyNumberFormat="1" applyFont="1" applyFill="1" applyBorder="1" applyAlignment="1" applyProtection="1">
      <alignment horizontal="left" vertical="center" wrapText="1"/>
      <protection locked="0"/>
    </xf>
    <xf numFmtId="0" fontId="42" fillId="57" borderId="79" xfId="0" applyFont="1" applyFill="1" applyBorder="1" applyAlignment="1" applyProtection="1">
      <alignment horizontal="right" vertical="center"/>
      <protection locked="0"/>
    </xf>
    <xf numFmtId="0" fontId="34" fillId="0" borderId="37" xfId="102" applyFont="1" applyBorder="1" applyAlignment="1">
      <alignment vertical="center"/>
    </xf>
    <xf numFmtId="0" fontId="42" fillId="57" borderId="137" xfId="0" applyFont="1" applyFill="1" applyBorder="1" applyAlignment="1">
      <alignment horizontal="right" vertical="center"/>
    </xf>
    <xf numFmtId="0" fontId="42" fillId="9" borderId="79" xfId="0" applyFont="1" applyFill="1" applyBorder="1" applyAlignment="1" applyProtection="1">
      <alignment horizontal="right" vertical="center"/>
      <protection locked="0"/>
    </xf>
    <xf numFmtId="0" fontId="42" fillId="9" borderId="78" xfId="0" applyFont="1" applyFill="1" applyBorder="1" applyAlignment="1" applyProtection="1">
      <alignment horizontal="right" vertical="center"/>
      <protection locked="0"/>
    </xf>
    <xf numFmtId="0" fontId="42" fillId="54" borderId="47" xfId="0" applyFont="1" applyFill="1" applyBorder="1" applyAlignment="1">
      <alignment horizontal="right" vertical="center"/>
    </xf>
    <xf numFmtId="0" fontId="19" fillId="50" borderId="39" xfId="0" applyFont="1" applyFill="1" applyBorder="1" applyAlignment="1">
      <alignment horizontal="center" vertical="center"/>
    </xf>
    <xf numFmtId="3" fontId="42" fillId="45" borderId="63" xfId="0" applyNumberFormat="1" applyFont="1" applyFill="1" applyBorder="1" applyAlignment="1">
      <alignment horizontal="right" vertical="center"/>
    </xf>
    <xf numFmtId="3" fontId="42" fillId="45" borderId="82" xfId="0" applyNumberFormat="1" applyFont="1" applyFill="1" applyBorder="1" applyAlignment="1">
      <alignment horizontal="right" vertical="center"/>
    </xf>
    <xf numFmtId="3" fontId="42" fillId="0" borderId="39" xfId="0" applyNumberFormat="1" applyFont="1" applyFill="1" applyBorder="1" applyAlignment="1">
      <alignment horizontal="right" vertical="center"/>
    </xf>
    <xf numFmtId="3" fontId="42" fillId="63" borderId="82" xfId="0" applyNumberFormat="1" applyFont="1" applyFill="1" applyBorder="1" applyAlignment="1">
      <alignment horizontal="right" vertical="center"/>
    </xf>
    <xf numFmtId="3" fontId="12" fillId="9" borderId="71" xfId="0" applyNumberFormat="1" applyFont="1" applyFill="1" applyBorder="1" applyAlignment="1">
      <alignment horizontal="right" vertical="center"/>
    </xf>
    <xf numFmtId="3" fontId="12" fillId="54" borderId="66" xfId="0" applyNumberFormat="1" applyFont="1" applyFill="1" applyBorder="1" applyAlignment="1">
      <alignment vertical="center"/>
    </xf>
    <xf numFmtId="3" fontId="34" fillId="45" borderId="63" xfId="0" applyNumberFormat="1" applyFont="1" applyFill="1" applyBorder="1" applyAlignment="1">
      <alignment horizontal="right" vertical="center"/>
    </xf>
    <xf numFmtId="3" fontId="34" fillId="0" borderId="53" xfId="102" applyNumberFormat="1" applyFont="1" applyBorder="1" applyAlignment="1">
      <alignment vertical="center"/>
    </xf>
    <xf numFmtId="3" fontId="143" fillId="0" borderId="36" xfId="104" applyNumberFormat="1" applyFont="1" applyFill="1" applyBorder="1" applyAlignment="1">
      <alignment horizontal="right" vertical="center"/>
      <protection/>
    </xf>
    <xf numFmtId="3" fontId="143" fillId="0" borderId="37" xfId="104" applyNumberFormat="1" applyFont="1" applyFill="1" applyBorder="1" applyAlignment="1">
      <alignment horizontal="right" vertical="center"/>
      <protection/>
    </xf>
    <xf numFmtId="3" fontId="13" fillId="0" borderId="46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center" vertical="center"/>
    </xf>
    <xf numFmtId="0" fontId="18" fillId="0" borderId="118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 applyProtection="1">
      <alignment horizontal="lef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0" fontId="18" fillId="0" borderId="89" xfId="0" applyFont="1" applyFill="1" applyBorder="1" applyAlignment="1" applyProtection="1">
      <alignment horizontal="left" vertical="center"/>
      <protection locked="0"/>
    </xf>
    <xf numFmtId="3" fontId="18" fillId="0" borderId="49" xfId="0" applyNumberFormat="1" applyFont="1" applyFill="1" applyBorder="1" applyAlignment="1">
      <alignment horizontal="right" vertical="center"/>
    </xf>
    <xf numFmtId="49" fontId="34" fillId="0" borderId="34" xfId="0" applyNumberFormat="1" applyFont="1" applyFill="1" applyBorder="1" applyAlignment="1">
      <alignment vertical="center" wrapText="1"/>
    </xf>
    <xf numFmtId="49" fontId="34" fillId="0" borderId="34" xfId="0" applyNumberFormat="1" applyFont="1" applyBorder="1" applyAlignment="1">
      <alignment vertical="center" wrapText="1"/>
    </xf>
    <xf numFmtId="0" fontId="34" fillId="0" borderId="50" xfId="0" applyFont="1" applyFill="1" applyBorder="1" applyAlignment="1">
      <alignment vertical="center"/>
    </xf>
    <xf numFmtId="49" fontId="34" fillId="0" borderId="34" xfId="102" applyNumberFormat="1" applyFont="1" applyFill="1" applyBorder="1" applyAlignment="1">
      <alignment vertical="center" wrapText="1"/>
    </xf>
    <xf numFmtId="49" fontId="34" fillId="0" borderId="34" xfId="108" applyNumberFormat="1" applyFont="1" applyFill="1" applyBorder="1" applyAlignment="1">
      <alignment vertical="center" wrapText="1"/>
      <protection/>
    </xf>
    <xf numFmtId="0" fontId="34" fillId="0" borderId="34" xfId="96" applyFont="1" applyFill="1" applyBorder="1" applyAlignment="1">
      <alignment vertical="center" wrapText="1"/>
      <protection/>
    </xf>
    <xf numFmtId="49" fontId="18" fillId="0" borderId="35" xfId="0" applyNumberFormat="1" applyFont="1" applyBorder="1" applyAlignment="1">
      <alignment vertical="center"/>
    </xf>
    <xf numFmtId="0" fontId="18" fillId="65" borderId="34" xfId="0" applyFont="1" applyFill="1" applyBorder="1" applyAlignment="1">
      <alignment vertical="center"/>
    </xf>
    <xf numFmtId="49" fontId="34" fillId="0" borderId="24" xfId="0" applyNumberFormat="1" applyFont="1" applyBorder="1" applyAlignment="1">
      <alignment vertical="center" wrapText="1"/>
    </xf>
    <xf numFmtId="0" fontId="34" fillId="0" borderId="86" xfId="0" applyFont="1" applyFill="1" applyBorder="1" applyAlignment="1">
      <alignment horizontal="left" vertical="center" wrapText="1"/>
    </xf>
    <xf numFmtId="3" fontId="34" fillId="0" borderId="35" xfId="101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7" fillId="0" borderId="119" xfId="95" applyNumberFormat="1" applyFont="1" applyFill="1" applyBorder="1" applyAlignment="1">
      <alignment horizontal="right" vertical="center"/>
      <protection/>
    </xf>
    <xf numFmtId="2" fontId="8" fillId="0" borderId="58" xfId="0" applyNumberFormat="1" applyFont="1" applyFill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87" xfId="105" applyFont="1" applyBorder="1" applyAlignment="1" applyProtection="1">
      <alignment horizontal="left" vertical="center"/>
      <protection hidden="1"/>
    </xf>
    <xf numFmtId="0" fontId="47" fillId="0" borderId="51" xfId="105" applyFont="1" applyBorder="1" applyAlignment="1" applyProtection="1">
      <alignment horizontal="left" vertical="center"/>
      <protection hidden="1"/>
    </xf>
    <xf numFmtId="0" fontId="38" fillId="0" borderId="0" xfId="104" applyFont="1" applyAlignment="1">
      <alignment horizontal="right"/>
      <protection/>
    </xf>
    <xf numFmtId="0" fontId="34" fillId="0" borderId="0" xfId="107" applyFont="1">
      <alignment/>
      <protection/>
    </xf>
    <xf numFmtId="0" fontId="42" fillId="66" borderId="41" xfId="107" applyFont="1" applyFill="1" applyBorder="1" applyAlignment="1">
      <alignment horizontal="center" vertical="center" wrapText="1"/>
      <protection/>
    </xf>
    <xf numFmtId="0" fontId="42" fillId="0" borderId="28" xfId="107" applyFont="1" applyBorder="1" applyAlignment="1">
      <alignment horizontal="center" vertical="center" wrapText="1"/>
      <protection/>
    </xf>
    <xf numFmtId="0" fontId="42" fillId="0" borderId="120" xfId="107" applyFont="1" applyBorder="1" applyAlignment="1">
      <alignment horizontal="center" vertical="center" wrapText="1"/>
      <protection/>
    </xf>
    <xf numFmtId="0" fontId="42" fillId="66" borderId="81" xfId="107" applyFont="1" applyFill="1" applyBorder="1" applyAlignment="1">
      <alignment horizontal="center" vertical="center" wrapText="1"/>
      <protection/>
    </xf>
    <xf numFmtId="0" fontId="42" fillId="66" borderId="25" xfId="107" applyFont="1" applyFill="1" applyBorder="1" applyAlignment="1">
      <alignment horizontal="center" vertical="center" wrapText="1"/>
      <protection/>
    </xf>
    <xf numFmtId="0" fontId="38" fillId="50" borderId="24" xfId="107" applyFont="1" applyFill="1" applyBorder="1" applyAlignment="1">
      <alignment horizontal="center" vertical="center"/>
      <protection/>
    </xf>
    <xf numFmtId="0" fontId="38" fillId="50" borderId="46" xfId="107" applyFont="1" applyFill="1" applyBorder="1" applyAlignment="1">
      <alignment horizontal="center" vertical="center"/>
      <protection/>
    </xf>
    <xf numFmtId="0" fontId="38" fillId="50" borderId="25" xfId="107" applyFont="1" applyFill="1" applyBorder="1" applyAlignment="1">
      <alignment horizontal="center" vertical="center"/>
      <protection/>
    </xf>
    <xf numFmtId="0" fontId="38" fillId="50" borderId="38" xfId="107" applyFont="1" applyFill="1" applyBorder="1" applyAlignment="1">
      <alignment horizontal="center" vertical="center"/>
      <protection/>
    </xf>
    <xf numFmtId="0" fontId="38" fillId="50" borderId="28" xfId="107" applyFont="1" applyFill="1" applyBorder="1" applyAlignment="1">
      <alignment horizontal="center" vertical="center"/>
      <protection/>
    </xf>
    <xf numFmtId="0" fontId="38" fillId="50" borderId="39" xfId="107" applyFont="1" applyFill="1" applyBorder="1" applyAlignment="1">
      <alignment horizontal="center" vertical="center"/>
      <protection/>
    </xf>
    <xf numFmtId="0" fontId="38" fillId="50" borderId="81" xfId="107" applyFont="1" applyFill="1" applyBorder="1" applyAlignment="1">
      <alignment horizontal="center" vertical="center"/>
      <protection/>
    </xf>
    <xf numFmtId="0" fontId="43" fillId="0" borderId="37" xfId="107" applyFont="1" applyBorder="1" applyAlignment="1">
      <alignment horizontal="center" vertical="center"/>
      <protection/>
    </xf>
    <xf numFmtId="0" fontId="43" fillId="0" borderId="22" xfId="107" applyFont="1" applyBorder="1" applyAlignment="1">
      <alignment horizontal="left" vertical="center" wrapText="1"/>
      <protection/>
    </xf>
    <xf numFmtId="0" fontId="43" fillId="0" borderId="85" xfId="107" applyFont="1" applyBorder="1" applyAlignment="1">
      <alignment horizontal="left" vertical="center" wrapText="1"/>
      <protection/>
    </xf>
    <xf numFmtId="3" fontId="43" fillId="66" borderId="37" xfId="107" applyNumberFormat="1" applyFont="1" applyFill="1" applyBorder="1" applyAlignment="1">
      <alignment vertical="center"/>
      <protection/>
    </xf>
    <xf numFmtId="3" fontId="43" fillId="0" borderId="22" xfId="107" applyNumberFormat="1" applyFont="1" applyBorder="1" applyAlignment="1">
      <alignment vertical="center"/>
      <protection/>
    </xf>
    <xf numFmtId="3" fontId="43" fillId="0" borderId="86" xfId="0" applyNumberFormat="1" applyFont="1" applyFill="1" applyBorder="1" applyAlignment="1">
      <alignment vertical="center" wrapText="1"/>
    </xf>
    <xf numFmtId="3" fontId="43" fillId="66" borderId="74" xfId="107" applyNumberFormat="1" applyFont="1" applyFill="1" applyBorder="1" applyAlignment="1">
      <alignment vertical="center"/>
      <protection/>
    </xf>
    <xf numFmtId="3" fontId="43" fillId="0" borderId="31" xfId="107" applyNumberFormat="1" applyFont="1" applyBorder="1" applyAlignment="1">
      <alignment vertical="center"/>
      <protection/>
    </xf>
    <xf numFmtId="3" fontId="43" fillId="0" borderId="68" xfId="107" applyNumberFormat="1" applyFont="1" applyFill="1" applyBorder="1" applyAlignment="1">
      <alignment vertical="center"/>
      <protection/>
    </xf>
    <xf numFmtId="3" fontId="43" fillId="66" borderId="128" xfId="107" applyNumberFormat="1" applyFont="1" applyFill="1" applyBorder="1" applyAlignment="1">
      <alignment vertical="center"/>
      <protection/>
    </xf>
    <xf numFmtId="3" fontId="43" fillId="0" borderId="73" xfId="107" applyNumberFormat="1" applyFont="1" applyBorder="1" applyAlignment="1">
      <alignment vertical="center"/>
      <protection/>
    </xf>
    <xf numFmtId="0" fontId="43" fillId="0" borderId="27" xfId="107" applyFont="1" applyBorder="1" applyAlignment="1">
      <alignment horizontal="center" vertical="center"/>
      <protection/>
    </xf>
    <xf numFmtId="0" fontId="43" fillId="0" borderId="31" xfId="107" applyFont="1" applyBorder="1" applyAlignment="1">
      <alignment horizontal="left" vertical="center" wrapText="1"/>
      <protection/>
    </xf>
    <xf numFmtId="0" fontId="43" fillId="0" borderId="85" xfId="107" applyFont="1" applyBorder="1" applyAlignment="1">
      <alignment vertical="center" wrapText="1"/>
      <protection/>
    </xf>
    <xf numFmtId="3" fontId="43" fillId="66" borderId="27" xfId="107" applyNumberFormat="1" applyFont="1" applyFill="1" applyBorder="1" applyAlignment="1">
      <alignment vertical="center"/>
      <protection/>
    </xf>
    <xf numFmtId="3" fontId="43" fillId="0" borderId="26" xfId="0" applyNumberFormat="1" applyFont="1" applyFill="1" applyBorder="1" applyAlignment="1">
      <alignment vertical="center" wrapText="1"/>
    </xf>
    <xf numFmtId="3" fontId="43" fillId="0" borderId="30" xfId="107" applyNumberFormat="1" applyFont="1" applyBorder="1" applyAlignment="1">
      <alignment vertical="center"/>
      <protection/>
    </xf>
    <xf numFmtId="3" fontId="43" fillId="0" borderId="26" xfId="107" applyNumberFormat="1" applyFont="1" applyBorder="1" applyAlignment="1">
      <alignment vertical="center"/>
      <protection/>
    </xf>
    <xf numFmtId="3" fontId="43" fillId="0" borderId="55" xfId="107" applyNumberFormat="1" applyFont="1" applyFill="1" applyBorder="1" applyAlignment="1">
      <alignment vertical="center"/>
      <protection/>
    </xf>
    <xf numFmtId="0" fontId="43" fillId="0" borderId="52" xfId="107" applyFont="1" applyBorder="1" applyAlignment="1">
      <alignment vertical="center" wrapText="1"/>
      <protection/>
    </xf>
    <xf numFmtId="0" fontId="43" fillId="0" borderId="87" xfId="107" applyFont="1" applyBorder="1" applyAlignment="1">
      <alignment vertical="center" wrapText="1"/>
      <protection/>
    </xf>
    <xf numFmtId="3" fontId="43" fillId="66" borderId="36" xfId="107" applyNumberFormat="1" applyFont="1" applyFill="1" applyBorder="1" applyAlignment="1">
      <alignment vertical="center"/>
      <protection/>
    </xf>
    <xf numFmtId="3" fontId="43" fillId="0" borderId="83" xfId="107" applyNumberFormat="1" applyFont="1" applyBorder="1" applyAlignment="1">
      <alignment vertical="center"/>
      <protection/>
    </xf>
    <xf numFmtId="3" fontId="43" fillId="0" borderId="67" xfId="107" applyNumberFormat="1" applyFont="1" applyBorder="1" applyAlignment="1">
      <alignment vertical="center"/>
      <protection/>
    </xf>
    <xf numFmtId="3" fontId="43" fillId="0" borderId="51" xfId="107" applyNumberFormat="1" applyFont="1" applyBorder="1" applyAlignment="1">
      <alignment vertical="center"/>
      <protection/>
    </xf>
    <xf numFmtId="3" fontId="43" fillId="0" borderId="67" xfId="107" applyNumberFormat="1" applyFont="1" applyFill="1" applyBorder="1" applyAlignment="1">
      <alignment vertical="center"/>
      <protection/>
    </xf>
    <xf numFmtId="3" fontId="43" fillId="0" borderId="52" xfId="107" applyNumberFormat="1" applyFont="1" applyBorder="1" applyAlignment="1">
      <alignment vertical="center"/>
      <protection/>
    </xf>
    <xf numFmtId="3" fontId="34" fillId="0" borderId="0" xfId="107" applyNumberFormat="1" applyFont="1">
      <alignment/>
      <protection/>
    </xf>
    <xf numFmtId="0" fontId="47" fillId="53" borderId="38" xfId="107" applyFont="1" applyFill="1" applyBorder="1" applyAlignment="1">
      <alignment horizontal="center" vertical="center"/>
      <protection/>
    </xf>
    <xf numFmtId="0" fontId="47" fillId="53" borderId="28" xfId="107" applyFont="1" applyFill="1" applyBorder="1" applyAlignment="1">
      <alignment vertical="center"/>
      <protection/>
    </xf>
    <xf numFmtId="0" fontId="47" fillId="53" borderId="88" xfId="107" applyFont="1" applyFill="1" applyBorder="1" applyAlignment="1">
      <alignment vertical="center"/>
      <protection/>
    </xf>
    <xf numFmtId="3" fontId="47" fillId="53" borderId="38" xfId="107" applyNumberFormat="1" applyFont="1" applyFill="1" applyBorder="1" applyAlignment="1">
      <alignment vertical="center"/>
      <protection/>
    </xf>
    <xf numFmtId="3" fontId="47" fillId="53" borderId="24" xfId="107" applyNumberFormat="1" applyFont="1" applyFill="1" applyBorder="1" applyAlignment="1">
      <alignment vertical="center"/>
      <protection/>
    </xf>
    <xf numFmtId="0" fontId="43" fillId="0" borderId="73" xfId="107" applyFont="1" applyBorder="1" applyAlignment="1">
      <alignment horizontal="left" vertical="center" wrapText="1"/>
      <protection/>
    </xf>
    <xf numFmtId="3" fontId="43" fillId="0" borderId="68" xfId="0" applyNumberFormat="1" applyFont="1" applyFill="1" applyBorder="1" applyAlignment="1">
      <alignment vertical="center" wrapText="1"/>
    </xf>
    <xf numFmtId="0" fontId="43" fillId="0" borderId="26" xfId="107" applyFont="1" applyBorder="1" applyAlignment="1">
      <alignment horizontal="left" vertical="center" wrapText="1"/>
      <protection/>
    </xf>
    <xf numFmtId="0" fontId="43" fillId="0" borderId="86" xfId="107" applyFont="1" applyBorder="1" applyAlignment="1">
      <alignment horizontal="left" vertical="center" wrapText="1"/>
      <protection/>
    </xf>
    <xf numFmtId="3" fontId="43" fillId="0" borderId="55" xfId="107" applyNumberFormat="1" applyFont="1" applyBorder="1" applyAlignment="1">
      <alignment vertical="center"/>
      <protection/>
    </xf>
    <xf numFmtId="0" fontId="43" fillId="0" borderId="26" xfId="107" applyFont="1" applyBorder="1" applyAlignment="1">
      <alignment vertical="center" wrapText="1"/>
      <protection/>
    </xf>
    <xf numFmtId="0" fontId="43" fillId="0" borderId="86" xfId="107" applyFont="1" applyBorder="1" applyAlignment="1">
      <alignment vertical="center" wrapText="1"/>
      <protection/>
    </xf>
    <xf numFmtId="3" fontId="43" fillId="0" borderId="26" xfId="0" applyNumberFormat="1" applyFont="1" applyFill="1" applyBorder="1" applyAlignment="1">
      <alignment vertical="center"/>
    </xf>
    <xf numFmtId="3" fontId="43" fillId="0" borderId="55" xfId="0" applyNumberFormat="1" applyFont="1" applyFill="1" applyBorder="1" applyAlignment="1">
      <alignment vertical="center"/>
    </xf>
    <xf numFmtId="0" fontId="43" fillId="0" borderId="73" xfId="107" applyFont="1" applyBorder="1" applyAlignment="1">
      <alignment vertical="center" wrapText="1"/>
      <protection/>
    </xf>
    <xf numFmtId="3" fontId="43" fillId="0" borderId="73" xfId="0" applyNumberFormat="1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/>
    </xf>
    <xf numFmtId="0" fontId="47" fillId="53" borderId="24" xfId="107" applyFont="1" applyFill="1" applyBorder="1" applyAlignment="1">
      <alignment horizontal="center" vertical="center"/>
      <protection/>
    </xf>
    <xf numFmtId="0" fontId="47" fillId="53" borderId="25" xfId="107" applyFont="1" applyFill="1" applyBorder="1" applyAlignment="1">
      <alignment vertical="center"/>
      <protection/>
    </xf>
    <xf numFmtId="0" fontId="34" fillId="0" borderId="0" xfId="107">
      <alignment/>
      <protection/>
    </xf>
    <xf numFmtId="0" fontId="47" fillId="54" borderId="38" xfId="107" applyFont="1" applyFill="1" applyBorder="1" applyAlignment="1">
      <alignment horizontal="left" vertical="center"/>
      <protection/>
    </xf>
    <xf numFmtId="0" fontId="47" fillId="54" borderId="25" xfId="107" applyFont="1" applyFill="1" applyBorder="1" applyAlignment="1">
      <alignment horizontal="center" vertical="center"/>
      <protection/>
    </xf>
    <xf numFmtId="3" fontId="47" fillId="54" borderId="38" xfId="107" applyNumberFormat="1" applyFont="1" applyFill="1" applyBorder="1" applyAlignment="1">
      <alignment vertical="center"/>
      <protection/>
    </xf>
    <xf numFmtId="0" fontId="34" fillId="0" borderId="0" xfId="107" applyAlignment="1">
      <alignment horizontal="center" vertical="center"/>
      <protection/>
    </xf>
    <xf numFmtId="0" fontId="34" fillId="0" borderId="0" xfId="107" applyAlignment="1">
      <alignment vertical="center"/>
      <protection/>
    </xf>
    <xf numFmtId="3" fontId="144" fillId="0" borderId="31" xfId="107" applyNumberFormat="1" applyFont="1" applyBorder="1" applyAlignment="1">
      <alignment vertical="center"/>
      <protection/>
    </xf>
    <xf numFmtId="3" fontId="43" fillId="0" borderId="0" xfId="107" applyNumberFormat="1" applyFont="1" applyBorder="1" applyAlignment="1">
      <alignment vertical="center"/>
      <protection/>
    </xf>
    <xf numFmtId="3" fontId="43" fillId="0" borderId="89" xfId="107" applyNumberFormat="1" applyFont="1" applyBorder="1" applyAlignment="1">
      <alignment vertical="center"/>
      <protection/>
    </xf>
    <xf numFmtId="3" fontId="43" fillId="0" borderId="21" xfId="107" applyNumberFormat="1" applyFont="1" applyBorder="1" applyAlignment="1">
      <alignment vertical="center"/>
      <protection/>
    </xf>
    <xf numFmtId="3" fontId="145" fillId="0" borderId="26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3" fontId="17" fillId="0" borderId="36" xfId="104" applyNumberFormat="1" applyFont="1" applyFill="1" applyBorder="1" applyAlignment="1">
      <alignment horizontal="right" vertical="center"/>
      <protection/>
    </xf>
    <xf numFmtId="3" fontId="17" fillId="0" borderId="34" xfId="104" applyNumberFormat="1" applyFont="1" applyFill="1" applyBorder="1" applyAlignment="1">
      <alignment horizontal="right" vertical="center"/>
      <protection/>
    </xf>
    <xf numFmtId="3" fontId="17" fillId="0" borderId="35" xfId="104" applyNumberFormat="1" applyFont="1" applyFill="1" applyBorder="1" applyAlignment="1">
      <alignment horizontal="right" vertical="center"/>
      <protection/>
    </xf>
    <xf numFmtId="3" fontId="17" fillId="0" borderId="86" xfId="104" applyNumberFormat="1" applyFont="1" applyFill="1" applyBorder="1" applyAlignment="1">
      <alignment horizontal="right" vertical="center"/>
      <protection/>
    </xf>
    <xf numFmtId="3" fontId="17" fillId="0" borderId="123" xfId="104" applyNumberFormat="1" applyFont="1" applyFill="1" applyBorder="1" applyAlignment="1">
      <alignment horizontal="right" vertical="center"/>
      <protection/>
    </xf>
    <xf numFmtId="3" fontId="17" fillId="0" borderId="128" xfId="104" applyNumberFormat="1" applyFont="1" applyFill="1" applyBorder="1" applyAlignment="1">
      <alignment horizontal="right" vertical="center"/>
      <protection/>
    </xf>
    <xf numFmtId="3" fontId="17" fillId="0" borderId="53" xfId="104" applyNumberFormat="1" applyFont="1" applyFill="1" applyBorder="1" applyAlignment="1">
      <alignment horizontal="right" vertical="center"/>
      <protection/>
    </xf>
    <xf numFmtId="3" fontId="17" fillId="0" borderId="120" xfId="104" applyNumberFormat="1" applyFont="1" applyFill="1" applyBorder="1" applyAlignment="1">
      <alignment horizontal="right" vertical="center"/>
      <protection/>
    </xf>
    <xf numFmtId="3" fontId="17" fillId="0" borderId="55" xfId="104" applyNumberFormat="1" applyFont="1" applyFill="1" applyBorder="1" applyAlignment="1">
      <alignment horizontal="right" vertical="center"/>
      <protection/>
    </xf>
    <xf numFmtId="3" fontId="47" fillId="0" borderId="36" xfId="95" applyNumberFormat="1" applyFont="1" applyFill="1" applyBorder="1" applyAlignment="1">
      <alignment horizontal="right" vertical="center"/>
      <protection/>
    </xf>
    <xf numFmtId="3" fontId="47" fillId="54" borderId="24" xfId="95" applyNumberFormat="1" applyFont="1" applyFill="1" applyBorder="1" applyAlignment="1">
      <alignment horizontal="right" vertical="center"/>
      <protection/>
    </xf>
    <xf numFmtId="3" fontId="12" fillId="59" borderId="24" xfId="0" applyNumberFormat="1" applyFont="1" applyFill="1" applyBorder="1" applyAlignment="1">
      <alignment horizontal="right" vertical="center"/>
    </xf>
    <xf numFmtId="3" fontId="146" fillId="0" borderId="26" xfId="0" applyNumberFormat="1" applyFont="1" applyBorder="1" applyAlignment="1">
      <alignment vertical="center"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63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horizontal="right" vertical="center"/>
    </xf>
    <xf numFmtId="3" fontId="34" fillId="0" borderId="55" xfId="102" applyNumberFormat="1" applyFont="1" applyFill="1" applyBorder="1" applyAlignment="1">
      <alignment horizontal="right" vertical="center"/>
    </xf>
    <xf numFmtId="3" fontId="34" fillId="0" borderId="82" xfId="102" applyNumberFormat="1" applyFont="1" applyFill="1" applyBorder="1" applyAlignment="1">
      <alignment horizontal="right" vertical="center"/>
    </xf>
    <xf numFmtId="3" fontId="34" fillId="0" borderId="34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vertical="center"/>
    </xf>
    <xf numFmtId="3" fontId="34" fillId="0" borderId="34" xfId="0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73" xfId="0" applyNumberFormat="1" applyFont="1" applyBorder="1" applyAlignment="1">
      <alignment vertical="center"/>
    </xf>
    <xf numFmtId="0" fontId="12" fillId="53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53" xfId="104" applyNumberFormat="1" applyFont="1" applyFill="1" applyBorder="1" applyAlignment="1">
      <alignment horizontal="right" vertical="center"/>
      <protection/>
    </xf>
    <xf numFmtId="0" fontId="0" fillId="0" borderId="0" xfId="104" applyFont="1" applyFill="1">
      <alignment/>
      <protection/>
    </xf>
    <xf numFmtId="3" fontId="0" fillId="0" borderId="0" xfId="104" applyNumberFormat="1" applyFont="1" applyFill="1" applyAlignment="1">
      <alignment horizontal="right"/>
      <protection/>
    </xf>
    <xf numFmtId="0" fontId="0" fillId="0" borderId="0" xfId="104" applyFont="1">
      <alignment/>
      <protection/>
    </xf>
    <xf numFmtId="0" fontId="23" fillId="0" borderId="38" xfId="0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2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3" fontId="17" fillId="0" borderId="36" xfId="0" applyNumberFormat="1" applyFont="1" applyBorder="1" applyAlignment="1">
      <alignment vertical="center"/>
    </xf>
    <xf numFmtId="3" fontId="14" fillId="57" borderId="39" xfId="0" applyNumberFormat="1" applyFont="1" applyFill="1" applyBorder="1" applyAlignment="1">
      <alignment vertical="center"/>
    </xf>
    <xf numFmtId="3" fontId="14" fillId="57" borderId="28" xfId="0" applyNumberFormat="1" applyFont="1" applyFill="1" applyBorder="1" applyAlignment="1">
      <alignment vertical="center"/>
    </xf>
    <xf numFmtId="3" fontId="14" fillId="57" borderId="28" xfId="0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24" fillId="45" borderId="50" xfId="0" applyFont="1" applyFill="1" applyBorder="1" applyAlignment="1">
      <alignment/>
    </xf>
    <xf numFmtId="0" fontId="12" fillId="51" borderId="50" xfId="0" applyFont="1" applyFill="1" applyBorder="1" applyAlignment="1">
      <alignment horizontal="center" vertical="center"/>
    </xf>
    <xf numFmtId="0" fontId="12" fillId="51" borderId="89" xfId="0" applyFont="1" applyFill="1" applyBorder="1" applyAlignment="1" applyProtection="1">
      <alignment horizontal="left" vertical="center"/>
      <protection locked="0"/>
    </xf>
    <xf numFmtId="3" fontId="12" fillId="0" borderId="49" xfId="0" applyNumberFormat="1" applyFont="1" applyFill="1" applyBorder="1" applyAlignment="1">
      <alignment horizontal="right" vertical="center"/>
    </xf>
    <xf numFmtId="3" fontId="12" fillId="51" borderId="49" xfId="0" applyNumberFormat="1" applyFont="1" applyFill="1" applyBorder="1" applyAlignment="1">
      <alignment horizontal="right" vertical="center"/>
    </xf>
    <xf numFmtId="3" fontId="48" fillId="0" borderId="34" xfId="0" applyNumberFormat="1" applyFont="1" applyFill="1" applyBorder="1" applyAlignment="1">
      <alignment horizontal="right" vertical="center"/>
    </xf>
    <xf numFmtId="3" fontId="142" fillId="0" borderId="86" xfId="0" applyNumberFormat="1" applyFont="1" applyFill="1" applyBorder="1" applyAlignment="1">
      <alignment vertical="center" wrapText="1"/>
    </xf>
    <xf numFmtId="0" fontId="142" fillId="0" borderId="123" xfId="0" applyFont="1" applyFill="1" applyBorder="1" applyAlignment="1">
      <alignment horizontal="left" vertical="center" wrapText="1"/>
    </xf>
    <xf numFmtId="3" fontId="142" fillId="65" borderId="86" xfId="0" applyNumberFormat="1" applyFont="1" applyFill="1" applyBorder="1" applyAlignment="1">
      <alignment vertical="center" wrapText="1"/>
    </xf>
    <xf numFmtId="3" fontId="34" fillId="0" borderId="49" xfId="68" applyNumberFormat="1" applyFont="1" applyFill="1" applyBorder="1" applyAlignment="1">
      <alignment horizontal="right" vertical="center"/>
    </xf>
    <xf numFmtId="0" fontId="142" fillId="65" borderId="37" xfId="0" applyFont="1" applyFill="1" applyBorder="1" applyAlignment="1">
      <alignment vertical="top" wrapText="1"/>
    </xf>
    <xf numFmtId="0" fontId="34" fillId="0" borderId="34" xfId="0" applyFont="1" applyFill="1" applyBorder="1" applyAlignment="1">
      <alignment vertical="center" wrapText="1"/>
    </xf>
    <xf numFmtId="3" fontId="34" fillId="45" borderId="68" xfId="0" applyNumberFormat="1" applyFont="1" applyFill="1" applyBorder="1" applyAlignment="1">
      <alignment horizontal="right" vertical="center"/>
    </xf>
    <xf numFmtId="3" fontId="142" fillId="65" borderId="34" xfId="0" applyNumberFormat="1" applyFont="1" applyFill="1" applyBorder="1" applyAlignment="1">
      <alignment vertical="center" wrapText="1"/>
    </xf>
    <xf numFmtId="3" fontId="142" fillId="65" borderId="48" xfId="0" applyNumberFormat="1" applyFont="1" applyFill="1" applyBorder="1" applyAlignment="1">
      <alignment vertical="center" wrapText="1"/>
    </xf>
    <xf numFmtId="3" fontId="142" fillId="65" borderId="34" xfId="0" applyNumberFormat="1" applyFont="1" applyFill="1" applyBorder="1" applyAlignment="1">
      <alignment wrapText="1"/>
    </xf>
    <xf numFmtId="49" fontId="142" fillId="0" borderId="34" xfId="0" applyNumberFormat="1" applyFont="1" applyFill="1" applyBorder="1" applyAlignment="1">
      <alignment horizontal="left" vertical="center" wrapText="1"/>
    </xf>
    <xf numFmtId="0" fontId="142" fillId="0" borderId="34" xfId="0" applyFont="1" applyFill="1" applyBorder="1" applyAlignment="1">
      <alignment wrapText="1"/>
    </xf>
    <xf numFmtId="0" fontId="142" fillId="0" borderId="126" xfId="0" applyFont="1" applyFill="1" applyBorder="1" applyAlignment="1">
      <alignment horizontal="left" vertical="top" wrapText="1"/>
    </xf>
    <xf numFmtId="0" fontId="142" fillId="0" borderId="48" xfId="0" applyFont="1" applyFill="1" applyBorder="1" applyAlignment="1">
      <alignment vertical="top" wrapText="1"/>
    </xf>
    <xf numFmtId="3" fontId="34" fillId="65" borderId="35" xfId="0" applyNumberFormat="1" applyFont="1" applyFill="1" applyBorder="1" applyAlignment="1">
      <alignment wrapText="1"/>
    </xf>
    <xf numFmtId="0" fontId="34" fillId="0" borderId="34" xfId="0" applyFont="1" applyFill="1" applyBorder="1" applyAlignment="1">
      <alignment horizontal="left" vertical="top" wrapText="1"/>
    </xf>
    <xf numFmtId="0" fontId="142" fillId="0" borderId="23" xfId="0" applyFont="1" applyFill="1" applyBorder="1" applyAlignment="1">
      <alignment horizontal="left" vertical="top" wrapText="1"/>
    </xf>
    <xf numFmtId="0" fontId="34" fillId="0" borderId="36" xfId="102" applyFont="1" applyBorder="1" applyAlignment="1">
      <alignment vertical="center"/>
    </xf>
    <xf numFmtId="3" fontId="34" fillId="45" borderId="34" xfId="0" applyNumberFormat="1" applyFont="1" applyFill="1" applyBorder="1" applyAlignment="1">
      <alignment horizontal="right" vertical="center"/>
    </xf>
    <xf numFmtId="0" fontId="34" fillId="0" borderId="50" xfId="102" applyFont="1" applyBorder="1" applyAlignment="1">
      <alignment vertical="center"/>
    </xf>
    <xf numFmtId="0" fontId="12" fillId="53" borderId="143" xfId="0" applyFont="1" applyFill="1" applyBorder="1" applyAlignment="1">
      <alignment horizontal="center" vertical="center"/>
    </xf>
    <xf numFmtId="0" fontId="42" fillId="53" borderId="143" xfId="102" applyFont="1" applyFill="1" applyBorder="1" applyAlignment="1">
      <alignment vertical="center"/>
    </xf>
    <xf numFmtId="3" fontId="12" fillId="59" borderId="144" xfId="0" applyNumberFormat="1" applyFont="1" applyFill="1" applyBorder="1" applyAlignment="1">
      <alignment horizontal="right" vertical="center"/>
    </xf>
    <xf numFmtId="3" fontId="12" fillId="53" borderId="144" xfId="102" applyNumberFormat="1" applyFont="1" applyFill="1" applyBorder="1" applyAlignment="1">
      <alignment vertical="center"/>
    </xf>
    <xf numFmtId="3" fontId="42" fillId="59" borderId="144" xfId="0" applyNumberFormat="1" applyFont="1" applyFill="1" applyBorder="1" applyAlignment="1">
      <alignment horizontal="right" vertical="center"/>
    </xf>
    <xf numFmtId="3" fontId="12" fillId="57" borderId="49" xfId="0" applyNumberFormat="1" applyFont="1" applyFill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49" fontId="34" fillId="0" borderId="36" xfId="0" applyNumberFormat="1" applyFont="1" applyBorder="1" applyAlignment="1">
      <alignment vertical="center" wrapText="1"/>
    </xf>
    <xf numFmtId="0" fontId="34" fillId="0" borderId="48" xfId="108" applyNumberFormat="1" applyFont="1" applyFill="1" applyBorder="1" applyAlignment="1">
      <alignment vertical="center" wrapText="1"/>
      <protection/>
    </xf>
    <xf numFmtId="49" fontId="34" fillId="0" borderId="35" xfId="0" applyNumberFormat="1" applyFont="1" applyBorder="1" applyAlignment="1">
      <alignment vertical="center" wrapText="1"/>
    </xf>
    <xf numFmtId="49" fontId="34" fillId="45" borderId="34" xfId="101" applyNumberFormat="1" applyFont="1" applyFill="1" applyBorder="1" applyAlignment="1" applyProtection="1">
      <alignment horizontal="left" vertical="center" wrapText="1"/>
      <protection locked="0"/>
    </xf>
    <xf numFmtId="49" fontId="34" fillId="45" borderId="36" xfId="101" applyNumberFormat="1" applyFont="1" applyFill="1" applyBorder="1" applyAlignment="1" applyProtection="1">
      <alignment horizontal="left" vertical="center" wrapText="1"/>
      <protection locked="0"/>
    </xf>
    <xf numFmtId="3" fontId="42" fillId="45" borderId="34" xfId="0" applyNumberFormat="1" applyFont="1" applyFill="1" applyBorder="1" applyAlignment="1">
      <alignment horizontal="right" vertical="center"/>
    </xf>
    <xf numFmtId="49" fontId="34" fillId="0" borderId="86" xfId="0" applyNumberFormat="1" applyFont="1" applyBorder="1" applyAlignment="1">
      <alignment vertical="center" wrapText="1"/>
    </xf>
    <xf numFmtId="0" fontId="18" fillId="65" borderId="36" xfId="0" applyFont="1" applyFill="1" applyBorder="1" applyAlignment="1">
      <alignment vertical="center"/>
    </xf>
    <xf numFmtId="49" fontId="73" fillId="65" borderId="34" xfId="0" applyNumberFormat="1" applyFont="1" applyFill="1" applyBorder="1" applyAlignment="1">
      <alignment vertical="center" wrapText="1"/>
    </xf>
    <xf numFmtId="3" fontId="18" fillId="67" borderId="34" xfId="101" applyNumberFormat="1" applyFont="1" applyFill="1" applyBorder="1" applyAlignment="1">
      <alignment horizontal="right" vertical="center"/>
    </xf>
    <xf numFmtId="3" fontId="42" fillId="67" borderId="68" xfId="0" applyNumberFormat="1" applyFont="1" applyFill="1" applyBorder="1" applyAlignment="1">
      <alignment horizontal="right" vertical="center"/>
    </xf>
    <xf numFmtId="3" fontId="34" fillId="67" borderId="48" xfId="0" applyNumberFormat="1" applyFont="1" applyFill="1" applyBorder="1" applyAlignment="1">
      <alignment horizontal="right" vertical="center"/>
    </xf>
    <xf numFmtId="3" fontId="42" fillId="67" borderId="48" xfId="0" applyNumberFormat="1" applyFont="1" applyFill="1" applyBorder="1" applyAlignment="1">
      <alignment horizontal="right" vertical="center"/>
    </xf>
    <xf numFmtId="3" fontId="34" fillId="67" borderId="34" xfId="0" applyNumberFormat="1" applyFont="1" applyFill="1" applyBorder="1" applyAlignment="1">
      <alignment horizontal="right" vertical="center"/>
    </xf>
    <xf numFmtId="0" fontId="34" fillId="0" borderId="35" xfId="0" applyFont="1" applyBorder="1" applyAlignment="1">
      <alignment vertical="center"/>
    </xf>
    <xf numFmtId="49" fontId="42" fillId="63" borderId="97" xfId="0" applyNumberFormat="1" applyFont="1" applyFill="1" applyBorder="1" applyAlignment="1">
      <alignment horizontal="right" vertical="center"/>
    </xf>
    <xf numFmtId="49" fontId="34" fillId="0" borderId="24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123" xfId="0" applyNumberFormat="1" applyFont="1" applyFill="1" applyBorder="1" applyAlignment="1" applyProtection="1">
      <alignment horizontal="right" vertical="center"/>
      <protection locked="0"/>
    </xf>
    <xf numFmtId="49" fontId="34" fillId="0" borderId="34" xfId="0" applyNumberFormat="1" applyFont="1" applyFill="1" applyBorder="1" applyAlignment="1" applyProtection="1">
      <alignment horizontal="right" vertical="center"/>
      <protection locked="0"/>
    </xf>
    <xf numFmtId="49" fontId="34" fillId="0" borderId="145" xfId="0" applyNumberFormat="1" applyFont="1" applyFill="1" applyBorder="1" applyAlignment="1" applyProtection="1">
      <alignment horizontal="right" vertical="center"/>
      <protection locked="0"/>
    </xf>
    <xf numFmtId="0" fontId="2" fillId="0" borderId="136" xfId="0" applyFont="1" applyFill="1" applyBorder="1" applyAlignment="1">
      <alignment horizontal="center" vertical="center"/>
    </xf>
    <xf numFmtId="0" fontId="20" fillId="50" borderId="146" xfId="0" applyFont="1" applyFill="1" applyBorder="1" applyAlignment="1">
      <alignment horizontal="center" vertical="center"/>
    </xf>
    <xf numFmtId="3" fontId="20" fillId="50" borderId="147" xfId="0" applyNumberFormat="1" applyFont="1" applyFill="1" applyBorder="1" applyAlignment="1">
      <alignment horizontal="center" vertical="center"/>
    </xf>
    <xf numFmtId="0" fontId="20" fillId="50" borderId="147" xfId="0" applyFont="1" applyFill="1" applyBorder="1" applyAlignment="1">
      <alignment horizontal="center" vertical="center"/>
    </xf>
    <xf numFmtId="3" fontId="34" fillId="0" borderId="120" xfId="102" applyNumberFormat="1" applyFont="1" applyFill="1" applyBorder="1" applyAlignment="1">
      <alignment horizontal="right" vertical="center"/>
    </xf>
    <xf numFmtId="49" fontId="34" fillId="45" borderId="68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34" xfId="96" applyNumberFormat="1" applyFont="1" applyFill="1" applyBorder="1" applyAlignment="1">
      <alignment vertical="center" wrapText="1"/>
      <protection/>
    </xf>
    <xf numFmtId="3" fontId="0" fillId="0" borderId="0" xfId="0" applyNumberFormat="1" applyFont="1" applyAlignment="1">
      <alignment vertical="center"/>
    </xf>
    <xf numFmtId="3" fontId="34" fillId="67" borderId="55" xfId="102" applyNumberFormat="1" applyFont="1" applyFill="1" applyBorder="1" applyAlignment="1">
      <alignment horizontal="right" vertical="center"/>
    </xf>
    <xf numFmtId="3" fontId="42" fillId="67" borderId="55" xfId="0" applyNumberFormat="1" applyFont="1" applyFill="1" applyBorder="1" applyAlignment="1">
      <alignment horizontal="right" vertical="center"/>
    </xf>
    <xf numFmtId="49" fontId="34" fillId="0" borderId="35" xfId="0" applyNumberFormat="1" applyFont="1" applyFill="1" applyBorder="1" applyAlignment="1">
      <alignment vertical="center"/>
    </xf>
    <xf numFmtId="3" fontId="34" fillId="0" borderId="118" xfId="102" applyNumberFormat="1" applyFont="1" applyFill="1" applyBorder="1" applyAlignment="1">
      <alignment vertical="center"/>
    </xf>
    <xf numFmtId="3" fontId="34" fillId="0" borderId="123" xfId="102" applyNumberFormat="1" applyFont="1" applyFill="1" applyBorder="1" applyAlignment="1">
      <alignment vertical="center"/>
    </xf>
    <xf numFmtId="3" fontId="34" fillId="67" borderId="34" xfId="102" applyNumberFormat="1" applyFont="1" applyFill="1" applyBorder="1" applyAlignment="1">
      <alignment vertical="center"/>
    </xf>
    <xf numFmtId="3" fontId="34" fillId="67" borderId="123" xfId="102" applyNumberFormat="1" applyFont="1" applyFill="1" applyBorder="1" applyAlignment="1">
      <alignment vertical="center"/>
    </xf>
    <xf numFmtId="3" fontId="42" fillId="67" borderId="35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 applyProtection="1">
      <alignment horizontal="centerContinuous" vertical="center"/>
      <protection locked="0"/>
    </xf>
    <xf numFmtId="49" fontId="20" fillId="50" borderId="148" xfId="0" applyNumberFormat="1" applyFont="1" applyFill="1" applyBorder="1" applyAlignment="1" applyProtection="1">
      <alignment horizontal="center" vertical="center"/>
      <protection locked="0"/>
    </xf>
    <xf numFmtId="49" fontId="34" fillId="0" borderId="48" xfId="0" applyNumberFormat="1" applyFont="1" applyFill="1" applyBorder="1" applyAlignment="1">
      <alignment vertical="center" wrapText="1"/>
    </xf>
    <xf numFmtId="49" fontId="34" fillId="0" borderId="68" xfId="0" applyNumberFormat="1" applyFont="1" applyFill="1" applyBorder="1" applyAlignment="1">
      <alignment vertical="center" wrapText="1"/>
    </xf>
    <xf numFmtId="49" fontId="34" fillId="0" borderId="55" xfId="0" applyNumberFormat="1" applyFont="1" applyFill="1" applyBorder="1" applyAlignment="1">
      <alignment vertical="center" wrapText="1"/>
    </xf>
    <xf numFmtId="49" fontId="34" fillId="0" borderId="53" xfId="0" applyNumberFormat="1" applyFont="1" applyFill="1" applyBorder="1" applyAlignment="1">
      <alignment vertical="center" wrapText="1"/>
    </xf>
    <xf numFmtId="49" fontId="42" fillId="54" borderId="114" xfId="0" applyNumberFormat="1" applyFont="1" applyFill="1" applyBorder="1" applyAlignment="1">
      <alignment horizontal="right" vertical="center"/>
    </xf>
    <xf numFmtId="49" fontId="42" fillId="64" borderId="39" xfId="0" applyNumberFormat="1" applyFont="1" applyFill="1" applyBorder="1" applyAlignment="1">
      <alignment horizontal="right" vertical="center" wrapText="1"/>
    </xf>
    <xf numFmtId="49" fontId="34" fillId="0" borderId="68" xfId="0" applyNumberFormat="1" applyFont="1" applyBorder="1" applyAlignment="1">
      <alignment vertical="center"/>
    </xf>
    <xf numFmtId="49" fontId="34" fillId="0" borderId="34" xfId="0" applyNumberFormat="1" applyFont="1" applyFill="1" applyBorder="1" applyAlignment="1">
      <alignment vertical="center"/>
    </xf>
    <xf numFmtId="49" fontId="42" fillId="54" borderId="25" xfId="0" applyNumberFormat="1" applyFont="1" applyFill="1" applyBorder="1" applyAlignment="1">
      <alignment horizontal="right" vertical="center"/>
    </xf>
    <xf numFmtId="49" fontId="34" fillId="0" borderId="63" xfId="0" applyNumberFormat="1" applyFont="1" applyFill="1" applyBorder="1" applyAlignment="1">
      <alignment vertical="center"/>
    </xf>
    <xf numFmtId="49" fontId="34" fillId="0" borderId="120" xfId="0" applyNumberFormat="1" applyFont="1" applyFill="1" applyBorder="1" applyAlignment="1">
      <alignment vertical="center"/>
    </xf>
    <xf numFmtId="49" fontId="42" fillId="54" borderId="39" xfId="0" applyNumberFormat="1" applyFont="1" applyFill="1" applyBorder="1" applyAlignment="1" applyProtection="1">
      <alignment horizontal="right" vertical="center"/>
      <protection locked="0"/>
    </xf>
    <xf numFmtId="49" fontId="34" fillId="0" borderId="63" xfId="0" applyNumberFormat="1" applyFont="1" applyBorder="1" applyAlignment="1">
      <alignment vertical="center"/>
    </xf>
    <xf numFmtId="49" fontId="34" fillId="45" borderId="63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55" xfId="0" applyNumberFormat="1" applyFont="1" applyFill="1" applyBorder="1" applyAlignment="1">
      <alignment vertical="center"/>
    </xf>
    <xf numFmtId="49" fontId="42" fillId="54" borderId="25" xfId="0" applyNumberFormat="1" applyFont="1" applyFill="1" applyBorder="1" applyAlignment="1" applyProtection="1">
      <alignment horizontal="right" vertical="center"/>
      <protection locked="0"/>
    </xf>
    <xf numFmtId="49" fontId="34" fillId="0" borderId="63" xfId="108" applyNumberFormat="1" applyFont="1" applyFill="1" applyBorder="1" applyAlignment="1">
      <alignment vertical="center" wrapText="1"/>
      <protection/>
    </xf>
    <xf numFmtId="49" fontId="34" fillId="65" borderId="34" xfId="109" applyNumberFormat="1" applyFont="1" applyFill="1" applyBorder="1" applyAlignment="1">
      <alignment vertical="center" wrapText="1"/>
      <protection/>
    </xf>
    <xf numFmtId="49" fontId="34" fillId="0" borderId="48" xfId="0" applyNumberFormat="1" applyFont="1" applyFill="1" applyBorder="1" applyAlignment="1" applyProtection="1">
      <alignment horizontal="left" vertical="center"/>
      <protection locked="0"/>
    </xf>
    <xf numFmtId="49" fontId="34" fillId="65" borderId="68" xfId="0" applyNumberFormat="1" applyFont="1" applyFill="1" applyBorder="1" applyAlignment="1">
      <alignment vertical="center"/>
    </xf>
    <xf numFmtId="49" fontId="142" fillId="0" borderId="123" xfId="0" applyNumberFormat="1" applyFont="1" applyFill="1" applyBorder="1" applyAlignment="1">
      <alignment horizontal="left" vertical="top" wrapText="1"/>
    </xf>
    <xf numFmtId="49" fontId="42" fillId="53" borderId="39" xfId="102" applyNumberFormat="1" applyFont="1" applyFill="1" applyBorder="1" applyAlignment="1">
      <alignment vertical="center"/>
    </xf>
    <xf numFmtId="49" fontId="142" fillId="65" borderId="68" xfId="0" applyNumberFormat="1" applyFont="1" applyFill="1" applyBorder="1" applyAlignment="1">
      <alignment horizontal="left" vertical="center" wrapText="1"/>
    </xf>
    <xf numFmtId="49" fontId="142" fillId="0" borderId="55" xfId="0" applyNumberFormat="1" applyFont="1" applyFill="1" applyBorder="1" applyAlignment="1">
      <alignment vertical="top" wrapText="1"/>
    </xf>
    <xf numFmtId="49" fontId="142" fillId="0" borderId="123" xfId="0" applyNumberFormat="1" applyFont="1" applyFill="1" applyBorder="1" applyAlignment="1">
      <alignment vertical="top" wrapText="1"/>
    </xf>
    <xf numFmtId="49" fontId="142" fillId="0" borderId="117" xfId="0" applyNumberFormat="1" applyFont="1" applyFill="1" applyBorder="1" applyAlignment="1">
      <alignment horizontal="left" vertical="top" wrapText="1"/>
    </xf>
    <xf numFmtId="49" fontId="42" fillId="53" borderId="120" xfId="102" applyNumberFormat="1" applyFont="1" applyFill="1" applyBorder="1" applyAlignment="1">
      <alignment vertical="center"/>
    </xf>
    <xf numFmtId="49" fontId="142" fillId="0" borderId="30" xfId="0" applyNumberFormat="1" applyFont="1" applyFill="1" applyBorder="1" applyAlignment="1">
      <alignment wrapText="1"/>
    </xf>
    <xf numFmtId="49" fontId="34" fillId="0" borderId="37" xfId="0" applyNumberFormat="1" applyFont="1" applyBorder="1" applyAlignment="1">
      <alignment vertical="center"/>
    </xf>
    <xf numFmtId="49" fontId="18" fillId="65" borderId="36" xfId="0" applyNumberFormat="1" applyFont="1" applyFill="1" applyBorder="1" applyAlignment="1">
      <alignment vertical="center"/>
    </xf>
    <xf numFmtId="49" fontId="34" fillId="0" borderId="35" xfId="0" applyNumberFormat="1" applyFont="1" applyBorder="1" applyAlignment="1">
      <alignment vertical="center"/>
    </xf>
    <xf numFmtId="49" fontId="34" fillId="0" borderId="36" xfId="0" applyNumberFormat="1" applyFont="1" applyBorder="1" applyAlignment="1">
      <alignment vertical="center"/>
    </xf>
    <xf numFmtId="49" fontId="42" fillId="53" borderId="25" xfId="0" applyNumberFormat="1" applyFont="1" applyFill="1" applyBorder="1" applyAlignment="1" applyProtection="1">
      <alignment horizontal="left" vertical="center"/>
      <protection locked="0"/>
    </xf>
    <xf numFmtId="49" fontId="42" fillId="57" borderId="25" xfId="0" applyNumberFormat="1" applyFont="1" applyFill="1" applyBorder="1" applyAlignment="1" applyProtection="1">
      <alignment horizontal="right" vertical="center"/>
      <protection locked="0"/>
    </xf>
    <xf numFmtId="49" fontId="34" fillId="0" borderId="128" xfId="0" applyNumberFormat="1" applyFont="1" applyFill="1" applyBorder="1" applyAlignment="1" applyProtection="1">
      <alignment horizontal="right" vertical="center"/>
      <protection locked="0"/>
    </xf>
    <xf numFmtId="49" fontId="34" fillId="0" borderId="128" xfId="0" applyNumberFormat="1" applyFont="1" applyBorder="1" applyAlignment="1">
      <alignment horizontal="right" vertical="center" wrapText="1"/>
    </xf>
    <xf numFmtId="49" fontId="42" fillId="57" borderId="145" xfId="0" applyNumberFormat="1" applyFont="1" applyFill="1" applyBorder="1" applyAlignment="1" applyProtection="1">
      <alignment horizontal="right" vertical="center"/>
      <protection locked="0"/>
    </xf>
    <xf numFmtId="49" fontId="42" fillId="57" borderId="149" xfId="0" applyNumberFormat="1" applyFont="1" applyFill="1" applyBorder="1" applyAlignment="1" applyProtection="1">
      <alignment horizontal="right" vertical="center"/>
      <protection locked="0"/>
    </xf>
    <xf numFmtId="49" fontId="42" fillId="54" borderId="15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0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 vertical="center"/>
    </xf>
    <xf numFmtId="49" fontId="73" fillId="0" borderId="34" xfId="0" applyNumberFormat="1" applyFont="1" applyFill="1" applyBorder="1" applyAlignment="1">
      <alignment vertical="center" wrapText="1"/>
    </xf>
    <xf numFmtId="49" fontId="73" fillId="0" borderId="53" xfId="0" applyNumberFormat="1" applyFont="1" applyFill="1" applyBorder="1" applyAlignment="1">
      <alignment vertical="center" wrapText="1"/>
    </xf>
    <xf numFmtId="3" fontId="34" fillId="67" borderId="35" xfId="101" applyNumberFormat="1" applyFont="1" applyFill="1" applyBorder="1" applyAlignment="1">
      <alignment vertical="center"/>
    </xf>
    <xf numFmtId="3" fontId="34" fillId="67" borderId="68" xfId="0" applyNumberFormat="1" applyFont="1" applyFill="1" applyBorder="1" applyAlignment="1">
      <alignment horizontal="right" vertical="center"/>
    </xf>
    <xf numFmtId="0" fontId="43" fillId="0" borderId="128" xfId="104" applyFont="1" applyFill="1" applyBorder="1" applyAlignment="1">
      <alignment vertical="center"/>
      <protection/>
    </xf>
    <xf numFmtId="0" fontId="14" fillId="0" borderId="35" xfId="104" applyFont="1" applyFill="1" applyBorder="1" applyAlignment="1">
      <alignment horizontal="center" vertical="center"/>
      <protection/>
    </xf>
    <xf numFmtId="0" fontId="14" fillId="0" borderId="34" xfId="104" applyFont="1" applyFill="1" applyBorder="1" applyAlignment="1">
      <alignment horizontal="center" vertical="center"/>
      <protection/>
    </xf>
    <xf numFmtId="0" fontId="12" fillId="0" borderId="119" xfId="104" applyFont="1" applyFill="1" applyBorder="1" applyAlignment="1">
      <alignment vertical="center"/>
      <protection/>
    </xf>
    <xf numFmtId="0" fontId="14" fillId="53" borderId="48" xfId="103" applyFont="1" applyFill="1" applyBorder="1" applyAlignment="1">
      <alignment vertical="center"/>
    </xf>
    <xf numFmtId="0" fontId="17" fillId="0" borderId="35" xfId="103" applyFont="1" applyFill="1" applyBorder="1" applyAlignment="1">
      <alignment vertical="center"/>
    </xf>
    <xf numFmtId="0" fontId="17" fillId="0" borderId="34" xfId="103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49" fontId="34" fillId="65" borderId="34" xfId="0" applyNumberFormat="1" applyFont="1" applyFill="1" applyBorder="1" applyAlignment="1">
      <alignment vertical="center" wrapText="1"/>
    </xf>
    <xf numFmtId="3" fontId="34" fillId="0" borderId="0" xfId="102" applyNumberFormat="1" applyFont="1" applyFill="1" applyBorder="1" applyAlignment="1">
      <alignment vertical="center"/>
    </xf>
    <xf numFmtId="3" fontId="42" fillId="67" borderId="34" xfId="0" applyNumberFormat="1" applyFont="1" applyFill="1" applyBorder="1" applyAlignment="1">
      <alignment horizontal="right" vertical="center"/>
    </xf>
    <xf numFmtId="49" fontId="73" fillId="65" borderId="35" xfId="0" applyNumberFormat="1" applyFont="1" applyFill="1" applyBorder="1" applyAlignment="1">
      <alignment vertical="center" wrapText="1"/>
    </xf>
    <xf numFmtId="49" fontId="73" fillId="65" borderId="37" xfId="0" applyNumberFormat="1" applyFont="1" applyFill="1" applyBorder="1" applyAlignment="1">
      <alignment vertical="center" wrapText="1"/>
    </xf>
    <xf numFmtId="49" fontId="73" fillId="65" borderId="36" xfId="0" applyNumberFormat="1" applyFont="1" applyFill="1" applyBorder="1" applyAlignment="1">
      <alignment vertical="center" wrapText="1"/>
    </xf>
    <xf numFmtId="0" fontId="18" fillId="65" borderId="34" xfId="0" applyFont="1" applyFill="1" applyBorder="1" applyAlignment="1">
      <alignment vertical="center" wrapText="1"/>
    </xf>
    <xf numFmtId="3" fontId="18" fillId="67" borderId="35" xfId="101" applyNumberFormat="1" applyFont="1" applyFill="1" applyBorder="1" applyAlignment="1">
      <alignment horizontal="right" vertical="center"/>
    </xf>
    <xf numFmtId="3" fontId="34" fillId="67" borderId="35" xfId="0" applyNumberFormat="1" applyFont="1" applyFill="1" applyBorder="1" applyAlignment="1">
      <alignment horizontal="right" vertical="center"/>
    </xf>
    <xf numFmtId="3" fontId="147" fillId="0" borderId="0" xfId="0" applyNumberFormat="1" applyFont="1" applyAlignment="1">
      <alignment horizontal="center" vertical="center"/>
    </xf>
    <xf numFmtId="3" fontId="147" fillId="0" borderId="0" xfId="0" applyNumberFormat="1" applyFont="1" applyAlignment="1">
      <alignment horizontal="right" vertical="center"/>
    </xf>
    <xf numFmtId="3" fontId="148" fillId="0" borderId="0" xfId="0" applyNumberFormat="1" applyFont="1" applyAlignment="1">
      <alignment horizontal="right" vertical="center"/>
    </xf>
    <xf numFmtId="3" fontId="147" fillId="0" borderId="0" xfId="0" applyNumberFormat="1" applyFont="1" applyFill="1" applyAlignment="1">
      <alignment horizontal="right" vertical="center"/>
    </xf>
    <xf numFmtId="3" fontId="147" fillId="0" borderId="0" xfId="0" applyNumberFormat="1" applyFont="1" applyAlignment="1" applyProtection="1">
      <alignment horizontal="right" vertical="center"/>
      <protection locked="0"/>
    </xf>
    <xf numFmtId="3" fontId="147" fillId="0" borderId="0" xfId="0" applyNumberFormat="1" applyFont="1" applyFill="1" applyAlignment="1" applyProtection="1">
      <alignment horizontal="right" vertical="center"/>
      <protection locked="0"/>
    </xf>
    <xf numFmtId="3" fontId="149" fillId="0" borderId="0" xfId="0" applyNumberFormat="1" applyFont="1" applyAlignment="1">
      <alignment horizontal="right" vertical="center"/>
    </xf>
    <xf numFmtId="3" fontId="150" fillId="0" borderId="0" xfId="0" applyNumberFormat="1" applyFont="1" applyAlignment="1">
      <alignment horizontal="right" vertical="center"/>
    </xf>
    <xf numFmtId="3" fontId="148" fillId="0" borderId="0" xfId="0" applyNumberFormat="1" applyFont="1" applyFill="1" applyAlignment="1">
      <alignment horizontal="right" vertical="center"/>
    </xf>
    <xf numFmtId="0" fontId="34" fillId="0" borderId="37" xfId="102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8" fillId="45" borderId="34" xfId="0" applyNumberFormat="1" applyFont="1" applyFill="1" applyBorder="1" applyAlignment="1">
      <alignment horizontal="right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0" fontId="0" fillId="0" borderId="128" xfId="0" applyBorder="1" applyAlignment="1">
      <alignment/>
    </xf>
    <xf numFmtId="3" fontId="48" fillId="0" borderId="53" xfId="0" applyNumberFormat="1" applyFont="1" applyFill="1" applyBorder="1" applyAlignment="1">
      <alignment horizontal="right" vertical="center"/>
    </xf>
    <xf numFmtId="3" fontId="34" fillId="0" borderId="136" xfId="0" applyNumberFormat="1" applyFont="1" applyFill="1" applyBorder="1" applyAlignment="1">
      <alignment horizontal="right" vertical="center"/>
    </xf>
    <xf numFmtId="3" fontId="42" fillId="0" borderId="151" xfId="0" applyNumberFormat="1" applyFont="1" applyFill="1" applyBorder="1" applyAlignment="1">
      <alignment horizontal="right" vertical="center"/>
    </xf>
    <xf numFmtId="3" fontId="17" fillId="0" borderId="152" xfId="104" applyNumberFormat="1" applyFont="1" applyFill="1" applyBorder="1" applyAlignment="1">
      <alignment horizontal="right" vertical="center"/>
      <protection/>
    </xf>
    <xf numFmtId="3" fontId="14" fillId="57" borderId="81" xfId="0" applyNumberFormat="1" applyFont="1" applyFill="1" applyBorder="1" applyAlignment="1">
      <alignment vertical="center"/>
    </xf>
    <xf numFmtId="3" fontId="14" fillId="57" borderId="29" xfId="0" applyNumberFormat="1" applyFont="1" applyFill="1" applyBorder="1" applyAlignment="1">
      <alignment vertical="center"/>
    </xf>
    <xf numFmtId="49" fontId="34" fillId="45" borderId="50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23" xfId="0" applyNumberFormat="1" applyFont="1" applyFill="1" applyBorder="1" applyAlignment="1">
      <alignment horizontal="right" vertical="center"/>
    </xf>
    <xf numFmtId="3" fontId="42" fillId="45" borderId="126" xfId="0" applyNumberFormat="1" applyFont="1" applyFill="1" applyBorder="1" applyAlignment="1">
      <alignment horizontal="right" vertical="center"/>
    </xf>
    <xf numFmtId="3" fontId="17" fillId="0" borderId="50" xfId="0" applyNumberFormat="1" applyFont="1" applyBorder="1" applyAlignment="1">
      <alignment vertical="center"/>
    </xf>
    <xf numFmtId="3" fontId="17" fillId="0" borderId="83" xfId="0" applyNumberFormat="1" applyFont="1" applyBorder="1" applyAlignment="1">
      <alignment vertical="center"/>
    </xf>
    <xf numFmtId="0" fontId="12" fillId="0" borderId="126" xfId="104" applyFont="1" applyFill="1" applyBorder="1" applyAlignment="1">
      <alignment horizontal="center" vertical="center"/>
      <protection/>
    </xf>
    <xf numFmtId="0" fontId="74" fillId="0" borderId="86" xfId="107" applyFont="1" applyBorder="1" applyAlignment="1">
      <alignment vertical="center" wrapText="1"/>
      <protection/>
    </xf>
    <xf numFmtId="3" fontId="47" fillId="53" borderId="25" xfId="107" applyNumberFormat="1" applyFont="1" applyFill="1" applyBorder="1" applyAlignment="1">
      <alignment vertical="center"/>
      <protection/>
    </xf>
    <xf numFmtId="3" fontId="47" fillId="54" borderId="25" xfId="107" applyNumberFormat="1" applyFont="1" applyFill="1" applyBorder="1" applyAlignment="1">
      <alignment vertical="center"/>
      <protection/>
    </xf>
    <xf numFmtId="3" fontId="47" fillId="53" borderId="28" xfId="107" applyNumberFormat="1" applyFont="1" applyFill="1" applyBorder="1" applyAlignment="1">
      <alignment vertical="center"/>
      <protection/>
    </xf>
    <xf numFmtId="3" fontId="47" fillId="54" borderId="28" xfId="107" applyNumberFormat="1" applyFont="1" applyFill="1" applyBorder="1" applyAlignment="1">
      <alignment vertical="center"/>
      <protection/>
    </xf>
    <xf numFmtId="3" fontId="47" fillId="53" borderId="39" xfId="107" applyNumberFormat="1" applyFont="1" applyFill="1" applyBorder="1" applyAlignment="1">
      <alignment vertical="center"/>
      <protection/>
    </xf>
    <xf numFmtId="3" fontId="47" fillId="54" borderId="39" xfId="107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7" fillId="0" borderId="90" xfId="0" applyNumberFormat="1" applyFont="1" applyFill="1" applyBorder="1" applyAlignment="1">
      <alignment horizontal="right" vertical="center"/>
    </xf>
    <xf numFmtId="3" fontId="17" fillId="0" borderId="122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17" fillId="0" borderId="82" xfId="0" applyFont="1" applyBorder="1" applyAlignment="1">
      <alignment/>
    </xf>
    <xf numFmtId="3" fontId="12" fillId="45" borderId="49" xfId="0" applyNumberFormat="1" applyFont="1" applyFill="1" applyBorder="1" applyAlignment="1">
      <alignment horizontal="right" vertical="center"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45" borderId="30" xfId="0" applyFont="1" applyFill="1" applyBorder="1" applyAlignment="1" applyProtection="1">
      <alignment horizontal="left" vertical="center" wrapText="1"/>
      <protection locked="0"/>
    </xf>
    <xf numFmtId="0" fontId="12" fillId="45" borderId="89" xfId="0" applyFont="1" applyFill="1" applyBorder="1" applyAlignment="1" applyProtection="1">
      <alignment horizontal="left" vertical="center"/>
      <protection locked="0"/>
    </xf>
    <xf numFmtId="3" fontId="34" fillId="67" borderId="34" xfId="0" applyNumberFormat="1" applyFont="1" applyFill="1" applyBorder="1" applyAlignment="1">
      <alignment horizontal="right" vertical="center"/>
    </xf>
    <xf numFmtId="49" fontId="34" fillId="0" borderId="114" xfId="0" applyNumberFormat="1" applyFont="1" applyBorder="1" applyAlignment="1">
      <alignment vertical="center" wrapText="1"/>
    </xf>
    <xf numFmtId="49" fontId="34" fillId="65" borderId="35" xfId="0" applyNumberFormat="1" applyFont="1" applyFill="1" applyBorder="1" applyAlignment="1">
      <alignment vertical="center"/>
    </xf>
    <xf numFmtId="49" fontId="34" fillId="65" borderId="34" xfId="0" applyNumberFormat="1" applyFont="1" applyFill="1" applyBorder="1" applyAlignment="1">
      <alignment vertical="center"/>
    </xf>
    <xf numFmtId="49" fontId="73" fillId="65" borderId="34" xfId="0" applyNumberFormat="1" applyFont="1" applyFill="1" applyBorder="1" applyAlignment="1">
      <alignment vertical="center"/>
    </xf>
    <xf numFmtId="49" fontId="34" fillId="0" borderId="35" xfId="96" applyNumberFormat="1" applyFont="1" applyFill="1" applyBorder="1" applyAlignment="1">
      <alignment vertical="center" wrapText="1"/>
      <protection/>
    </xf>
    <xf numFmtId="49" fontId="34" fillId="0" borderId="82" xfId="96" applyNumberFormat="1" applyFont="1" applyFill="1" applyBorder="1" applyAlignment="1">
      <alignment vertical="center" wrapText="1"/>
      <protection/>
    </xf>
    <xf numFmtId="0" fontId="12" fillId="57" borderId="79" xfId="0" applyFont="1" applyFill="1" applyBorder="1" applyAlignment="1">
      <alignment horizontal="center" vertical="center"/>
    </xf>
    <xf numFmtId="0" fontId="42" fillId="57" borderId="79" xfId="0" applyFont="1" applyFill="1" applyBorder="1" applyAlignment="1">
      <alignment horizontal="right" vertical="center"/>
    </xf>
    <xf numFmtId="3" fontId="12" fillId="57" borderId="69" xfId="0" applyNumberFormat="1" applyFont="1" applyFill="1" applyBorder="1" applyAlignment="1">
      <alignment vertical="center"/>
    </xf>
    <xf numFmtId="3" fontId="42" fillId="0" borderId="126" xfId="0" applyNumberFormat="1" applyFont="1" applyFill="1" applyBorder="1" applyAlignment="1">
      <alignment horizontal="right" vertical="center"/>
    </xf>
    <xf numFmtId="49" fontId="34" fillId="65" borderId="36" xfId="0" applyNumberFormat="1" applyFont="1" applyFill="1" applyBorder="1" applyAlignment="1">
      <alignment vertical="center"/>
    </xf>
    <xf numFmtId="49" fontId="142" fillId="0" borderId="82" xfId="0" applyNumberFormat="1" applyFont="1" applyFill="1" applyBorder="1" applyAlignment="1">
      <alignment vertical="top" wrapText="1"/>
    </xf>
    <xf numFmtId="49" fontId="11" fillId="65" borderId="36" xfId="0" applyNumberFormat="1" applyFont="1" applyFill="1" applyBorder="1" applyAlignment="1">
      <alignment vertical="center"/>
    </xf>
    <xf numFmtId="3" fontId="151" fillId="0" borderId="0" xfId="0" applyNumberFormat="1" applyFont="1" applyAlignment="1">
      <alignment vertical="center"/>
    </xf>
    <xf numFmtId="3" fontId="152" fillId="0" borderId="0" xfId="0" applyNumberFormat="1" applyFont="1" applyAlignment="1">
      <alignment vertical="center"/>
    </xf>
    <xf numFmtId="3" fontId="153" fillId="0" borderId="0" xfId="0" applyNumberFormat="1" applyFont="1" applyAlignment="1">
      <alignment vertical="center"/>
    </xf>
    <xf numFmtId="3" fontId="152" fillId="0" borderId="0" xfId="0" applyNumberFormat="1" applyFont="1" applyAlignment="1">
      <alignment horizontal="center" vertical="center" wrapText="1"/>
    </xf>
    <xf numFmtId="3" fontId="152" fillId="0" borderId="0" xfId="0" applyNumberFormat="1" applyFont="1" applyFill="1" applyAlignment="1">
      <alignment vertical="center"/>
    </xf>
    <xf numFmtId="3" fontId="154" fillId="0" borderId="0" xfId="0" applyNumberFormat="1" applyFont="1" applyAlignment="1">
      <alignment vertical="center"/>
    </xf>
    <xf numFmtId="3" fontId="151" fillId="0" borderId="0" xfId="0" applyNumberFormat="1" applyFont="1" applyFill="1" applyAlignment="1">
      <alignment vertical="center"/>
    </xf>
    <xf numFmtId="0" fontId="24" fillId="45" borderId="44" xfId="0" applyFont="1" applyFill="1" applyBorder="1" applyAlignment="1">
      <alignment/>
    </xf>
    <xf numFmtId="3" fontId="12" fillId="45" borderId="48" xfId="0" applyNumberFormat="1" applyFont="1" applyFill="1" applyBorder="1" applyAlignment="1">
      <alignment horizontal="right" vertical="center"/>
    </xf>
    <xf numFmtId="0" fontId="12" fillId="45" borderId="63" xfId="0" applyFont="1" applyFill="1" applyBorder="1" applyAlignment="1" applyProtection="1">
      <alignment horizontal="left" vertical="center" wrapText="1"/>
      <protection locked="0"/>
    </xf>
    <xf numFmtId="0" fontId="12" fillId="0" borderId="31" xfId="0" applyFont="1" applyFill="1" applyBorder="1" applyAlignment="1" applyProtection="1">
      <alignment horizontal="left" vertical="center"/>
      <protection locked="0"/>
    </xf>
    <xf numFmtId="3" fontId="12" fillId="57" borderId="153" xfId="0" applyNumberFormat="1" applyFont="1" applyFill="1" applyBorder="1" applyAlignment="1">
      <alignment vertical="center"/>
    </xf>
    <xf numFmtId="3" fontId="14" fillId="0" borderId="128" xfId="104" applyNumberFormat="1" applyFont="1" applyFill="1" applyBorder="1" applyAlignment="1">
      <alignment horizontal="right" vertical="center"/>
      <protection/>
    </xf>
    <xf numFmtId="0" fontId="12" fillId="0" borderId="23" xfId="104" applyFont="1" applyFill="1" applyBorder="1" applyAlignment="1">
      <alignment vertical="center"/>
      <protection/>
    </xf>
    <xf numFmtId="0" fontId="17" fillId="0" borderId="126" xfId="103" applyFont="1" applyFill="1" applyBorder="1" applyAlignment="1">
      <alignment vertical="center"/>
    </xf>
    <xf numFmtId="3" fontId="17" fillId="0" borderId="152" xfId="103" applyNumberFormat="1" applyFont="1" applyFill="1" applyBorder="1" applyAlignment="1">
      <alignment horizontal="right" vertical="center"/>
    </xf>
    <xf numFmtId="3" fontId="17" fillId="0" borderId="127" xfId="103" applyNumberFormat="1" applyFont="1" applyFill="1" applyBorder="1" applyAlignment="1">
      <alignment horizontal="right" vertical="center"/>
    </xf>
    <xf numFmtId="3" fontId="17" fillId="0" borderId="129" xfId="104" applyNumberFormat="1" applyFont="1" applyFill="1" applyBorder="1" applyAlignment="1">
      <alignment horizontal="right" vertical="center"/>
      <protection/>
    </xf>
    <xf numFmtId="3" fontId="14" fillId="57" borderId="126" xfId="104" applyNumberFormat="1" applyFont="1" applyFill="1" applyBorder="1" applyAlignment="1">
      <alignment horizontal="right" vertical="center"/>
      <protection/>
    </xf>
    <xf numFmtId="3" fontId="17" fillId="0" borderId="116" xfId="104" applyNumberFormat="1" applyFont="1" applyFill="1" applyBorder="1" applyAlignment="1">
      <alignment horizontal="right" vertical="center"/>
      <protection/>
    </xf>
    <xf numFmtId="3" fontId="17" fillId="0" borderId="126" xfId="104" applyNumberFormat="1" applyFont="1" applyFill="1" applyBorder="1" applyAlignment="1">
      <alignment horizontal="right" vertical="center"/>
      <protection/>
    </xf>
    <xf numFmtId="3" fontId="14" fillId="0" borderId="129" xfId="104" applyNumberFormat="1" applyFont="1" applyFill="1" applyBorder="1" applyAlignment="1">
      <alignment horizontal="right" vertical="center"/>
      <protection/>
    </xf>
    <xf numFmtId="3" fontId="14" fillId="57" borderId="126" xfId="104" applyNumberFormat="1" applyFont="1" applyFill="1" applyBorder="1" applyAlignment="1">
      <alignment vertical="center"/>
      <protection/>
    </xf>
    <xf numFmtId="0" fontId="43" fillId="0" borderId="50" xfId="107" applyFont="1" applyBorder="1" applyAlignment="1">
      <alignment horizontal="center" vertical="center"/>
      <protection/>
    </xf>
    <xf numFmtId="3" fontId="17" fillId="0" borderId="74" xfId="0" applyNumberFormat="1" applyFont="1" applyFill="1" applyBorder="1" applyAlignment="1">
      <alignment horizontal="right" vertical="center"/>
    </xf>
    <xf numFmtId="3" fontId="17" fillId="0" borderId="31" xfId="0" applyNumberFormat="1" applyFont="1" applyBorder="1" applyAlignment="1">
      <alignment vertical="center"/>
    </xf>
    <xf numFmtId="3" fontId="34" fillId="0" borderId="73" xfId="0" applyNumberFormat="1" applyFont="1" applyFill="1" applyBorder="1" applyAlignment="1">
      <alignment horizontal="right" vertical="center"/>
    </xf>
    <xf numFmtId="49" fontId="34" fillId="45" borderId="0" xfId="101" applyNumberFormat="1" applyFont="1" applyFill="1" applyBorder="1" applyAlignment="1" applyProtection="1">
      <alignment horizontal="left" vertical="center" wrapText="1"/>
      <protection locked="0"/>
    </xf>
    <xf numFmtId="3" fontId="155" fillId="0" borderId="0" xfId="0" applyNumberFormat="1" applyFont="1" applyAlignment="1">
      <alignment vertical="center"/>
    </xf>
    <xf numFmtId="3" fontId="156" fillId="0" borderId="0" xfId="0" applyNumberFormat="1" applyFont="1" applyAlignment="1">
      <alignment vertical="center"/>
    </xf>
    <xf numFmtId="3" fontId="157" fillId="0" borderId="0" xfId="0" applyNumberFormat="1" applyFont="1" applyAlignment="1">
      <alignment vertical="center"/>
    </xf>
    <xf numFmtId="3" fontId="156" fillId="0" borderId="0" xfId="0" applyNumberFormat="1" applyFont="1" applyAlignment="1">
      <alignment horizontal="center" vertical="center" wrapText="1"/>
    </xf>
    <xf numFmtId="3" fontId="156" fillId="0" borderId="0" xfId="0" applyNumberFormat="1" applyFont="1" applyFill="1" applyAlignment="1">
      <alignment vertical="center"/>
    </xf>
    <xf numFmtId="3" fontId="158" fillId="0" borderId="0" xfId="0" applyNumberFormat="1" applyFont="1" applyAlignment="1">
      <alignment vertical="center"/>
    </xf>
    <xf numFmtId="49" fontId="34" fillId="45" borderId="37" xfId="101" applyNumberFormat="1" applyFont="1" applyFill="1" applyBorder="1" applyAlignment="1" applyProtection="1">
      <alignment horizontal="left" vertical="center" wrapText="1"/>
      <protection locked="0"/>
    </xf>
    <xf numFmtId="3" fontId="155" fillId="0" borderId="0" xfId="0" applyNumberFormat="1" applyFont="1" applyFill="1" applyAlignment="1">
      <alignment vertical="center"/>
    </xf>
    <xf numFmtId="49" fontId="34" fillId="65" borderId="37" xfId="0" applyNumberFormat="1" applyFont="1" applyFill="1" applyBorder="1" applyAlignment="1">
      <alignment vertical="center" wrapText="1"/>
    </xf>
    <xf numFmtId="3" fontId="34" fillId="45" borderId="35" xfId="0" applyNumberFormat="1" applyFont="1" applyFill="1" applyBorder="1" applyAlignment="1">
      <alignment horizontal="right" vertical="center"/>
    </xf>
    <xf numFmtId="0" fontId="17" fillId="0" borderId="114" xfId="0" applyFont="1" applyBorder="1" applyAlignment="1">
      <alignment vertical="center"/>
    </xf>
    <xf numFmtId="3" fontId="43" fillId="0" borderId="21" xfId="0" applyNumberFormat="1" applyFont="1" applyFill="1" applyBorder="1" applyAlignment="1">
      <alignment vertical="center"/>
    </xf>
    <xf numFmtId="3" fontId="43" fillId="0" borderId="21" xfId="107" applyNumberFormat="1" applyFont="1" applyFill="1" applyBorder="1" applyAlignment="1">
      <alignment vertical="center"/>
      <protection/>
    </xf>
    <xf numFmtId="3" fontId="43" fillId="66" borderId="30" xfId="107" applyNumberFormat="1" applyFont="1" applyFill="1" applyBorder="1" applyAlignment="1">
      <alignment vertical="center"/>
      <protection/>
    </xf>
    <xf numFmtId="0" fontId="43" fillId="0" borderId="26" xfId="0" applyFont="1" applyBorder="1" applyAlignment="1">
      <alignment vertical="center" wrapText="1"/>
    </xf>
    <xf numFmtId="3" fontId="47" fillId="53" borderId="29" xfId="107" applyNumberFormat="1" applyFont="1" applyFill="1" applyBorder="1" applyAlignment="1">
      <alignment vertical="center"/>
      <protection/>
    </xf>
    <xf numFmtId="4" fontId="8" fillId="0" borderId="95" xfId="0" applyNumberFormat="1" applyFont="1" applyBorder="1" applyAlignment="1">
      <alignment vertical="center"/>
    </xf>
    <xf numFmtId="0" fontId="47" fillId="0" borderId="76" xfId="105" applyFont="1" applyBorder="1" applyAlignment="1" applyProtection="1">
      <alignment horizontal="center" vertical="top"/>
      <protection hidden="1"/>
    </xf>
    <xf numFmtId="0" fontId="47" fillId="0" borderId="90" xfId="105" applyFont="1" applyBorder="1" applyAlignment="1" applyProtection="1">
      <alignment horizontal="center" vertical="top"/>
      <protection hidden="1"/>
    </xf>
    <xf numFmtId="0" fontId="47" fillId="0" borderId="115" xfId="105" applyFont="1" applyBorder="1" applyAlignment="1" applyProtection="1">
      <alignment horizontal="center" vertical="top"/>
      <protection hidden="1"/>
    </xf>
    <xf numFmtId="0" fontId="36" fillId="53" borderId="25" xfId="105" applyFont="1" applyFill="1" applyBorder="1" applyAlignment="1" applyProtection="1">
      <alignment horizontal="left" vertical="center"/>
      <protection hidden="1"/>
    </xf>
    <xf numFmtId="0" fontId="36" fillId="53" borderId="39" xfId="105" applyFont="1" applyFill="1" applyBorder="1" applyAlignment="1" applyProtection="1">
      <alignment horizontal="left" vertical="center"/>
      <protection hidden="1"/>
    </xf>
    <xf numFmtId="0" fontId="43" fillId="0" borderId="86" xfId="105" applyFont="1" applyBorder="1" applyAlignment="1" applyProtection="1">
      <alignment horizontal="left" vertical="center"/>
      <protection hidden="1"/>
    </xf>
    <xf numFmtId="0" fontId="43" fillId="0" borderId="123" xfId="105" applyFont="1" applyBorder="1" applyAlignment="1" applyProtection="1">
      <alignment horizontal="left" vertical="center"/>
      <protection hidden="1"/>
    </xf>
    <xf numFmtId="0" fontId="43" fillId="0" borderId="55" xfId="105" applyFont="1" applyBorder="1" applyAlignment="1" applyProtection="1">
      <alignment horizontal="left" vertical="center"/>
      <protection hidden="1"/>
    </xf>
    <xf numFmtId="0" fontId="43" fillId="0" borderId="87" xfId="105" applyFont="1" applyBorder="1" applyAlignment="1" applyProtection="1">
      <alignment horizontal="left" vertical="center"/>
      <protection hidden="1"/>
    </xf>
    <xf numFmtId="0" fontId="43" fillId="0" borderId="124" xfId="105" applyFont="1" applyBorder="1" applyAlignment="1" applyProtection="1">
      <alignment horizontal="left" vertical="center"/>
      <protection hidden="1"/>
    </xf>
    <xf numFmtId="0" fontId="43" fillId="0" borderId="67" xfId="105" applyFont="1" applyBorder="1" applyAlignment="1" applyProtection="1">
      <alignment horizontal="left" vertical="center"/>
      <protection hidden="1"/>
    </xf>
    <xf numFmtId="0" fontId="47" fillId="0" borderId="123" xfId="105" applyFont="1" applyBorder="1" applyAlignment="1" applyProtection="1">
      <alignment horizontal="left" vertical="center"/>
      <protection hidden="1"/>
    </xf>
    <xf numFmtId="0" fontId="47" fillId="0" borderId="55" xfId="105" applyFont="1" applyBorder="1" applyAlignment="1" applyProtection="1">
      <alignment horizontal="left" vertical="center"/>
      <protection hidden="1"/>
    </xf>
    <xf numFmtId="0" fontId="47" fillId="0" borderId="74" xfId="105" applyFont="1" applyBorder="1" applyAlignment="1" applyProtection="1">
      <alignment horizontal="center" vertical="top"/>
      <protection hidden="1"/>
    </xf>
    <xf numFmtId="0" fontId="48" fillId="0" borderId="52" xfId="105" applyFont="1" applyBorder="1" applyAlignment="1" applyProtection="1">
      <alignment horizontal="center" vertical="top"/>
      <protection hidden="1"/>
    </xf>
    <xf numFmtId="0" fontId="48" fillId="0" borderId="83" xfId="105" applyFont="1" applyBorder="1" applyAlignment="1" applyProtection="1">
      <alignment horizontal="center" vertical="top"/>
      <protection hidden="1"/>
    </xf>
    <xf numFmtId="0" fontId="48" fillId="0" borderId="93" xfId="105" applyFont="1" applyBorder="1" applyAlignment="1" applyProtection="1">
      <alignment horizontal="center" vertical="top"/>
      <protection hidden="1"/>
    </xf>
    <xf numFmtId="0" fontId="48" fillId="0" borderId="90" xfId="105" applyFont="1" applyBorder="1" applyAlignment="1" applyProtection="1">
      <alignment horizontal="center" vertical="center"/>
      <protection hidden="1"/>
    </xf>
    <xf numFmtId="0" fontId="48" fillId="0" borderId="115" xfId="105" applyFont="1" applyBorder="1" applyAlignment="1" applyProtection="1">
      <alignment horizontal="center" vertical="center"/>
      <protection hidden="1"/>
    </xf>
    <xf numFmtId="0" fontId="43" fillId="0" borderId="26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horizontal="left" vertical="center"/>
      <protection hidden="1"/>
    </xf>
    <xf numFmtId="0" fontId="47" fillId="0" borderId="86" xfId="105" applyFont="1" applyBorder="1" applyAlignment="1" applyProtection="1">
      <alignment horizontal="left" vertical="center"/>
      <protection hidden="1"/>
    </xf>
    <xf numFmtId="0" fontId="48" fillId="0" borderId="52" xfId="105" applyFont="1" applyBorder="1" applyAlignment="1" applyProtection="1">
      <alignment horizontal="center" vertical="center"/>
      <protection hidden="1"/>
    </xf>
    <xf numFmtId="0" fontId="48" fillId="0" borderId="83" xfId="105" applyFont="1" applyBorder="1" applyAlignment="1" applyProtection="1">
      <alignment horizontal="center" vertical="center"/>
      <protection hidden="1"/>
    </xf>
    <xf numFmtId="0" fontId="48" fillId="0" borderId="93" xfId="105" applyFont="1" applyBorder="1" applyAlignment="1" applyProtection="1">
      <alignment horizontal="center" vertical="center"/>
      <protection hidden="1"/>
    </xf>
    <xf numFmtId="0" fontId="47" fillId="54" borderId="88" xfId="105" applyFont="1" applyFill="1" applyBorder="1" applyAlignment="1" applyProtection="1">
      <alignment horizontal="left" vertical="center"/>
      <protection hidden="1"/>
    </xf>
    <xf numFmtId="0" fontId="47" fillId="54" borderId="25" xfId="105" applyFont="1" applyFill="1" applyBorder="1" applyAlignment="1" applyProtection="1">
      <alignment horizontal="left" vertical="center"/>
      <protection hidden="1"/>
    </xf>
    <xf numFmtId="0" fontId="47" fillId="54" borderId="39" xfId="105" applyFont="1" applyFill="1" applyBorder="1" applyAlignment="1" applyProtection="1">
      <alignment horizontal="left" vertical="center"/>
      <protection hidden="1"/>
    </xf>
    <xf numFmtId="0" fontId="47" fillId="54" borderId="38" xfId="105" applyFont="1" applyFill="1" applyBorder="1" applyAlignment="1" applyProtection="1">
      <alignment horizontal="left" vertical="center"/>
      <protection hidden="1"/>
    </xf>
    <xf numFmtId="0" fontId="43" fillId="0" borderId="125" xfId="105" applyFont="1" applyBorder="1" applyAlignment="1" applyProtection="1">
      <alignment horizontal="left" vertical="center"/>
      <protection hidden="1"/>
    </xf>
    <xf numFmtId="0" fontId="43" fillId="0" borderId="129" xfId="105" applyFont="1" applyBorder="1" applyAlignment="1" applyProtection="1">
      <alignment horizontal="left" vertical="center"/>
      <protection hidden="1"/>
    </xf>
    <xf numFmtId="0" fontId="43" fillId="0" borderId="117" xfId="105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/>
    </xf>
    <xf numFmtId="0" fontId="47" fillId="45" borderId="25" xfId="105" applyFont="1" applyFill="1" applyBorder="1" applyAlignment="1" applyProtection="1">
      <alignment horizontal="center" vertical="center" wrapText="1"/>
      <protection hidden="1"/>
    </xf>
    <xf numFmtId="0" fontId="47" fillId="45" borderId="39" xfId="105" applyFont="1" applyFill="1" applyBorder="1" applyAlignment="1" applyProtection="1">
      <alignment horizontal="center" vertical="center" wrapText="1"/>
      <protection hidden="1"/>
    </xf>
    <xf numFmtId="0" fontId="47" fillId="0" borderId="25" xfId="105" applyFont="1" applyBorder="1" applyAlignment="1" applyProtection="1">
      <alignment horizontal="left" vertical="center"/>
      <protection hidden="1"/>
    </xf>
    <xf numFmtId="0" fontId="47" fillId="0" borderId="39" xfId="105" applyFont="1" applyBorder="1" applyAlignment="1" applyProtection="1">
      <alignment horizontal="left" vertical="center"/>
      <protection hidden="1"/>
    </xf>
    <xf numFmtId="0" fontId="47" fillId="0" borderId="88" xfId="105" applyFont="1" applyBorder="1" applyAlignment="1" applyProtection="1">
      <alignment horizontal="left" vertical="center"/>
      <protection hidden="1"/>
    </xf>
    <xf numFmtId="0" fontId="47" fillId="0" borderId="38" xfId="105" applyFont="1" applyBorder="1" applyAlignment="1" applyProtection="1">
      <alignment horizontal="left" vertical="center"/>
      <protection hidden="1"/>
    </xf>
    <xf numFmtId="0" fontId="48" fillId="0" borderId="85" xfId="105" applyFont="1" applyBorder="1" applyAlignment="1" applyProtection="1">
      <alignment horizontal="left" vertical="center"/>
      <protection hidden="1"/>
    </xf>
    <xf numFmtId="0" fontId="48" fillId="0" borderId="128" xfId="105" applyFont="1" applyBorder="1" applyAlignment="1" applyProtection="1">
      <alignment horizontal="left" vertical="center"/>
      <protection hidden="1"/>
    </xf>
    <xf numFmtId="0" fontId="48" fillId="0" borderId="86" xfId="105" applyFont="1" applyBorder="1" applyAlignment="1" applyProtection="1">
      <alignment horizontal="left" vertical="center"/>
      <protection hidden="1"/>
    </xf>
    <xf numFmtId="0" fontId="48" fillId="0" borderId="123" xfId="105" applyFont="1" applyBorder="1" applyAlignment="1" applyProtection="1">
      <alignment horizontal="left" vertical="center"/>
      <protection hidden="1"/>
    </xf>
    <xf numFmtId="0" fontId="43" fillId="0" borderId="52" xfId="105" applyFont="1" applyBorder="1" applyAlignment="1" applyProtection="1">
      <alignment horizontal="center" vertical="center"/>
      <protection hidden="1"/>
    </xf>
    <xf numFmtId="0" fontId="43" fillId="0" borderId="83" xfId="105" applyFont="1" applyBorder="1" applyAlignment="1" applyProtection="1">
      <alignment horizontal="center" vertical="center"/>
      <protection hidden="1"/>
    </xf>
    <xf numFmtId="0" fontId="43" fillId="0" borderId="93" xfId="105" applyFont="1" applyBorder="1" applyAlignment="1" applyProtection="1">
      <alignment horizontal="center" vertical="center"/>
      <protection hidden="1"/>
    </xf>
    <xf numFmtId="0" fontId="51" fillId="0" borderId="86" xfId="105" applyFont="1" applyBorder="1" applyAlignment="1" applyProtection="1">
      <alignment horizontal="left" vertical="center"/>
      <protection hidden="1"/>
    </xf>
    <xf numFmtId="0" fontId="51" fillId="0" borderId="123" xfId="105" applyFont="1" applyBorder="1" applyAlignment="1" applyProtection="1">
      <alignment horizontal="left" vertical="center"/>
      <protection hidden="1"/>
    </xf>
    <xf numFmtId="0" fontId="51" fillId="0" borderId="55" xfId="105" applyFont="1" applyBorder="1" applyAlignment="1" applyProtection="1">
      <alignment horizontal="left" vertical="center"/>
      <protection hidden="1"/>
    </xf>
    <xf numFmtId="0" fontId="55" fillId="17" borderId="88" xfId="105" applyFont="1" applyFill="1" applyBorder="1" applyAlignment="1" applyProtection="1">
      <alignment horizontal="center" vertical="center" wrapText="1"/>
      <protection hidden="1"/>
    </xf>
    <xf numFmtId="0" fontId="55" fillId="17" borderId="25" xfId="105" applyFont="1" applyFill="1" applyBorder="1" applyAlignment="1" applyProtection="1">
      <alignment horizontal="center" vertical="center" wrapText="1"/>
      <protection hidden="1"/>
    </xf>
    <xf numFmtId="0" fontId="55" fillId="17" borderId="39" xfId="105" applyFont="1" applyFill="1" applyBorder="1" applyAlignment="1" applyProtection="1">
      <alignment horizontal="center" vertical="center" wrapText="1"/>
      <protection hidden="1"/>
    </xf>
    <xf numFmtId="0" fontId="47" fillId="0" borderId="142" xfId="105" applyFont="1" applyBorder="1" applyAlignment="1" applyProtection="1">
      <alignment horizontal="left" vertical="center"/>
      <protection hidden="1"/>
    </xf>
    <xf numFmtId="0" fontId="47" fillId="0" borderId="75" xfId="105" applyFont="1" applyBorder="1" applyAlignment="1" applyProtection="1">
      <alignment horizontal="left" vertical="center"/>
      <protection hidden="1"/>
    </xf>
    <xf numFmtId="0" fontId="47" fillId="0" borderId="63" xfId="105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7" fillId="0" borderId="128" xfId="105" applyFont="1" applyBorder="1" applyAlignment="1" applyProtection="1">
      <alignment horizontal="left" vertical="center"/>
      <protection hidden="1"/>
    </xf>
    <xf numFmtId="0" fontId="47" fillId="0" borderId="68" xfId="105" applyFont="1" applyBorder="1" applyAlignment="1" applyProtection="1">
      <alignment horizontal="left" vertical="center"/>
      <protection hidden="1"/>
    </xf>
    <xf numFmtId="0" fontId="43" fillId="0" borderId="142" xfId="105" applyFont="1" applyBorder="1" applyAlignment="1" applyProtection="1">
      <alignment horizontal="left" vertical="center"/>
      <protection hidden="1"/>
    </xf>
    <xf numFmtId="0" fontId="43" fillId="0" borderId="75" xfId="105" applyFont="1" applyBorder="1" applyAlignment="1" applyProtection="1">
      <alignment horizontal="left" vertical="center"/>
      <protection hidden="1"/>
    </xf>
    <xf numFmtId="0" fontId="43" fillId="0" borderId="63" xfId="105" applyFont="1" applyBorder="1" applyAlignment="1" applyProtection="1">
      <alignment horizontal="left" vertical="center"/>
      <protection hidden="1"/>
    </xf>
    <xf numFmtId="0" fontId="47" fillId="0" borderId="125" xfId="105" applyFont="1" applyBorder="1" applyAlignment="1" applyProtection="1">
      <alignment horizontal="left" vertical="center"/>
      <protection hidden="1"/>
    </xf>
    <xf numFmtId="0" fontId="47" fillId="0" borderId="129" xfId="105" applyFont="1" applyBorder="1" applyAlignment="1" applyProtection="1">
      <alignment horizontal="left" vertical="center"/>
      <protection hidden="1"/>
    </xf>
    <xf numFmtId="0" fontId="47" fillId="0" borderId="117" xfId="105" applyFont="1" applyBorder="1" applyAlignment="1" applyProtection="1">
      <alignment horizontal="left" vertical="center"/>
      <protection hidden="1"/>
    </xf>
    <xf numFmtId="0" fontId="49" fillId="61" borderId="88" xfId="105" applyFont="1" applyFill="1" applyBorder="1" applyAlignment="1" applyProtection="1">
      <alignment horizontal="left" vertical="center"/>
      <protection hidden="1"/>
    </xf>
    <xf numFmtId="0" fontId="49" fillId="61" borderId="25" xfId="105" applyFont="1" applyFill="1" applyBorder="1" applyAlignment="1" applyProtection="1">
      <alignment horizontal="left" vertical="center"/>
      <protection hidden="1"/>
    </xf>
    <xf numFmtId="0" fontId="49" fillId="61" borderId="39" xfId="105" applyFont="1" applyFill="1" applyBorder="1" applyAlignment="1" applyProtection="1">
      <alignment horizontal="left" vertical="center"/>
      <protection hidden="1"/>
    </xf>
    <xf numFmtId="0" fontId="49" fillId="61" borderId="38" xfId="105" applyFont="1" applyFill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3" fillId="0" borderId="108" xfId="95" applyFont="1" applyFill="1" applyBorder="1" applyAlignment="1" applyProtection="1">
      <alignment horizontal="center" vertical="center"/>
      <protection hidden="1"/>
    </xf>
    <xf numFmtId="0" fontId="43" fillId="0" borderId="115" xfId="95" applyFont="1" applyFill="1" applyBorder="1" applyAlignment="1" applyProtection="1">
      <alignment horizontal="center" vertical="center"/>
      <protection hidden="1"/>
    </xf>
    <xf numFmtId="0" fontId="47" fillId="45" borderId="108" xfId="95" applyFont="1" applyFill="1" applyBorder="1" applyAlignment="1" applyProtection="1">
      <alignment horizontal="center" vertical="center"/>
      <protection/>
    </xf>
    <xf numFmtId="0" fontId="47" fillId="45" borderId="90" xfId="95" applyFont="1" applyFill="1" applyBorder="1" applyAlignment="1" applyProtection="1">
      <alignment horizontal="center" vertical="center"/>
      <protection/>
    </xf>
    <xf numFmtId="0" fontId="47" fillId="45" borderId="115" xfId="95" applyFont="1" applyFill="1" applyBorder="1" applyAlignment="1" applyProtection="1">
      <alignment horizontal="center" vertical="center"/>
      <protection/>
    </xf>
    <xf numFmtId="0" fontId="47" fillId="45" borderId="52" xfId="95" applyFont="1" applyFill="1" applyBorder="1" applyAlignment="1" applyProtection="1">
      <alignment horizontal="center" vertical="top"/>
      <protection/>
    </xf>
    <xf numFmtId="0" fontId="47" fillId="45" borderId="83" xfId="95" applyFont="1" applyFill="1" applyBorder="1" applyAlignment="1" applyProtection="1">
      <alignment horizontal="center" vertical="top"/>
      <protection/>
    </xf>
    <xf numFmtId="0" fontId="47" fillId="45" borderId="93" xfId="95" applyFont="1" applyFill="1" applyBorder="1" applyAlignment="1" applyProtection="1">
      <alignment horizontal="center" vertical="top"/>
      <protection/>
    </xf>
    <xf numFmtId="0" fontId="47" fillId="45" borderId="73" xfId="95" applyFont="1" applyFill="1" applyBorder="1" applyAlignment="1" applyProtection="1">
      <alignment horizontal="center" vertical="top"/>
      <protection/>
    </xf>
    <xf numFmtId="0" fontId="47" fillId="0" borderId="52" xfId="105" applyFont="1" applyBorder="1" applyAlignment="1" applyProtection="1">
      <alignment horizontal="center" vertical="top"/>
      <protection hidden="1"/>
    </xf>
    <xf numFmtId="0" fontId="47" fillId="0" borderId="83" xfId="105" applyFont="1" applyBorder="1" applyAlignment="1" applyProtection="1">
      <alignment horizontal="center" vertical="top"/>
      <protection hidden="1"/>
    </xf>
    <xf numFmtId="0" fontId="47" fillId="0" borderId="73" xfId="105" applyFont="1" applyBorder="1" applyAlignment="1" applyProtection="1">
      <alignment horizontal="center" vertical="top"/>
      <protection hidden="1"/>
    </xf>
    <xf numFmtId="0" fontId="53" fillId="0" borderId="52" xfId="105" applyFont="1" applyBorder="1" applyAlignment="1" applyProtection="1">
      <alignment horizontal="center" vertical="top"/>
      <protection hidden="1"/>
    </xf>
    <xf numFmtId="0" fontId="53" fillId="0" borderId="83" xfId="105" applyFont="1" applyBorder="1" applyAlignment="1" applyProtection="1">
      <alignment horizontal="center" vertical="top"/>
      <protection hidden="1"/>
    </xf>
    <xf numFmtId="0" fontId="53" fillId="0" borderId="73" xfId="105" applyFont="1" applyBorder="1" applyAlignment="1" applyProtection="1">
      <alignment horizontal="center" vertical="top"/>
      <protection hidden="1"/>
    </xf>
    <xf numFmtId="0" fontId="47" fillId="0" borderId="93" xfId="105" applyFont="1" applyBorder="1" applyAlignment="1" applyProtection="1">
      <alignment horizontal="center" vertical="top"/>
      <protection hidden="1"/>
    </xf>
    <xf numFmtId="0" fontId="47" fillId="54" borderId="46" xfId="105" applyFont="1" applyFill="1" applyBorder="1" applyAlignment="1" applyProtection="1">
      <alignment horizontal="left" vertical="center"/>
      <protection hidden="1"/>
    </xf>
    <xf numFmtId="0" fontId="49" fillId="61" borderId="38" xfId="95" applyFont="1" applyFill="1" applyBorder="1" applyAlignment="1" applyProtection="1">
      <alignment horizontal="left" vertical="center"/>
      <protection/>
    </xf>
    <xf numFmtId="0" fontId="49" fillId="61" borderId="25" xfId="95" applyFont="1" applyFill="1" applyBorder="1" applyAlignment="1" applyProtection="1">
      <alignment horizontal="left" vertical="center"/>
      <protection/>
    </xf>
    <xf numFmtId="0" fontId="43" fillId="0" borderId="118" xfId="105" applyFont="1" applyBorder="1" applyAlignment="1" applyProtection="1">
      <alignment horizontal="left" vertical="center"/>
      <protection hidden="1"/>
    </xf>
    <xf numFmtId="0" fontId="43" fillId="0" borderId="127" xfId="105" applyFont="1" applyBorder="1" applyAlignment="1" applyProtection="1">
      <alignment horizontal="left" vertical="center"/>
      <protection hidden="1"/>
    </xf>
    <xf numFmtId="0" fontId="47" fillId="54" borderId="154" xfId="105" applyFont="1" applyFill="1" applyBorder="1" applyAlignment="1" applyProtection="1">
      <alignment horizontal="left" vertical="center"/>
      <protection hidden="1"/>
    </xf>
    <xf numFmtId="0" fontId="47" fillId="54" borderId="114" xfId="105" applyFont="1" applyFill="1" applyBorder="1" applyAlignment="1" applyProtection="1">
      <alignment horizontal="left" vertical="center"/>
      <protection hidden="1"/>
    </xf>
    <xf numFmtId="0" fontId="47" fillId="54" borderId="122" xfId="105" applyFont="1" applyFill="1" applyBorder="1" applyAlignment="1" applyProtection="1">
      <alignment horizontal="left" vertical="center"/>
      <protection hidden="1"/>
    </xf>
    <xf numFmtId="0" fontId="36" fillId="28" borderId="38" xfId="105" applyFont="1" applyFill="1" applyBorder="1" applyAlignment="1" applyProtection="1">
      <alignment horizontal="center" vertical="center"/>
      <protection hidden="1"/>
    </xf>
    <xf numFmtId="0" fontId="36" fillId="28" borderId="25" xfId="105" applyFont="1" applyFill="1" applyBorder="1" applyAlignment="1" applyProtection="1">
      <alignment horizontal="center" vertical="center"/>
      <protection hidden="1"/>
    </xf>
    <xf numFmtId="0" fontId="36" fillId="28" borderId="39" xfId="105" applyFont="1" applyFill="1" applyBorder="1" applyAlignment="1" applyProtection="1">
      <alignment horizontal="center" vertical="center"/>
      <protection hidden="1"/>
    </xf>
    <xf numFmtId="0" fontId="47" fillId="0" borderId="108" xfId="95" applyFont="1" applyFill="1" applyBorder="1" applyAlignment="1" applyProtection="1">
      <alignment horizontal="center" vertical="center"/>
      <protection hidden="1"/>
    </xf>
    <xf numFmtId="0" fontId="47" fillId="0" borderId="90" xfId="95" applyFont="1" applyFill="1" applyBorder="1" applyAlignment="1" applyProtection="1">
      <alignment horizontal="center" vertical="center"/>
      <protection hidden="1"/>
    </xf>
    <xf numFmtId="0" fontId="47" fillId="0" borderId="109" xfId="105" applyFont="1" applyBorder="1" applyAlignment="1" applyProtection="1">
      <alignment horizontal="center" vertical="top"/>
      <protection hidden="1"/>
    </xf>
    <xf numFmtId="0" fontId="47" fillId="0" borderId="115" xfId="95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2" xfId="0" applyNumberFormat="1" applyFont="1" applyFill="1" applyBorder="1" applyAlignment="1">
      <alignment horizontal="center" vertical="center"/>
    </xf>
    <xf numFmtId="0" fontId="47" fillId="0" borderId="118" xfId="105" applyFont="1" applyBorder="1" applyAlignment="1" applyProtection="1">
      <alignment horizontal="left" vertical="center"/>
      <protection hidden="1"/>
    </xf>
    <xf numFmtId="0" fontId="47" fillId="0" borderId="30" xfId="105" applyFont="1" applyBorder="1" applyAlignment="1" applyProtection="1">
      <alignment horizontal="left" vertical="center"/>
      <protection hidden="1"/>
    </xf>
    <xf numFmtId="0" fontId="47" fillId="0" borderId="127" xfId="105" applyFont="1" applyBorder="1" applyAlignment="1" applyProtection="1">
      <alignment horizontal="left" vertical="center"/>
      <protection hidden="1"/>
    </xf>
    <xf numFmtId="0" fontId="36" fillId="54" borderId="88" xfId="105" applyFont="1" applyFill="1" applyBorder="1" applyAlignment="1" applyProtection="1">
      <alignment horizontal="left" vertical="center"/>
      <protection hidden="1"/>
    </xf>
    <xf numFmtId="0" fontId="36" fillId="54" borderId="25" xfId="105" applyFont="1" applyFill="1" applyBorder="1" applyAlignment="1" applyProtection="1">
      <alignment horizontal="left" vertical="center"/>
      <protection hidden="1"/>
    </xf>
    <xf numFmtId="0" fontId="36" fillId="54" borderId="46" xfId="105" applyFont="1" applyFill="1" applyBorder="1" applyAlignment="1" applyProtection="1">
      <alignment horizontal="left" vertical="center"/>
      <protection hidden="1"/>
    </xf>
    <xf numFmtId="0" fontId="49" fillId="61" borderId="38" xfId="95" applyFont="1" applyFill="1" applyBorder="1" applyAlignment="1" applyProtection="1">
      <alignment horizontal="left" vertical="center"/>
      <protection hidden="1"/>
    </xf>
    <xf numFmtId="0" fontId="49" fillId="61" borderId="25" xfId="95" applyFont="1" applyFill="1" applyBorder="1" applyAlignment="1" applyProtection="1">
      <alignment horizontal="left" vertical="center"/>
      <protection hidden="1"/>
    </xf>
    <xf numFmtId="0" fontId="36" fillId="53" borderId="88" xfId="105" applyFont="1" applyFill="1" applyBorder="1" applyAlignment="1" applyProtection="1">
      <alignment horizontal="left" vertical="center"/>
      <protection hidden="1"/>
    </xf>
    <xf numFmtId="0" fontId="47" fillId="45" borderId="88" xfId="95" applyFont="1" applyFill="1" applyBorder="1" applyAlignment="1" applyProtection="1">
      <alignment horizontal="center" vertical="center"/>
      <protection/>
    </xf>
    <xf numFmtId="0" fontId="47" fillId="45" borderId="25" xfId="95" applyFont="1" applyFill="1" applyBorder="1" applyAlignment="1" applyProtection="1">
      <alignment horizontal="center" vertical="center"/>
      <protection/>
    </xf>
    <xf numFmtId="0" fontId="47" fillId="45" borderId="46" xfId="95" applyFont="1" applyFill="1" applyBorder="1" applyAlignment="1" applyProtection="1">
      <alignment horizontal="center" vertical="center"/>
      <protection/>
    </xf>
    <xf numFmtId="0" fontId="55" fillId="17" borderId="88" xfId="95" applyFont="1" applyFill="1" applyBorder="1" applyAlignment="1" applyProtection="1">
      <alignment horizontal="center" vertical="center"/>
      <protection/>
    </xf>
    <xf numFmtId="0" fontId="55" fillId="17" borderId="25" xfId="95" applyFont="1" applyFill="1" applyBorder="1" applyAlignment="1" applyProtection="1">
      <alignment horizontal="center" vertical="center"/>
      <protection/>
    </xf>
    <xf numFmtId="0" fontId="55" fillId="17" borderId="46" xfId="95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5" xfId="0" applyFont="1" applyFill="1" applyBorder="1" applyAlignment="1">
      <alignment horizontal="center" vertical="center"/>
    </xf>
    <xf numFmtId="0" fontId="13" fillId="68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5" xfId="0" applyFont="1" applyFill="1" applyBorder="1" applyAlignment="1">
      <alignment horizontal="center" vertical="center"/>
    </xf>
    <xf numFmtId="0" fontId="13" fillId="53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5" xfId="0" applyFont="1" applyFill="1" applyBorder="1" applyAlignment="1" applyProtection="1">
      <alignment horizontal="center" vertical="center" wrapText="1"/>
      <protection locked="0"/>
    </xf>
    <xf numFmtId="0" fontId="13" fillId="53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59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7" fillId="56" borderId="38" xfId="0" applyFont="1" applyFill="1" applyBorder="1" applyAlignment="1" applyProtection="1">
      <alignment horizontal="center" vertical="center"/>
      <protection locked="0"/>
    </xf>
    <xf numFmtId="0" fontId="47" fillId="56" borderId="25" xfId="0" applyFont="1" applyFill="1" applyBorder="1" applyAlignment="1" applyProtection="1">
      <alignment horizontal="center" vertical="center"/>
      <protection locked="0"/>
    </xf>
    <xf numFmtId="0" fontId="47" fillId="56" borderId="39" xfId="0" applyFont="1" applyFill="1" applyBorder="1" applyAlignment="1" applyProtection="1">
      <alignment horizontal="center" vertical="center"/>
      <protection locked="0"/>
    </xf>
    <xf numFmtId="0" fontId="21" fillId="45" borderId="38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7" fillId="60" borderId="118" xfId="95" applyFont="1" applyFill="1" applyBorder="1" applyAlignment="1">
      <alignment horizontal="left" vertical="center" wrapText="1"/>
      <protection/>
    </xf>
    <xf numFmtId="0" fontId="47" fillId="60" borderId="142" xfId="95" applyFont="1" applyFill="1" applyBorder="1" applyAlignment="1">
      <alignment horizontal="left" vertical="center" wrapText="1"/>
      <protection/>
    </xf>
    <xf numFmtId="0" fontId="47" fillId="60" borderId="38" xfId="95" applyFont="1" applyFill="1" applyBorder="1" applyAlignment="1">
      <alignment horizontal="left" vertical="center" wrapText="1"/>
      <protection/>
    </xf>
    <xf numFmtId="0" fontId="47" fillId="60" borderId="39" xfId="95" applyFont="1" applyFill="1" applyBorder="1" applyAlignment="1">
      <alignment horizontal="left" vertical="center" wrapText="1"/>
      <protection/>
    </xf>
    <xf numFmtId="0" fontId="47" fillId="60" borderId="46" xfId="95" applyFont="1" applyFill="1" applyBorder="1" applyAlignment="1">
      <alignment horizontal="left" vertical="center" wrapText="1"/>
      <protection/>
    </xf>
    <xf numFmtId="0" fontId="47" fillId="60" borderId="88" xfId="95" applyFont="1" applyFill="1" applyBorder="1" applyAlignment="1">
      <alignment horizontal="left" vertical="center" wrapText="1"/>
      <protection/>
    </xf>
    <xf numFmtId="0" fontId="42" fillId="0" borderId="49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3" fontId="152" fillId="15" borderId="0" xfId="0" applyNumberFormat="1" applyFont="1" applyFill="1" applyAlignment="1">
      <alignment horizontal="right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156" fillId="59" borderId="0" xfId="0" applyNumberFormat="1" applyFont="1" applyFill="1" applyAlignment="1">
      <alignment horizontal="right" vertical="center"/>
    </xf>
    <xf numFmtId="0" fontId="13" fillId="16" borderId="38" xfId="0" applyFont="1" applyFill="1" applyBorder="1" applyAlignment="1">
      <alignment horizontal="left" vertical="center"/>
    </xf>
    <xf numFmtId="0" fontId="13" fillId="16" borderId="39" xfId="0" applyFont="1" applyFill="1" applyBorder="1" applyAlignment="1">
      <alignment horizontal="left" vertical="center"/>
    </xf>
    <xf numFmtId="0" fontId="14" fillId="57" borderId="38" xfId="0" applyFont="1" applyFill="1" applyBorder="1" applyAlignment="1">
      <alignment horizontal="left" vertical="center"/>
    </xf>
    <xf numFmtId="0" fontId="14" fillId="57" borderId="25" xfId="0" applyFont="1" applyFill="1" applyBorder="1" applyAlignment="1">
      <alignment horizontal="left" vertical="center"/>
    </xf>
    <xf numFmtId="0" fontId="14" fillId="57" borderId="38" xfId="0" applyFont="1" applyFill="1" applyBorder="1" applyAlignment="1">
      <alignment horizontal="left" vertical="center"/>
    </xf>
    <xf numFmtId="0" fontId="14" fillId="57" borderId="39" xfId="0" applyFont="1" applyFill="1" applyBorder="1" applyAlignment="1">
      <alignment horizontal="left" vertical="center"/>
    </xf>
    <xf numFmtId="0" fontId="13" fillId="58" borderId="47" xfId="0" applyFont="1" applyFill="1" applyBorder="1" applyAlignment="1">
      <alignment horizontal="left" vertical="center"/>
    </xf>
    <xf numFmtId="0" fontId="13" fillId="58" borderId="66" xfId="0" applyFont="1" applyFill="1" applyBorder="1" applyAlignment="1">
      <alignment horizontal="left" vertical="center"/>
    </xf>
    <xf numFmtId="0" fontId="9" fillId="0" borderId="0" xfId="104" applyFont="1" applyFill="1" applyBorder="1" applyAlignment="1">
      <alignment horizontal="center"/>
      <protection/>
    </xf>
    <xf numFmtId="0" fontId="22" fillId="0" borderId="0" xfId="104" applyFont="1" applyFill="1" applyBorder="1" applyAlignment="1">
      <alignment horizontal="center"/>
      <protection/>
    </xf>
    <xf numFmtId="0" fontId="42" fillId="0" borderId="40" xfId="107" applyFont="1" applyBorder="1" applyAlignment="1">
      <alignment horizontal="center" vertical="center" wrapText="1"/>
      <protection/>
    </xf>
    <xf numFmtId="0" fontId="42" fillId="0" borderId="23" xfId="107" applyFont="1" applyBorder="1" applyAlignment="1">
      <alignment horizontal="center" vertical="center" wrapText="1"/>
      <protection/>
    </xf>
    <xf numFmtId="0" fontId="42" fillId="0" borderId="131" xfId="107" applyFont="1" applyBorder="1" applyAlignment="1">
      <alignment horizontal="center" vertical="center" wrapText="1"/>
      <protection/>
    </xf>
    <xf numFmtId="0" fontId="42" fillId="0" borderId="122" xfId="107" applyFont="1" applyBorder="1" applyAlignment="1">
      <alignment horizontal="center" vertical="center" wrapText="1"/>
      <protection/>
    </xf>
    <xf numFmtId="0" fontId="42" fillId="0" borderId="121" xfId="107" applyFont="1" applyBorder="1" applyAlignment="1">
      <alignment horizontal="center" vertical="center" wrapText="1"/>
      <protection/>
    </xf>
    <xf numFmtId="0" fontId="42" fillId="0" borderId="154" xfId="107" applyFont="1" applyBorder="1" applyAlignment="1">
      <alignment horizontal="center" vertical="center" wrapText="1"/>
      <protection/>
    </xf>
    <xf numFmtId="0" fontId="42" fillId="0" borderId="38" xfId="107" applyFont="1" applyBorder="1" applyAlignment="1">
      <alignment horizontal="center" vertical="center" wrapText="1"/>
      <protection/>
    </xf>
    <xf numFmtId="0" fontId="42" fillId="0" borderId="25" xfId="107" applyFont="1" applyBorder="1" applyAlignment="1">
      <alignment horizontal="center" vertical="center" wrapText="1"/>
      <protection/>
    </xf>
    <xf numFmtId="0" fontId="42" fillId="0" borderId="39" xfId="107" applyFont="1" applyBorder="1" applyAlignment="1">
      <alignment horizontal="center" vertical="center" wrapText="1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17" fillId="0" borderId="40" xfId="104" applyFont="1" applyFill="1" applyBorder="1" applyAlignment="1">
      <alignment horizontal="center" vertical="center" wrapText="1"/>
      <protection/>
    </xf>
    <xf numFmtId="0" fontId="17" fillId="0" borderId="23" xfId="104" applyFont="1" applyFill="1" applyBorder="1" applyAlignment="1">
      <alignment horizontal="center" vertical="center" wrapText="1"/>
      <protection/>
    </xf>
    <xf numFmtId="0" fontId="14" fillId="57" borderId="40" xfId="104" applyFont="1" applyFill="1" applyBorder="1" applyAlignment="1">
      <alignment horizontal="center" vertical="center" wrapText="1"/>
      <protection/>
    </xf>
    <xf numFmtId="0" fontId="14" fillId="57" borderId="23" xfId="104" applyFont="1" applyFill="1" applyBorder="1" applyAlignment="1">
      <alignment horizontal="center" vertical="center" wrapText="1"/>
      <protection/>
    </xf>
    <xf numFmtId="0" fontId="17" fillId="0" borderId="107" xfId="104" applyFont="1" applyFill="1" applyBorder="1" applyAlignment="1">
      <alignment horizontal="center" vertical="center" wrapText="1"/>
      <protection/>
    </xf>
    <xf numFmtId="0" fontId="14" fillId="0" borderId="135" xfId="104" applyFont="1" applyFill="1" applyBorder="1" applyAlignment="1">
      <alignment horizontal="center" vertical="center" wrapText="1"/>
      <protection/>
    </xf>
    <xf numFmtId="0" fontId="9" fillId="0" borderId="0" xfId="104" applyFont="1" applyFill="1" applyBorder="1" applyAlignment="1">
      <alignment horizontal="center" vertical="center"/>
      <protection/>
    </xf>
    <xf numFmtId="0" fontId="10" fillId="0" borderId="40" xfId="104" applyFont="1" applyFill="1" applyBorder="1" applyAlignment="1">
      <alignment horizontal="center" vertical="center" wrapText="1"/>
      <protection/>
    </xf>
    <xf numFmtId="0" fontId="10" fillId="0" borderId="49" xfId="104" applyFont="1" applyFill="1" applyBorder="1" applyAlignment="1">
      <alignment horizontal="center" vertical="center" wrapText="1"/>
      <protection/>
    </xf>
    <xf numFmtId="0" fontId="10" fillId="0" borderId="23" xfId="104" applyFont="1" applyFill="1" applyBorder="1" applyAlignment="1">
      <alignment horizontal="center" vertical="center" wrapText="1"/>
      <protection/>
    </xf>
    <xf numFmtId="0" fontId="23" fillId="0" borderId="40" xfId="104" applyFont="1" applyFill="1" applyBorder="1" applyAlignment="1">
      <alignment horizontal="center" vertical="center" wrapText="1"/>
      <protection/>
    </xf>
    <xf numFmtId="0" fontId="23" fillId="0" borderId="49" xfId="104" applyFont="1" applyFill="1" applyBorder="1" applyAlignment="1">
      <alignment horizontal="center" vertical="center" wrapText="1"/>
      <protection/>
    </xf>
    <xf numFmtId="0" fontId="23" fillId="0" borderId="23" xfId="104" applyFont="1" applyFill="1" applyBorder="1" applyAlignment="1">
      <alignment horizontal="center" vertical="center" wrapText="1"/>
      <protection/>
    </xf>
    <xf numFmtId="0" fontId="17" fillId="0" borderId="42" xfId="104" applyFont="1" applyFill="1" applyBorder="1" applyAlignment="1">
      <alignment horizontal="center" vertical="center" wrapText="1"/>
      <protection/>
    </xf>
    <xf numFmtId="0" fontId="14" fillId="0" borderId="114" xfId="104" applyFont="1" applyFill="1" applyBorder="1" applyAlignment="1">
      <alignment horizontal="center" vertical="center" wrapText="1"/>
      <protection/>
    </xf>
    <xf numFmtId="0" fontId="10" fillId="0" borderId="38" xfId="104" applyFont="1" applyFill="1" applyBorder="1" applyAlignment="1">
      <alignment horizontal="center" vertical="center" wrapText="1"/>
      <protection/>
    </xf>
    <xf numFmtId="0" fontId="10" fillId="0" borderId="25" xfId="104" applyFont="1" applyFill="1" applyBorder="1" applyAlignment="1">
      <alignment horizontal="center" vertical="center" wrapText="1"/>
      <protection/>
    </xf>
    <xf numFmtId="0" fontId="10" fillId="0" borderId="39" xfId="104" applyFont="1" applyFill="1" applyBorder="1" applyAlignment="1">
      <alignment horizontal="center" vertical="center" wrapText="1"/>
      <protection/>
    </xf>
    <xf numFmtId="0" fontId="17" fillId="0" borderId="108" xfId="104" applyFont="1" applyFill="1" applyBorder="1" applyAlignment="1">
      <alignment horizontal="center" vertical="center" wrapText="1"/>
      <protection/>
    </xf>
    <xf numFmtId="0" fontId="17" fillId="0" borderId="115" xfId="104" applyFont="1" applyFill="1" applyBorder="1" applyAlignment="1">
      <alignment horizontal="center" vertical="center" wrapText="1"/>
      <protection/>
    </xf>
    <xf numFmtId="0" fontId="17" fillId="0" borderId="131" xfId="104" applyFont="1" applyFill="1" applyBorder="1" applyAlignment="1">
      <alignment horizontal="center" vertical="center" wrapText="1"/>
      <protection/>
    </xf>
    <xf numFmtId="0" fontId="17" fillId="0" borderId="122" xfId="104" applyFont="1" applyFill="1" applyBorder="1" applyAlignment="1">
      <alignment horizontal="center" vertical="center" wrapText="1"/>
      <protection/>
    </xf>
  </cellXfs>
  <cellStyles count="10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 2" xfId="76"/>
    <cellStyle name="Jelölőszín (2) 2" xfId="77"/>
    <cellStyle name="Jelölőszín (3) 2" xfId="78"/>
    <cellStyle name="Jelölőszín (4) 2" xfId="79"/>
    <cellStyle name="Jelölőszín (5) 2" xfId="80"/>
    <cellStyle name="Jelölőszín (6) 2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Normál 2" xfId="95"/>
    <cellStyle name="Normál 2 2" xfId="96"/>
    <cellStyle name="Normál 3" xfId="97"/>
    <cellStyle name="Normál 3 2" xfId="98"/>
    <cellStyle name="Normál_GÖRDÜLŐ" xfId="99"/>
    <cellStyle name="Normál_gördülő2" xfId="100"/>
    <cellStyle name="Normál_kiad2003eredeti" xfId="101"/>
    <cellStyle name="Normál_kiad2004eredeti HIVATALI AJÁNLOTT" xfId="102"/>
    <cellStyle name="Normál_kiad2006eredeti(4)" xfId="103"/>
    <cellStyle name="Normál_kiadásössz" xfId="104"/>
    <cellStyle name="Normál_KVFORMÁTUM" xfId="105"/>
    <cellStyle name="Normál_Önkbevét+Intézm." xfId="106"/>
    <cellStyle name="Normál_ÖSSZESSÍTETT pályázatok 2" xfId="107"/>
    <cellStyle name="Normál_Városüzemeltetés Kht." xfId="108"/>
    <cellStyle name="Normál_x4. sz. melléklet-VÜZ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zámítás" xfId="118"/>
    <cellStyle name="Számítás 2" xfId="119"/>
    <cellStyle name="Percen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21\02%20febru&#225;r\Febru&#225;r%2018\kiad2020_m&#243;dos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Városfejlesztő Kft"/>
      <sheetName val="Tartalék"/>
      <sheetName val="Polgármesteri Hivatal"/>
      <sheetName val="PH-Számítástechnika"/>
      <sheetName val="Igazgatási feladatok"/>
      <sheetName val="Közterület-Felügyelet(Hivatal)"/>
      <sheetName val="Építéshatósági feladatok"/>
      <sheetName val="Munka1"/>
    </sheetNames>
    <sheetDataSet>
      <sheetData sheetId="18">
        <row r="36">
          <cell r="T36">
            <v>858005</v>
          </cell>
        </row>
        <row r="38">
          <cell r="T38">
            <v>17724</v>
          </cell>
        </row>
        <row r="42">
          <cell r="T42">
            <v>31133</v>
          </cell>
        </row>
        <row r="45">
          <cell r="T45">
            <v>1340</v>
          </cell>
        </row>
        <row r="48">
          <cell r="T48">
            <v>51749</v>
          </cell>
        </row>
        <row r="103">
          <cell r="T103">
            <v>2156407</v>
          </cell>
        </row>
        <row r="106">
          <cell r="V106">
            <v>38263</v>
          </cell>
        </row>
        <row r="110">
          <cell r="V110">
            <v>3595</v>
          </cell>
        </row>
        <row r="113">
          <cell r="V113">
            <v>12421</v>
          </cell>
        </row>
        <row r="117">
          <cell r="V117">
            <v>16906</v>
          </cell>
        </row>
        <row r="140">
          <cell r="T140">
            <v>435443</v>
          </cell>
        </row>
        <row r="141">
          <cell r="T141">
            <v>3500</v>
          </cell>
        </row>
        <row r="142">
          <cell r="T142">
            <v>171218</v>
          </cell>
        </row>
        <row r="143">
          <cell r="T143">
            <v>20850</v>
          </cell>
        </row>
        <row r="161">
          <cell r="T161">
            <v>210500</v>
          </cell>
        </row>
        <row r="162">
          <cell r="T162">
            <v>84180</v>
          </cell>
        </row>
        <row r="164">
          <cell r="T164">
            <v>12011</v>
          </cell>
        </row>
        <row r="167">
          <cell r="T167">
            <v>12250</v>
          </cell>
        </row>
        <row r="168">
          <cell r="T168">
            <v>209680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showGridLines="0" zoomScale="80" zoomScaleNormal="80" zoomScalePageLayoutView="0" workbookViewId="0" topLeftCell="A1">
      <pane xSplit="6" ySplit="7" topLeftCell="G26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I1" sqref="I1"/>
    </sheetView>
  </sheetViews>
  <sheetFormatPr defaultColWidth="9.00390625" defaultRowHeight="12.75"/>
  <cols>
    <col min="1" max="1" width="6.875" style="561" customWidth="1"/>
    <col min="2" max="2" width="7.375" style="561" customWidth="1"/>
    <col min="3" max="3" width="11.50390625" style="563" customWidth="1"/>
    <col min="4" max="4" width="6.875" style="563" customWidth="1"/>
    <col min="5" max="5" width="83.875" style="563" customWidth="1"/>
    <col min="6" max="6" width="9.375" style="563" customWidth="1"/>
    <col min="7" max="7" width="16.50390625" style="573" customWidth="1"/>
    <col min="8" max="8" width="17.125" style="573" customWidth="1"/>
    <col min="9" max="9" width="18.00390625" style="573" customWidth="1"/>
    <col min="10" max="10" width="16.125" style="1707" customWidth="1"/>
    <col min="11" max="11" width="15.625" style="730" customWidth="1"/>
  </cols>
  <sheetData>
    <row r="1" spans="3:9" ht="14.25">
      <c r="C1" s="562"/>
      <c r="I1" s="574" t="s">
        <v>877</v>
      </c>
    </row>
    <row r="2" ht="13.5" customHeight="1">
      <c r="I2" s="574" t="s">
        <v>93</v>
      </c>
    </row>
    <row r="3" spans="1:10" s="571" customFormat="1" ht="30.75" customHeight="1">
      <c r="A3" s="1816" t="s">
        <v>577</v>
      </c>
      <c r="B3" s="1816"/>
      <c r="C3" s="1816"/>
      <c r="D3" s="1816"/>
      <c r="E3" s="1816"/>
      <c r="F3" s="1816"/>
      <c r="G3" s="1816"/>
      <c r="H3" s="1816"/>
      <c r="I3" s="1816"/>
      <c r="J3" s="1173"/>
    </row>
    <row r="4" spans="1:10" s="568" customFormat="1" ht="21" customHeight="1">
      <c r="A4" s="1839" t="s">
        <v>582</v>
      </c>
      <c r="B4" s="1839"/>
      <c r="C4" s="1839"/>
      <c r="D4" s="1839"/>
      <c r="E4" s="1839"/>
      <c r="F4" s="1839"/>
      <c r="G4" s="1839"/>
      <c r="H4" s="1839"/>
      <c r="I4" s="1839"/>
      <c r="J4" s="1174"/>
    </row>
    <row r="5" ht="24" customHeight="1" thickBot="1">
      <c r="I5" s="574" t="s">
        <v>134</v>
      </c>
    </row>
    <row r="6" spans="1:11" s="566" customFormat="1" ht="66" customHeight="1" thickBot="1">
      <c r="A6" s="567" t="s">
        <v>307</v>
      </c>
      <c r="B6" s="1817" t="s">
        <v>308</v>
      </c>
      <c r="C6" s="1817"/>
      <c r="D6" s="1817"/>
      <c r="E6" s="1818"/>
      <c r="F6" s="595" t="s">
        <v>221</v>
      </c>
      <c r="G6" s="1009" t="s">
        <v>663</v>
      </c>
      <c r="H6" s="1010" t="s">
        <v>424</v>
      </c>
      <c r="I6" s="590" t="s">
        <v>660</v>
      </c>
      <c r="J6" s="1711"/>
      <c r="K6" s="1712"/>
    </row>
    <row r="7" spans="1:11" s="998" customFormat="1" ht="10.5" customHeight="1" thickBot="1">
      <c r="A7" s="999">
        <v>1</v>
      </c>
      <c r="B7" s="1833">
        <v>2</v>
      </c>
      <c r="C7" s="1834"/>
      <c r="D7" s="1834"/>
      <c r="E7" s="1835"/>
      <c r="F7" s="1000">
        <v>3</v>
      </c>
      <c r="G7" s="1001">
        <v>4</v>
      </c>
      <c r="H7" s="1002">
        <v>5</v>
      </c>
      <c r="I7" s="1003">
        <v>6</v>
      </c>
      <c r="J7" s="1713"/>
      <c r="K7" s="1714"/>
    </row>
    <row r="8" spans="1:11" s="208" customFormat="1" ht="17.25" customHeight="1" thickBot="1">
      <c r="A8" s="618">
        <v>1</v>
      </c>
      <c r="B8" s="1819" t="s">
        <v>309</v>
      </c>
      <c r="C8" s="1819"/>
      <c r="D8" s="1819"/>
      <c r="E8" s="1820"/>
      <c r="F8" s="619" t="s">
        <v>224</v>
      </c>
      <c r="G8" s="858">
        <f>SUM(G9:G14)</f>
        <v>2188607</v>
      </c>
      <c r="H8" s="858">
        <f>SUM(H9:H14)</f>
        <v>12749</v>
      </c>
      <c r="I8" s="1170">
        <f>SUM(I9:I14)</f>
        <v>2201356</v>
      </c>
      <c r="J8" s="732"/>
      <c r="K8" s="1593">
        <f>hivatal9!K36</f>
        <v>2201356</v>
      </c>
    </row>
    <row r="9" spans="1:11" s="94" customFormat="1" ht="15.75" customHeight="1">
      <c r="A9" s="636"/>
      <c r="B9" s="634" t="s">
        <v>98</v>
      </c>
      <c r="C9" s="1842" t="s">
        <v>225</v>
      </c>
      <c r="D9" s="1843"/>
      <c r="E9" s="1844"/>
      <c r="F9" s="623" t="s">
        <v>226</v>
      </c>
      <c r="G9" s="1025">
        <v>1862</v>
      </c>
      <c r="H9" s="624">
        <v>373</v>
      </c>
      <c r="I9" s="625">
        <f aca="true" t="shared" si="0" ref="I9:I15">SUM(G9:H9)</f>
        <v>2235</v>
      </c>
      <c r="J9" s="732"/>
      <c r="K9" s="728"/>
    </row>
    <row r="10" spans="1:11" s="94" customFormat="1" ht="14.25">
      <c r="A10" s="636"/>
      <c r="B10" s="604" t="s">
        <v>99</v>
      </c>
      <c r="C10" s="1789" t="s">
        <v>227</v>
      </c>
      <c r="D10" s="1790"/>
      <c r="E10" s="1791"/>
      <c r="F10" s="596" t="s">
        <v>228</v>
      </c>
      <c r="G10" s="1413">
        <v>1008686</v>
      </c>
      <c r="H10" s="578">
        <v>-10082</v>
      </c>
      <c r="I10" s="625">
        <f t="shared" si="0"/>
        <v>998604</v>
      </c>
      <c r="J10" s="732"/>
      <c r="K10" s="728"/>
    </row>
    <row r="11" spans="1:11" s="94" customFormat="1" ht="14.25">
      <c r="A11" s="636"/>
      <c r="B11" s="604" t="s">
        <v>100</v>
      </c>
      <c r="C11" s="1830" t="s">
        <v>229</v>
      </c>
      <c r="D11" s="1831"/>
      <c r="E11" s="1832"/>
      <c r="F11" s="596" t="s">
        <v>230</v>
      </c>
      <c r="G11" s="1413">
        <v>916660</v>
      </c>
      <c r="H11" s="578">
        <f>21697+17387-19909+1463</f>
        <v>20638</v>
      </c>
      <c r="I11" s="625">
        <f t="shared" si="0"/>
        <v>937298</v>
      </c>
      <c r="J11" s="1706">
        <f>SUM(I9:I11)</f>
        <v>1938137</v>
      </c>
      <c r="K11" s="728"/>
    </row>
    <row r="12" spans="1:11" s="94" customFormat="1" ht="14.25">
      <c r="A12" s="636"/>
      <c r="B12" s="604" t="s">
        <v>101</v>
      </c>
      <c r="C12" s="1789" t="s">
        <v>231</v>
      </c>
      <c r="D12" s="1790"/>
      <c r="E12" s="1791"/>
      <c r="F12" s="596" t="s">
        <v>232</v>
      </c>
      <c r="G12" s="1413">
        <v>242097</v>
      </c>
      <c r="H12" s="578">
        <v>1820</v>
      </c>
      <c r="I12" s="625">
        <f t="shared" si="0"/>
        <v>243917</v>
      </c>
      <c r="J12" s="732"/>
      <c r="K12" s="728"/>
    </row>
    <row r="13" spans="1:11" s="94" customFormat="1" ht="14.25">
      <c r="A13" s="636"/>
      <c r="B13" s="604" t="s">
        <v>192</v>
      </c>
      <c r="C13" s="1789" t="s">
        <v>510</v>
      </c>
      <c r="D13" s="1790"/>
      <c r="E13" s="1791"/>
      <c r="F13" s="596" t="s">
        <v>233</v>
      </c>
      <c r="G13" s="585"/>
      <c r="H13" s="578"/>
      <c r="I13" s="625">
        <f t="shared" si="0"/>
        <v>0</v>
      </c>
      <c r="J13" s="732"/>
      <c r="K13" s="728"/>
    </row>
    <row r="14" spans="1:11" s="94" customFormat="1" ht="15" thickBot="1">
      <c r="A14" s="637"/>
      <c r="B14" s="612" t="s">
        <v>327</v>
      </c>
      <c r="C14" s="1813" t="s">
        <v>511</v>
      </c>
      <c r="D14" s="1814"/>
      <c r="E14" s="1815"/>
      <c r="F14" s="627" t="s">
        <v>234</v>
      </c>
      <c r="G14" s="587">
        <v>19302</v>
      </c>
      <c r="H14" s="579"/>
      <c r="I14" s="625">
        <f t="shared" si="0"/>
        <v>19302</v>
      </c>
      <c r="J14" s="732"/>
      <c r="K14" s="728"/>
    </row>
    <row r="15" spans="1:11" s="94" customFormat="1" ht="15.75" thickBot="1">
      <c r="A15" s="635">
        <v>2</v>
      </c>
      <c r="B15" s="1821" t="s">
        <v>235</v>
      </c>
      <c r="C15" s="1819"/>
      <c r="D15" s="1819"/>
      <c r="E15" s="1820"/>
      <c r="F15" s="669" t="s">
        <v>236</v>
      </c>
      <c r="G15" s="628">
        <v>20693</v>
      </c>
      <c r="H15" s="629"/>
      <c r="I15" s="622">
        <f t="shared" si="0"/>
        <v>20693</v>
      </c>
      <c r="J15" s="732"/>
      <c r="K15" s="728"/>
    </row>
    <row r="16" spans="1:11" s="233" customFormat="1" ht="14.25" customHeight="1" thickBot="1">
      <c r="A16" s="1033">
        <v>3</v>
      </c>
      <c r="B16" s="1822" t="s">
        <v>237</v>
      </c>
      <c r="C16" s="1819"/>
      <c r="D16" s="1819"/>
      <c r="E16" s="1820"/>
      <c r="F16" s="1036" t="s">
        <v>238</v>
      </c>
      <c r="G16" s="858">
        <f>SUM(G17:G19)</f>
        <v>291310</v>
      </c>
      <c r="H16" s="858">
        <f>SUM(H17:H19)</f>
        <v>60995</v>
      </c>
      <c r="I16" s="1021">
        <f>SUM(I17:I19)</f>
        <v>352305</v>
      </c>
      <c r="J16" s="732"/>
      <c r="K16" s="1706">
        <f>hivatal9!K39</f>
        <v>352305</v>
      </c>
    </row>
    <row r="17" spans="1:11" s="208" customFormat="1" ht="15" customHeight="1">
      <c r="A17" s="608"/>
      <c r="B17" s="1807"/>
      <c r="C17" s="761" t="s">
        <v>243</v>
      </c>
      <c r="D17" s="1823" t="s">
        <v>552</v>
      </c>
      <c r="E17" s="1824"/>
      <c r="F17" s="1034" t="s">
        <v>238</v>
      </c>
      <c r="G17" s="664">
        <v>157513</v>
      </c>
      <c r="H17" s="665">
        <v>15016</v>
      </c>
      <c r="I17" s="1035">
        <f>SUM(G17:H17)</f>
        <v>172529</v>
      </c>
      <c r="J17" s="732"/>
      <c r="K17" s="728"/>
    </row>
    <row r="18" spans="1:11" s="208" customFormat="1" ht="14.25">
      <c r="A18" s="608"/>
      <c r="B18" s="1807"/>
      <c r="C18" s="1199" t="s">
        <v>243</v>
      </c>
      <c r="D18" s="1825" t="s">
        <v>310</v>
      </c>
      <c r="E18" s="1826"/>
      <c r="F18" s="572" t="s">
        <v>238</v>
      </c>
      <c r="G18" s="593"/>
      <c r="H18" s="593"/>
      <c r="I18" s="1035">
        <f>SUM(G18:H18)</f>
        <v>0</v>
      </c>
      <c r="J18" s="732"/>
      <c r="K18" s="728"/>
    </row>
    <row r="19" spans="1:11" s="208" customFormat="1" ht="15" thickBot="1">
      <c r="A19" s="608"/>
      <c r="B19" s="1808"/>
      <c r="C19" s="761" t="s">
        <v>243</v>
      </c>
      <c r="D19" s="1823" t="s">
        <v>351</v>
      </c>
      <c r="E19" s="1824"/>
      <c r="F19" s="572" t="s">
        <v>238</v>
      </c>
      <c r="G19" s="664">
        <v>133797</v>
      </c>
      <c r="H19" s="665">
        <f>21366-1814-1774+1500+537+40360-14196</f>
        <v>45979</v>
      </c>
      <c r="I19" s="575">
        <f>SUM(G19:H19)</f>
        <v>179776</v>
      </c>
      <c r="J19" s="732"/>
      <c r="K19" s="728"/>
    </row>
    <row r="20" spans="1:15" s="208" customFormat="1" ht="18.75" customHeight="1" thickBot="1">
      <c r="A20" s="679" t="s">
        <v>95</v>
      </c>
      <c r="B20" s="1809" t="s">
        <v>222</v>
      </c>
      <c r="C20" s="1810"/>
      <c r="D20" s="1810"/>
      <c r="E20" s="1811"/>
      <c r="F20" s="680" t="s">
        <v>223</v>
      </c>
      <c r="G20" s="681">
        <f>G8+G15+G16</f>
        <v>2500610</v>
      </c>
      <c r="H20" s="681">
        <f>H8+H15+H16</f>
        <v>73744</v>
      </c>
      <c r="I20" s="682">
        <f>I8+I15+I16</f>
        <v>2574354</v>
      </c>
      <c r="J20" s="1706">
        <f>SUM(G20:H20)</f>
        <v>2574354</v>
      </c>
      <c r="K20" s="1593">
        <f>hivatal9!K40</f>
        <v>2574354</v>
      </c>
      <c r="O20" s="570"/>
    </row>
    <row r="21" spans="1:11" s="208" customFormat="1" ht="15.75" thickBot="1">
      <c r="A21" s="618">
        <v>1</v>
      </c>
      <c r="B21" s="1819" t="s">
        <v>241</v>
      </c>
      <c r="C21" s="1819"/>
      <c r="D21" s="1819"/>
      <c r="E21" s="1820"/>
      <c r="F21" s="619" t="s">
        <v>242</v>
      </c>
      <c r="G21" s="620">
        <v>0</v>
      </c>
      <c r="H21" s="621">
        <v>0</v>
      </c>
      <c r="I21" s="626">
        <f>SUM(G21:H21)</f>
        <v>0</v>
      </c>
      <c r="J21" s="732"/>
      <c r="K21" s="728"/>
    </row>
    <row r="22" spans="1:11" s="208" customFormat="1" ht="15">
      <c r="A22" s="631">
        <v>2</v>
      </c>
      <c r="B22" s="1840" t="s">
        <v>244</v>
      </c>
      <c r="C22" s="1840"/>
      <c r="D22" s="1840"/>
      <c r="E22" s="1841"/>
      <c r="F22" s="606" t="s">
        <v>245</v>
      </c>
      <c r="G22" s="617">
        <f>SUM(G23:G25)</f>
        <v>1613000</v>
      </c>
      <c r="H22" s="584">
        <f>SUM(H23:H25)</f>
        <v>26217</v>
      </c>
      <c r="I22" s="584">
        <f>SUM(I23:I25)</f>
        <v>1639217</v>
      </c>
      <c r="J22" s="1706">
        <f>SUM(I23:I25)</f>
        <v>1639217</v>
      </c>
      <c r="K22" s="1593">
        <f>hivatal9!K42</f>
        <v>1639217</v>
      </c>
    </row>
    <row r="23" spans="1:11" s="94" customFormat="1" ht="14.25">
      <c r="A23" s="608"/>
      <c r="B23" s="604" t="s">
        <v>98</v>
      </c>
      <c r="C23" s="1789" t="s">
        <v>96</v>
      </c>
      <c r="D23" s="1790"/>
      <c r="E23" s="1791"/>
      <c r="F23" s="598" t="s">
        <v>245</v>
      </c>
      <c r="G23" s="586">
        <v>1078000</v>
      </c>
      <c r="H23" s="593">
        <v>-13372</v>
      </c>
      <c r="I23" s="592">
        <f>SUM(G23:H23)</f>
        <v>1064628</v>
      </c>
      <c r="J23" s="732"/>
      <c r="K23" s="728"/>
    </row>
    <row r="24" spans="1:11" s="94" customFormat="1" ht="14.25">
      <c r="A24" s="608"/>
      <c r="B24" s="604" t="s">
        <v>99</v>
      </c>
      <c r="C24" s="1789" t="s">
        <v>103</v>
      </c>
      <c r="D24" s="1790"/>
      <c r="E24" s="1791"/>
      <c r="F24" s="598" t="s">
        <v>245</v>
      </c>
      <c r="G24" s="586">
        <v>35000</v>
      </c>
      <c r="H24" s="593">
        <v>15094</v>
      </c>
      <c r="I24" s="592">
        <f>SUM(G24:H24)</f>
        <v>50094</v>
      </c>
      <c r="J24" s="732"/>
      <c r="K24" s="728"/>
    </row>
    <row r="25" spans="1:11" s="94" customFormat="1" ht="15" thickBot="1">
      <c r="A25" s="608"/>
      <c r="B25" s="612" t="s">
        <v>100</v>
      </c>
      <c r="C25" s="1792" t="s">
        <v>97</v>
      </c>
      <c r="D25" s="1793"/>
      <c r="E25" s="1794"/>
      <c r="F25" s="643" t="s">
        <v>245</v>
      </c>
      <c r="G25" s="588">
        <v>500000</v>
      </c>
      <c r="H25" s="594">
        <v>24495</v>
      </c>
      <c r="I25" s="592">
        <f>SUM(G25:H25)</f>
        <v>524495</v>
      </c>
      <c r="J25" s="732"/>
      <c r="K25" s="728"/>
    </row>
    <row r="26" spans="1:11" s="208" customFormat="1" ht="15" customHeight="1">
      <c r="A26" s="631">
        <v>3</v>
      </c>
      <c r="B26" s="1836" t="s">
        <v>246</v>
      </c>
      <c r="C26" s="1837"/>
      <c r="D26" s="1837"/>
      <c r="E26" s="1838"/>
      <c r="F26" s="603" t="s">
        <v>247</v>
      </c>
      <c r="G26" s="613">
        <f>G27+G29+G30+G28</f>
        <v>4868450</v>
      </c>
      <c r="H26" s="613">
        <f>H27+H29+H30+H28</f>
        <v>-889066</v>
      </c>
      <c r="I26" s="614">
        <f>I27+I29+I30+I28</f>
        <v>3979384</v>
      </c>
      <c r="J26" s="732"/>
      <c r="K26" s="1593">
        <f>hivatal9!K43</f>
        <v>3979384</v>
      </c>
    </row>
    <row r="27" spans="1:11" s="208" customFormat="1" ht="14.25">
      <c r="A27" s="608"/>
      <c r="B27" s="604" t="s">
        <v>98</v>
      </c>
      <c r="C27" s="1789" t="s">
        <v>367</v>
      </c>
      <c r="D27" s="1790"/>
      <c r="E27" s="1791"/>
      <c r="F27" s="597" t="s">
        <v>248</v>
      </c>
      <c r="G27" s="940">
        <v>4861006</v>
      </c>
      <c r="H27" s="575">
        <v>-889107</v>
      </c>
      <c r="I27" s="575">
        <f>SUM(G27:H27)</f>
        <v>3971899</v>
      </c>
      <c r="J27" s="732"/>
      <c r="K27" s="728"/>
    </row>
    <row r="28" spans="1:11" s="208" customFormat="1" ht="14.25">
      <c r="A28" s="608"/>
      <c r="B28" s="604" t="s">
        <v>99</v>
      </c>
      <c r="C28" s="1051" t="s">
        <v>478</v>
      </c>
      <c r="D28" s="1052"/>
      <c r="E28" s="597"/>
      <c r="F28" s="597" t="s">
        <v>479</v>
      </c>
      <c r="G28" s="940"/>
      <c r="H28" s="575"/>
      <c r="I28" s="575">
        <f>SUM(G28:H28)</f>
        <v>0</v>
      </c>
      <c r="J28" s="732"/>
      <c r="K28" s="728"/>
    </row>
    <row r="29" spans="1:11" s="94" customFormat="1" ht="14.25">
      <c r="A29" s="608"/>
      <c r="B29" s="604" t="s">
        <v>100</v>
      </c>
      <c r="C29" s="1789" t="s">
        <v>104</v>
      </c>
      <c r="D29" s="1790"/>
      <c r="E29" s="1791"/>
      <c r="F29" s="597" t="s">
        <v>249</v>
      </c>
      <c r="G29" s="940">
        <v>6674</v>
      </c>
      <c r="H29" s="575"/>
      <c r="I29" s="575">
        <f>SUM(G29:H29)</f>
        <v>6674</v>
      </c>
      <c r="J29" s="732"/>
      <c r="K29" s="728"/>
    </row>
    <row r="30" spans="1:11" s="94" customFormat="1" ht="15">
      <c r="A30" s="608"/>
      <c r="B30" s="1798" t="s">
        <v>101</v>
      </c>
      <c r="C30" s="1789" t="s">
        <v>250</v>
      </c>
      <c r="D30" s="1790"/>
      <c r="E30" s="1791"/>
      <c r="F30" s="607" t="s">
        <v>251</v>
      </c>
      <c r="G30" s="659">
        <f>SUM(G31:G32)</f>
        <v>770</v>
      </c>
      <c r="H30" s="659">
        <f>SUM(H31:H32)</f>
        <v>41</v>
      </c>
      <c r="I30" s="576">
        <f>SUM(I31:I32)</f>
        <v>811</v>
      </c>
      <c r="J30" s="732"/>
      <c r="K30" s="728"/>
    </row>
    <row r="31" spans="1:11" s="94" customFormat="1" ht="14.25">
      <c r="A31" s="608"/>
      <c r="B31" s="1799"/>
      <c r="C31" s="704" t="s">
        <v>243</v>
      </c>
      <c r="D31" s="1176" t="s">
        <v>506</v>
      </c>
      <c r="E31" s="597"/>
      <c r="F31" s="598" t="s">
        <v>251</v>
      </c>
      <c r="G31" s="1185">
        <v>770</v>
      </c>
      <c r="H31" s="1185">
        <v>41</v>
      </c>
      <c r="I31" s="865">
        <f>SUM(G31:H31)</f>
        <v>811</v>
      </c>
      <c r="J31" s="732"/>
      <c r="K31" s="728"/>
    </row>
    <row r="32" spans="1:11" s="1012" customFormat="1" ht="14.25" customHeight="1" thickBot="1">
      <c r="A32" s="1013"/>
      <c r="B32" s="1800"/>
      <c r="C32" s="723" t="s">
        <v>243</v>
      </c>
      <c r="D32" s="610" t="s">
        <v>352</v>
      </c>
      <c r="E32" s="611"/>
      <c r="F32" s="643" t="s">
        <v>251</v>
      </c>
      <c r="G32" s="1014"/>
      <c r="H32" s="945"/>
      <c r="I32" s="1186">
        <f>SUM(G32:H32)</f>
        <v>0</v>
      </c>
      <c r="J32" s="1011"/>
      <c r="K32" s="707"/>
    </row>
    <row r="33" spans="1:11" s="208" customFormat="1" ht="14.25" customHeight="1">
      <c r="A33" s="631">
        <v>4</v>
      </c>
      <c r="B33" s="1836" t="s">
        <v>252</v>
      </c>
      <c r="C33" s="1837"/>
      <c r="D33" s="1837"/>
      <c r="E33" s="1837"/>
      <c r="F33" s="1262" t="s">
        <v>253</v>
      </c>
      <c r="G33" s="1258">
        <f>SUM(G34:G39)</f>
        <v>33757</v>
      </c>
      <c r="H33" s="614">
        <f>SUM(H34:H39)</f>
        <v>1915</v>
      </c>
      <c r="I33" s="1258">
        <f>SUM(I34:I39)</f>
        <v>35672</v>
      </c>
      <c r="J33" s="1706">
        <f>SUM(G33:H33)</f>
        <v>35672</v>
      </c>
      <c r="K33" s="1593">
        <f>hivatal9!K44</f>
        <v>35672</v>
      </c>
    </row>
    <row r="34" spans="1:11" s="94" customFormat="1" ht="14.25" customHeight="1">
      <c r="A34" s="608"/>
      <c r="B34" s="1827"/>
      <c r="C34" s="704" t="s">
        <v>243</v>
      </c>
      <c r="D34" s="1789" t="s">
        <v>48</v>
      </c>
      <c r="E34" s="1790"/>
      <c r="F34" s="572" t="s">
        <v>253</v>
      </c>
      <c r="G34" s="1256">
        <v>32</v>
      </c>
      <c r="H34" s="593">
        <v>12</v>
      </c>
      <c r="I34" s="592">
        <f>SUM(G34:H34)</f>
        <v>44</v>
      </c>
      <c r="J34" s="732"/>
      <c r="K34" s="728"/>
    </row>
    <row r="35" spans="1:11" s="94" customFormat="1" ht="14.25" customHeight="1">
      <c r="A35" s="608"/>
      <c r="B35" s="1828"/>
      <c r="C35" s="704" t="s">
        <v>243</v>
      </c>
      <c r="D35" s="1789" t="s">
        <v>793</v>
      </c>
      <c r="E35" s="1790"/>
      <c r="F35" s="572" t="s">
        <v>253</v>
      </c>
      <c r="G35" s="1256">
        <v>6510</v>
      </c>
      <c r="H35" s="593">
        <v>143</v>
      </c>
      <c r="I35" s="592">
        <f>SUM(G35:H35)</f>
        <v>6653</v>
      </c>
      <c r="J35" s="732"/>
      <c r="K35" s="728"/>
    </row>
    <row r="36" spans="1:11" s="94" customFormat="1" ht="14.25" customHeight="1">
      <c r="A36" s="608"/>
      <c r="B36" s="1828"/>
      <c r="C36" s="704" t="s">
        <v>243</v>
      </c>
      <c r="D36" s="1789" t="s">
        <v>325</v>
      </c>
      <c r="E36" s="1790"/>
      <c r="F36" s="572" t="s">
        <v>253</v>
      </c>
      <c r="G36" s="1256"/>
      <c r="H36" s="593"/>
      <c r="I36" s="592">
        <f>SUM(G36:H36)</f>
        <v>0</v>
      </c>
      <c r="J36" s="732"/>
      <c r="K36" s="728"/>
    </row>
    <row r="37" spans="1:11" s="208" customFormat="1" ht="14.25" customHeight="1">
      <c r="A37" s="609"/>
      <c r="B37" s="1828"/>
      <c r="C37" s="704" t="s">
        <v>243</v>
      </c>
      <c r="D37" s="1789" t="s">
        <v>326</v>
      </c>
      <c r="E37" s="1790"/>
      <c r="F37" s="572" t="s">
        <v>253</v>
      </c>
      <c r="G37" s="1256"/>
      <c r="H37" s="593"/>
      <c r="I37" s="592">
        <f>SUM(G37:H37)</f>
        <v>0</v>
      </c>
      <c r="J37" s="732"/>
      <c r="K37" s="728"/>
    </row>
    <row r="38" spans="1:11" s="208" customFormat="1" ht="14.25" customHeight="1">
      <c r="A38" s="609"/>
      <c r="B38" s="1828"/>
      <c r="C38" s="704" t="s">
        <v>243</v>
      </c>
      <c r="D38" s="1789" t="s">
        <v>311</v>
      </c>
      <c r="E38" s="1790"/>
      <c r="F38" s="572" t="s">
        <v>253</v>
      </c>
      <c r="G38" s="1256"/>
      <c r="H38" s="593"/>
      <c r="I38" s="592">
        <f>SUM(G38:H38)</f>
        <v>0</v>
      </c>
      <c r="J38" s="732"/>
      <c r="K38" s="728"/>
    </row>
    <row r="39" spans="1:11" s="94" customFormat="1" ht="14.25" customHeight="1">
      <c r="A39" s="1801"/>
      <c r="B39" s="1828"/>
      <c r="C39" s="1798" t="s">
        <v>243</v>
      </c>
      <c r="D39" s="1789" t="s">
        <v>49</v>
      </c>
      <c r="E39" s="1790"/>
      <c r="F39" s="572" t="s">
        <v>253</v>
      </c>
      <c r="G39" s="593">
        <f>SUM(G40:G43)</f>
        <v>27215</v>
      </c>
      <c r="H39" s="593">
        <f>SUM(H40:H43)</f>
        <v>1760</v>
      </c>
      <c r="I39" s="1256">
        <f>SUM(I40:I43)</f>
        <v>28975</v>
      </c>
      <c r="J39" s="732"/>
      <c r="K39" s="728"/>
    </row>
    <row r="40" spans="1:11" s="94" customFormat="1" ht="14.25" customHeight="1">
      <c r="A40" s="1801"/>
      <c r="B40" s="1828"/>
      <c r="C40" s="1799"/>
      <c r="D40" s="559" t="s">
        <v>57</v>
      </c>
      <c r="E40" s="1259" t="s">
        <v>431</v>
      </c>
      <c r="F40" s="572" t="s">
        <v>253</v>
      </c>
      <c r="G40" s="1257">
        <v>5000</v>
      </c>
      <c r="H40" s="580">
        <v>2501</v>
      </c>
      <c r="I40" s="1255">
        <f>SUM(G40:H40)</f>
        <v>7501</v>
      </c>
      <c r="J40" s="732"/>
      <c r="K40" s="728"/>
    </row>
    <row r="41" spans="1:11" s="94" customFormat="1" ht="14.25" customHeight="1">
      <c r="A41" s="1801"/>
      <c r="B41" s="1828"/>
      <c r="C41" s="1799"/>
      <c r="D41" s="559" t="s">
        <v>58</v>
      </c>
      <c r="E41" s="1259" t="s">
        <v>426</v>
      </c>
      <c r="F41" s="572" t="s">
        <v>253</v>
      </c>
      <c r="G41" s="1357">
        <v>9782</v>
      </c>
      <c r="H41" s="580">
        <v>1512</v>
      </c>
      <c r="I41" s="1255">
        <f>SUM(G41:H41)</f>
        <v>11294</v>
      </c>
      <c r="J41" s="732"/>
      <c r="K41" s="728"/>
    </row>
    <row r="42" spans="1:11" s="94" customFormat="1" ht="14.25" customHeight="1">
      <c r="A42" s="1801"/>
      <c r="B42" s="1828"/>
      <c r="C42" s="1799"/>
      <c r="D42" s="638" t="s">
        <v>524</v>
      </c>
      <c r="E42" s="1259" t="s">
        <v>323</v>
      </c>
      <c r="F42" s="572" t="s">
        <v>253</v>
      </c>
      <c r="G42" s="1257">
        <v>10000</v>
      </c>
      <c r="H42" s="580">
        <v>-3943</v>
      </c>
      <c r="I42" s="1255">
        <f>SUM(G42:H42)</f>
        <v>6057</v>
      </c>
      <c r="J42" s="732"/>
      <c r="K42" s="728"/>
    </row>
    <row r="43" spans="1:11" s="94" customFormat="1" ht="14.25" customHeight="1" thickBot="1">
      <c r="A43" s="1802"/>
      <c r="B43" s="1829"/>
      <c r="C43" s="1800"/>
      <c r="D43" s="638" t="s">
        <v>525</v>
      </c>
      <c r="E43" s="1259" t="s">
        <v>368</v>
      </c>
      <c r="F43" s="1261" t="s">
        <v>253</v>
      </c>
      <c r="G43" s="1260">
        <v>2433</v>
      </c>
      <c r="H43" s="945">
        <v>1690</v>
      </c>
      <c r="I43" s="1255">
        <f>SUM(G43:H43)</f>
        <v>4123</v>
      </c>
      <c r="J43" s="732"/>
      <c r="K43" s="728"/>
    </row>
    <row r="44" spans="1:11" s="208" customFormat="1" ht="18.75" customHeight="1" thickBot="1">
      <c r="A44" s="683" t="s">
        <v>102</v>
      </c>
      <c r="B44" s="1812" t="s">
        <v>239</v>
      </c>
      <c r="C44" s="1810"/>
      <c r="D44" s="1810"/>
      <c r="E44" s="1811"/>
      <c r="F44" s="684" t="s">
        <v>240</v>
      </c>
      <c r="G44" s="685">
        <f>G21+G22++G26+G33</f>
        <v>6515207</v>
      </c>
      <c r="H44" s="686">
        <f>H21+H22++H26+H33</f>
        <v>-860934</v>
      </c>
      <c r="I44" s="682">
        <f>I21+I22++I26+I33</f>
        <v>5654273</v>
      </c>
      <c r="J44" s="1706">
        <f>SUM(G44:H44)</f>
        <v>5654273</v>
      </c>
      <c r="K44" s="1593">
        <f>hivatal9!K45</f>
        <v>5654273</v>
      </c>
    </row>
    <row r="45" spans="1:11" s="208" customFormat="1" ht="15.75" customHeight="1">
      <c r="A45" s="631">
        <v>1</v>
      </c>
      <c r="B45" s="1836" t="s">
        <v>256</v>
      </c>
      <c r="C45" s="1837"/>
      <c r="D45" s="1837"/>
      <c r="E45" s="1838"/>
      <c r="F45" s="641" t="s">
        <v>257</v>
      </c>
      <c r="G45" s="647">
        <v>5594</v>
      </c>
      <c r="H45" s="648">
        <f>1454+31+3783</f>
        <v>5268</v>
      </c>
      <c r="I45" s="660">
        <f>SUM(G45:H45)</f>
        <v>10862</v>
      </c>
      <c r="J45" s="732"/>
      <c r="K45" s="728"/>
    </row>
    <row r="46" spans="1:11" s="208" customFormat="1" ht="15" customHeight="1">
      <c r="A46" s="630">
        <v>2</v>
      </c>
      <c r="B46" s="1805" t="s">
        <v>258</v>
      </c>
      <c r="C46" s="1795"/>
      <c r="D46" s="1795"/>
      <c r="E46" s="1796"/>
      <c r="F46" s="642" t="s">
        <v>259</v>
      </c>
      <c r="G46" s="651">
        <v>636026</v>
      </c>
      <c r="H46" s="652">
        <f>1460+5347+300-240-15133-5566+14557</f>
        <v>725</v>
      </c>
      <c r="I46" s="576">
        <f aca="true" t="shared" si="1" ref="I46:I53">SUM(G46:H46)</f>
        <v>636751</v>
      </c>
      <c r="J46" s="732"/>
      <c r="K46" s="728"/>
    </row>
    <row r="47" spans="1:10" s="707" customFormat="1" ht="15" customHeight="1">
      <c r="A47" s="703"/>
      <c r="B47" s="1049"/>
      <c r="C47" s="559" t="s">
        <v>243</v>
      </c>
      <c r="D47" s="559" t="s">
        <v>312</v>
      </c>
      <c r="E47" s="560"/>
      <c r="F47" s="598" t="s">
        <v>259</v>
      </c>
      <c r="G47" s="1358">
        <v>578160</v>
      </c>
      <c r="H47" s="580">
        <v>-15133</v>
      </c>
      <c r="I47" s="865">
        <f t="shared" si="1"/>
        <v>563027</v>
      </c>
      <c r="J47" s="1011"/>
    </row>
    <row r="48" spans="1:11" s="208" customFormat="1" ht="15" customHeight="1">
      <c r="A48" s="630">
        <v>3</v>
      </c>
      <c r="B48" s="1805" t="s">
        <v>260</v>
      </c>
      <c r="C48" s="1795"/>
      <c r="D48" s="1795"/>
      <c r="E48" s="1796"/>
      <c r="F48" s="642" t="s">
        <v>261</v>
      </c>
      <c r="G48" s="651">
        <v>116175</v>
      </c>
      <c r="H48" s="652">
        <f>846+249+164-1717+15736+1</f>
        <v>15279</v>
      </c>
      <c r="I48" s="576">
        <f t="shared" si="1"/>
        <v>131454</v>
      </c>
      <c r="J48" s="732"/>
      <c r="K48" s="728"/>
    </row>
    <row r="49" spans="1:11" s="208" customFormat="1" ht="15" customHeight="1">
      <c r="A49" s="649">
        <v>4</v>
      </c>
      <c r="B49" s="1795" t="s">
        <v>262</v>
      </c>
      <c r="C49" s="1795"/>
      <c r="D49" s="1795"/>
      <c r="E49" s="1796"/>
      <c r="F49" s="607" t="s">
        <v>263</v>
      </c>
      <c r="G49" s="589">
        <v>3357</v>
      </c>
      <c r="H49" s="589"/>
      <c r="I49" s="576">
        <f t="shared" si="1"/>
        <v>3357</v>
      </c>
      <c r="J49" s="732"/>
      <c r="K49" s="728"/>
    </row>
    <row r="50" spans="1:11" s="208" customFormat="1" ht="16.5" customHeight="1">
      <c r="A50" s="616">
        <v>5</v>
      </c>
      <c r="B50" s="1805" t="s">
        <v>264</v>
      </c>
      <c r="C50" s="1795"/>
      <c r="D50" s="1795"/>
      <c r="E50" s="1796"/>
      <c r="F50" s="607" t="s">
        <v>265</v>
      </c>
      <c r="G50" s="589">
        <v>259498</v>
      </c>
      <c r="H50" s="581">
        <f>-68192-11258</f>
        <v>-79450</v>
      </c>
      <c r="I50" s="576">
        <f t="shared" si="1"/>
        <v>180048</v>
      </c>
      <c r="J50" s="732"/>
      <c r="K50" s="728"/>
    </row>
    <row r="51" spans="1:11" s="208" customFormat="1" ht="16.5" customHeight="1">
      <c r="A51" s="649">
        <v>6</v>
      </c>
      <c r="B51" s="1805" t="s">
        <v>266</v>
      </c>
      <c r="C51" s="1795"/>
      <c r="D51" s="1795"/>
      <c r="E51" s="1796"/>
      <c r="F51" s="642" t="s">
        <v>267</v>
      </c>
      <c r="G51" s="651">
        <v>235847</v>
      </c>
      <c r="H51" s="652">
        <f>303-236+2+81-65+1021-88905-16337-805</f>
        <v>-104941</v>
      </c>
      <c r="I51" s="576">
        <f t="shared" si="1"/>
        <v>130906</v>
      </c>
      <c r="J51" s="732"/>
      <c r="K51" s="728"/>
    </row>
    <row r="52" spans="1:11" s="208" customFormat="1" ht="16.5" customHeight="1">
      <c r="A52" s="649">
        <v>7</v>
      </c>
      <c r="B52" s="1805" t="s">
        <v>268</v>
      </c>
      <c r="C52" s="1795"/>
      <c r="D52" s="1795"/>
      <c r="E52" s="1796"/>
      <c r="F52" s="607" t="s">
        <v>269</v>
      </c>
      <c r="G52" s="589">
        <v>62719</v>
      </c>
      <c r="H52" s="581"/>
      <c r="I52" s="576">
        <f t="shared" si="1"/>
        <v>62719</v>
      </c>
      <c r="J52" s="732"/>
      <c r="K52" s="728"/>
    </row>
    <row r="53" spans="1:11" s="208" customFormat="1" ht="15.75" customHeight="1">
      <c r="A53" s="649">
        <v>8</v>
      </c>
      <c r="B53" s="1805" t="s">
        <v>47</v>
      </c>
      <c r="C53" s="1795"/>
      <c r="D53" s="1795"/>
      <c r="E53" s="1796"/>
      <c r="F53" s="607" t="s">
        <v>270</v>
      </c>
      <c r="G53" s="589">
        <v>24937</v>
      </c>
      <c r="H53" s="581">
        <v>2837</v>
      </c>
      <c r="I53" s="576">
        <f t="shared" si="1"/>
        <v>27774</v>
      </c>
      <c r="J53" s="732"/>
      <c r="K53" s="728"/>
    </row>
    <row r="54" spans="1:11" s="159" customFormat="1" ht="15">
      <c r="A54" s="649">
        <v>9</v>
      </c>
      <c r="B54" s="1805" t="s">
        <v>271</v>
      </c>
      <c r="C54" s="1795"/>
      <c r="D54" s="1795"/>
      <c r="E54" s="1796"/>
      <c r="F54" s="642" t="s">
        <v>272</v>
      </c>
      <c r="G54" s="651"/>
      <c r="H54" s="652"/>
      <c r="I54" s="576">
        <f>SUM(G54:H54)</f>
        <v>0</v>
      </c>
      <c r="J54" s="732"/>
      <c r="K54" s="732"/>
    </row>
    <row r="55" spans="1:11" s="159" customFormat="1" ht="15">
      <c r="A55" s="649">
        <v>10</v>
      </c>
      <c r="B55" s="1805" t="s">
        <v>471</v>
      </c>
      <c r="C55" s="1795"/>
      <c r="D55" s="1795"/>
      <c r="E55" s="1796"/>
      <c r="F55" s="1062" t="s">
        <v>274</v>
      </c>
      <c r="G55" s="651">
        <v>827</v>
      </c>
      <c r="H55" s="652">
        <v>31</v>
      </c>
      <c r="I55" s="576">
        <f>SUM(G55:H55)</f>
        <v>858</v>
      </c>
      <c r="J55" s="732"/>
      <c r="K55" s="732"/>
    </row>
    <row r="56" spans="1:11" s="159" customFormat="1" ht="16.5" customHeight="1" thickBot="1">
      <c r="A56" s="654">
        <v>11</v>
      </c>
      <c r="B56" s="1845" t="s">
        <v>273</v>
      </c>
      <c r="C56" s="1846"/>
      <c r="D56" s="1846"/>
      <c r="E56" s="1847"/>
      <c r="F56" s="1063" t="s">
        <v>470</v>
      </c>
      <c r="G56" s="656">
        <v>29917</v>
      </c>
      <c r="H56" s="657">
        <f>786+7856+79+1386-1163-2495</f>
        <v>6449</v>
      </c>
      <c r="I56" s="576">
        <f>SUM(G56:H56)</f>
        <v>36366</v>
      </c>
      <c r="J56" s="732"/>
      <c r="K56" s="732"/>
    </row>
    <row r="57" spans="1:11" s="208" customFormat="1" ht="18.75" customHeight="1" thickBot="1">
      <c r="A57" s="679" t="s">
        <v>105</v>
      </c>
      <c r="B57" s="1809" t="s">
        <v>254</v>
      </c>
      <c r="C57" s="1810"/>
      <c r="D57" s="1810"/>
      <c r="E57" s="1811"/>
      <c r="F57" s="688" t="s">
        <v>255</v>
      </c>
      <c r="G57" s="681">
        <f>G45+G46+G48+G49+G50+G51+G52+G53+G54+G56+G55</f>
        <v>1374897</v>
      </c>
      <c r="H57" s="681">
        <f>H45+H46+H48+H49+H50+H51+H52+H53+H54+H56+H55</f>
        <v>-153802</v>
      </c>
      <c r="I57" s="682">
        <f>I45+I46+I48+I49+I50+I51+I52+I53+I54+I56+I55</f>
        <v>1221095</v>
      </c>
      <c r="J57" s="1706">
        <f>SUM(G57:H57)</f>
        <v>1221095</v>
      </c>
      <c r="K57" s="1593">
        <f>hivatal9!K46</f>
        <v>1221095</v>
      </c>
    </row>
    <row r="58" spans="1:11" s="94" customFormat="1" ht="15">
      <c r="A58" s="599">
        <v>1</v>
      </c>
      <c r="B58" s="1842" t="s">
        <v>277</v>
      </c>
      <c r="C58" s="1843"/>
      <c r="D58" s="1843"/>
      <c r="E58" s="1844"/>
      <c r="F58" s="1062" t="s">
        <v>472</v>
      </c>
      <c r="G58" s="585">
        <v>10000</v>
      </c>
      <c r="H58" s="578"/>
      <c r="I58" s="591">
        <f>SUM(G58:H58)</f>
        <v>10000</v>
      </c>
      <c r="J58" s="732"/>
      <c r="K58" s="728"/>
    </row>
    <row r="59" spans="1:11" s="94" customFormat="1" ht="15.75" thickBot="1">
      <c r="A59" s="600">
        <v>2</v>
      </c>
      <c r="B59" s="1813" t="s">
        <v>278</v>
      </c>
      <c r="C59" s="1814"/>
      <c r="D59" s="1814"/>
      <c r="E59" s="1815"/>
      <c r="F59" s="1063" t="s">
        <v>473</v>
      </c>
      <c r="G59" s="587">
        <v>10065</v>
      </c>
      <c r="H59" s="579">
        <f>60+126+165</f>
        <v>351</v>
      </c>
      <c r="I59" s="591">
        <f>SUM(G59:H59)</f>
        <v>10416</v>
      </c>
      <c r="J59" s="732"/>
      <c r="K59" s="728"/>
    </row>
    <row r="60" spans="1:11" s="94" customFormat="1" ht="17.25" customHeight="1" thickBot="1">
      <c r="A60" s="679" t="s">
        <v>106</v>
      </c>
      <c r="B60" s="1809" t="s">
        <v>275</v>
      </c>
      <c r="C60" s="1810"/>
      <c r="D60" s="1810"/>
      <c r="E60" s="1811"/>
      <c r="F60" s="687" t="s">
        <v>276</v>
      </c>
      <c r="G60" s="681">
        <f>SUM(G58:G59)</f>
        <v>20065</v>
      </c>
      <c r="H60" s="682">
        <f>SUM(H58:H59)</f>
        <v>351</v>
      </c>
      <c r="I60" s="689">
        <f>SUM(I58:I59)</f>
        <v>20416</v>
      </c>
      <c r="J60" s="1706">
        <f>SUM(G60:H60)</f>
        <v>20416</v>
      </c>
      <c r="K60" s="1593">
        <f>hivatal9!K47</f>
        <v>20416</v>
      </c>
    </row>
    <row r="61" spans="1:10" s="521" customFormat="1" ht="21" customHeight="1" thickBot="1">
      <c r="A61" s="824" t="s">
        <v>120</v>
      </c>
      <c r="B61" s="1848" t="s">
        <v>406</v>
      </c>
      <c r="C61" s="1849"/>
      <c r="D61" s="1849"/>
      <c r="E61" s="1850"/>
      <c r="F61" s="825"/>
      <c r="G61" s="826">
        <f>G20+G44+G57+G60</f>
        <v>10410779</v>
      </c>
      <c r="H61" s="826">
        <f>H20+H44+H57+H60</f>
        <v>-940641</v>
      </c>
      <c r="I61" s="827">
        <f>I20+I44+I57+I60</f>
        <v>9470138</v>
      </c>
      <c r="J61" s="1175">
        <f>SUM(G61:H61)</f>
        <v>9470138</v>
      </c>
    </row>
    <row r="62" spans="1:11" s="208" customFormat="1" ht="16.5" customHeight="1">
      <c r="A62" s="649">
        <v>1</v>
      </c>
      <c r="B62" s="1836" t="s">
        <v>281</v>
      </c>
      <c r="C62" s="1837"/>
      <c r="D62" s="1837"/>
      <c r="E62" s="1838"/>
      <c r="F62" s="607" t="s">
        <v>282</v>
      </c>
      <c r="G62" s="589">
        <v>300000</v>
      </c>
      <c r="H62" s="581">
        <f>1082+1825</f>
        <v>2907</v>
      </c>
      <c r="I62" s="614">
        <f>SUM(G62:H62)</f>
        <v>302907</v>
      </c>
      <c r="J62" s="732"/>
      <c r="K62" s="1593">
        <f>hivatal9!K48</f>
        <v>302907</v>
      </c>
    </row>
    <row r="63" spans="1:11" s="208" customFormat="1" ht="16.5" customHeight="1">
      <c r="A63" s="1784">
        <v>2</v>
      </c>
      <c r="B63" s="1805" t="s">
        <v>283</v>
      </c>
      <c r="C63" s="1795"/>
      <c r="D63" s="1795"/>
      <c r="E63" s="1796"/>
      <c r="F63" s="644" t="s">
        <v>284</v>
      </c>
      <c r="G63" s="656">
        <f>SUM(G65:G66)</f>
        <v>766473</v>
      </c>
      <c r="H63" s="656">
        <f>SUM(H65:H66)</f>
        <v>109134</v>
      </c>
      <c r="I63" s="657">
        <f>SUM(I65:I66)</f>
        <v>875607</v>
      </c>
      <c r="J63" s="1706">
        <f>SUM(G63:H63)</f>
        <v>875607</v>
      </c>
      <c r="K63" s="1593">
        <f>hivatal9!K50</f>
        <v>875607</v>
      </c>
    </row>
    <row r="64" spans="1:11" s="94" customFormat="1" ht="15" customHeight="1">
      <c r="A64" s="1785"/>
      <c r="B64" s="1806"/>
      <c r="C64" s="558" t="s">
        <v>243</v>
      </c>
      <c r="D64" s="1825" t="s">
        <v>369</v>
      </c>
      <c r="E64" s="1852"/>
      <c r="F64" s="596" t="s">
        <v>284</v>
      </c>
      <c r="G64" s="586"/>
      <c r="H64" s="593"/>
      <c r="I64" s="575">
        <f>SUM(G64:H64)</f>
        <v>0</v>
      </c>
      <c r="J64" s="732"/>
      <c r="K64" s="728"/>
    </row>
    <row r="65" spans="1:11" s="94" customFormat="1" ht="15" customHeight="1">
      <c r="A65" s="1785"/>
      <c r="B65" s="1807"/>
      <c r="C65" s="702" t="s">
        <v>243</v>
      </c>
      <c r="D65" s="725" t="s">
        <v>310</v>
      </c>
      <c r="E65" s="726"/>
      <c r="F65" s="724" t="s">
        <v>284</v>
      </c>
      <c r="G65" s="664">
        <v>99130</v>
      </c>
      <c r="H65" s="665"/>
      <c r="I65" s="575">
        <f>SUM(G65:H65)</f>
        <v>99130</v>
      </c>
      <c r="J65" s="732"/>
      <c r="K65" s="728"/>
    </row>
    <row r="66" spans="1:11" s="94" customFormat="1" ht="15" customHeight="1" thickBot="1">
      <c r="A66" s="1786"/>
      <c r="B66" s="1808"/>
      <c r="C66" s="558" t="s">
        <v>243</v>
      </c>
      <c r="D66" s="559" t="s">
        <v>416</v>
      </c>
      <c r="E66" s="560"/>
      <c r="F66" s="627" t="s">
        <v>284</v>
      </c>
      <c r="G66" s="586">
        <v>667343</v>
      </c>
      <c r="H66" s="593">
        <v>109134</v>
      </c>
      <c r="I66" s="575">
        <f>SUM(G66:H66)</f>
        <v>776477</v>
      </c>
      <c r="J66" s="732"/>
      <c r="K66" s="728"/>
    </row>
    <row r="67" spans="1:11" ht="15.75" thickBot="1">
      <c r="A67" s="679" t="s">
        <v>107</v>
      </c>
      <c r="B67" s="1812" t="s">
        <v>279</v>
      </c>
      <c r="C67" s="1810"/>
      <c r="D67" s="1810"/>
      <c r="E67" s="1811"/>
      <c r="F67" s="687" t="s">
        <v>280</v>
      </c>
      <c r="G67" s="681">
        <f>SUM(G62:G63)</f>
        <v>1066473</v>
      </c>
      <c r="H67" s="681">
        <f>SUM(H62:H63)</f>
        <v>112041</v>
      </c>
      <c r="I67" s="682">
        <f>SUM(I62:I63)</f>
        <v>1178514</v>
      </c>
      <c r="J67" s="1715">
        <f>SUM(G67:H67)</f>
        <v>1178514</v>
      </c>
      <c r="K67" s="1716">
        <f>hivatal9!K51</f>
        <v>1178514</v>
      </c>
    </row>
    <row r="68" spans="1:11" s="94" customFormat="1" ht="16.5" customHeight="1">
      <c r="A68" s="662">
        <v>1</v>
      </c>
      <c r="B68" s="1842" t="s">
        <v>50</v>
      </c>
      <c r="C68" s="1843"/>
      <c r="D68" s="1843"/>
      <c r="E68" s="1844"/>
      <c r="F68" s="663" t="s">
        <v>287</v>
      </c>
      <c r="G68" s="664"/>
      <c r="H68" s="665"/>
      <c r="I68" s="666">
        <f>SUM(G68:H68)</f>
        <v>0</v>
      </c>
      <c r="J68" s="732"/>
      <c r="K68" s="728"/>
    </row>
    <row r="69" spans="1:11" s="94" customFormat="1" ht="16.5" customHeight="1">
      <c r="A69" s="599">
        <v>2</v>
      </c>
      <c r="B69" s="1789" t="s">
        <v>288</v>
      </c>
      <c r="C69" s="1790"/>
      <c r="D69" s="1790"/>
      <c r="E69" s="1791"/>
      <c r="F69" s="597" t="s">
        <v>289</v>
      </c>
      <c r="G69" s="586">
        <v>703827</v>
      </c>
      <c r="H69" s="593">
        <f>1462+15803-292687</f>
        <v>-275422</v>
      </c>
      <c r="I69" s="666">
        <f>SUM(G69:H69)</f>
        <v>428405</v>
      </c>
      <c r="J69" s="732"/>
      <c r="K69" s="728"/>
    </row>
    <row r="70" spans="1:11" s="94" customFormat="1" ht="16.5" customHeight="1">
      <c r="A70" s="599">
        <v>3</v>
      </c>
      <c r="B70" s="1789" t="s">
        <v>290</v>
      </c>
      <c r="C70" s="1790"/>
      <c r="D70" s="1790"/>
      <c r="E70" s="1791"/>
      <c r="F70" s="597" t="s">
        <v>291</v>
      </c>
      <c r="G70" s="586">
        <v>1362</v>
      </c>
      <c r="H70" s="593">
        <v>79</v>
      </c>
      <c r="I70" s="666">
        <f>SUM(G70:H70)</f>
        <v>1441</v>
      </c>
      <c r="J70" s="732"/>
      <c r="K70" s="728"/>
    </row>
    <row r="71" spans="1:11" s="208" customFormat="1" ht="16.5" customHeight="1" thickBot="1">
      <c r="A71" s="600">
        <v>4</v>
      </c>
      <c r="B71" s="1813" t="s">
        <v>553</v>
      </c>
      <c r="C71" s="1814"/>
      <c r="D71" s="1814"/>
      <c r="E71" s="1815"/>
      <c r="F71" s="645" t="s">
        <v>292</v>
      </c>
      <c r="G71" s="588"/>
      <c r="H71" s="594"/>
      <c r="I71" s="666">
        <f>SUM(G71:H71)</f>
        <v>0</v>
      </c>
      <c r="J71" s="732"/>
      <c r="K71" s="728"/>
    </row>
    <row r="72" spans="1:11" s="94" customFormat="1" ht="16.5" customHeight="1" thickBot="1">
      <c r="A72" s="679" t="s">
        <v>315</v>
      </c>
      <c r="B72" s="1812" t="s">
        <v>285</v>
      </c>
      <c r="C72" s="1810"/>
      <c r="D72" s="1810"/>
      <c r="E72" s="1811"/>
      <c r="F72" s="687" t="s">
        <v>286</v>
      </c>
      <c r="G72" s="689">
        <f>SUM(G68:G71)</f>
        <v>705189</v>
      </c>
      <c r="H72" s="689">
        <f>SUM(H68:H71)</f>
        <v>-275343</v>
      </c>
      <c r="I72" s="689">
        <f>SUM(I68:I71)</f>
        <v>429846</v>
      </c>
      <c r="J72" s="1706">
        <f>SUM(G72:H72)</f>
        <v>429846</v>
      </c>
      <c r="K72" s="1593">
        <f>hivatal9!K52</f>
        <v>429846</v>
      </c>
    </row>
    <row r="73" spans="1:11" s="208" customFormat="1" ht="16.5" customHeight="1">
      <c r="A73" s="615">
        <v>1</v>
      </c>
      <c r="B73" s="1836" t="s">
        <v>295</v>
      </c>
      <c r="C73" s="1837"/>
      <c r="D73" s="1837"/>
      <c r="E73" s="1838"/>
      <c r="F73" s="1064" t="s">
        <v>474</v>
      </c>
      <c r="G73" s="667">
        <f>SUM(G74:G75)</f>
        <v>2746</v>
      </c>
      <c r="H73" s="667">
        <f>SUM(H74:H75)</f>
        <v>643</v>
      </c>
      <c r="I73" s="632">
        <f>SUM(I74:I75)</f>
        <v>3389</v>
      </c>
      <c r="J73" s="732"/>
      <c r="K73" s="728"/>
    </row>
    <row r="74" spans="1:10" s="707" customFormat="1" ht="15" customHeight="1">
      <c r="A74" s="609"/>
      <c r="B74" s="1806"/>
      <c r="C74" s="558" t="s">
        <v>243</v>
      </c>
      <c r="D74" s="559" t="s">
        <v>80</v>
      </c>
      <c r="E74" s="560"/>
      <c r="F74" s="1065" t="s">
        <v>474</v>
      </c>
      <c r="G74" s="658"/>
      <c r="H74" s="580"/>
      <c r="I74" s="865">
        <f>SUM(G74:H74)</f>
        <v>0</v>
      </c>
      <c r="J74" s="1011"/>
    </row>
    <row r="75" spans="1:10" s="707" customFormat="1" ht="15" customHeight="1" thickBot="1">
      <c r="A75" s="609"/>
      <c r="B75" s="1808"/>
      <c r="C75" s="583" t="s">
        <v>243</v>
      </c>
      <c r="D75" s="670" t="s">
        <v>81</v>
      </c>
      <c r="E75" s="601"/>
      <c r="F75" s="1066" t="str">
        <f>F74</f>
        <v>B74</v>
      </c>
      <c r="G75" s="1016">
        <v>2746</v>
      </c>
      <c r="H75" s="1017">
        <f>459+179+5</f>
        <v>643</v>
      </c>
      <c r="I75" s="865">
        <f>SUM(G75:H75)</f>
        <v>3389</v>
      </c>
      <c r="J75" s="1011"/>
    </row>
    <row r="76" spans="1:11" s="208" customFormat="1" ht="16.5" customHeight="1">
      <c r="A76" s="615">
        <v>2</v>
      </c>
      <c r="B76" s="1836" t="s">
        <v>82</v>
      </c>
      <c r="C76" s="1837"/>
      <c r="D76" s="1837"/>
      <c r="E76" s="1838"/>
      <c r="F76" s="1067" t="s">
        <v>475</v>
      </c>
      <c r="G76" s="639">
        <f>SUM(G77:G78)</f>
        <v>7947</v>
      </c>
      <c r="H76" s="639">
        <f>SUM(H77:H78)</f>
        <v>0</v>
      </c>
      <c r="I76" s="640">
        <f>SUM(I77:I78)</f>
        <v>7947</v>
      </c>
      <c r="J76" s="1706">
        <f>SUM(I78:I78)</f>
        <v>7947</v>
      </c>
      <c r="K76" s="728"/>
    </row>
    <row r="77" spans="1:10" s="707" customFormat="1" ht="15" customHeight="1">
      <c r="A77" s="609"/>
      <c r="B77" s="605"/>
      <c r="C77" s="583" t="s">
        <v>243</v>
      </c>
      <c r="D77" s="670" t="s">
        <v>81</v>
      </c>
      <c r="E77" s="601"/>
      <c r="F77" s="1015" t="str">
        <f>F76</f>
        <v>B75</v>
      </c>
      <c r="G77" s="1016"/>
      <c r="H77" s="1017"/>
      <c r="I77" s="941">
        <f>SUM(G77:H77)</f>
        <v>0</v>
      </c>
      <c r="J77" s="1011"/>
    </row>
    <row r="78" spans="1:10" s="707" customFormat="1" ht="15" customHeight="1" thickBot="1">
      <c r="A78" s="609"/>
      <c r="B78" s="605"/>
      <c r="C78" s="583" t="s">
        <v>243</v>
      </c>
      <c r="D78" s="670" t="s">
        <v>415</v>
      </c>
      <c r="E78" s="601"/>
      <c r="F78" s="1015" t="str">
        <f>F77</f>
        <v>B75</v>
      </c>
      <c r="G78" s="1014">
        <v>7947</v>
      </c>
      <c r="H78" s="945"/>
      <c r="I78" s="941">
        <f>SUM(G78:H78)</f>
        <v>7947</v>
      </c>
      <c r="J78" s="1011"/>
    </row>
    <row r="79" spans="1:11" s="208" customFormat="1" ht="18" customHeight="1" thickBot="1">
      <c r="A79" s="1006" t="s">
        <v>316</v>
      </c>
      <c r="B79" s="1812" t="s">
        <v>293</v>
      </c>
      <c r="C79" s="1810"/>
      <c r="D79" s="1810"/>
      <c r="E79" s="1811"/>
      <c r="F79" s="687" t="s">
        <v>294</v>
      </c>
      <c r="G79" s="681">
        <f>G73+G76</f>
        <v>10693</v>
      </c>
      <c r="H79" s="681">
        <f>H73+H76</f>
        <v>643</v>
      </c>
      <c r="I79" s="682">
        <f>I73+I76</f>
        <v>11336</v>
      </c>
      <c r="J79" s="1706">
        <f>SUM(G79:H79)</f>
        <v>11336</v>
      </c>
      <c r="K79" s="1593">
        <f>hivatal9!K55</f>
        <v>11336</v>
      </c>
    </row>
    <row r="80" spans="1:11" s="208" customFormat="1" ht="21" customHeight="1" thickBot="1">
      <c r="A80" s="1007" t="s">
        <v>121</v>
      </c>
      <c r="B80" s="1851" t="s">
        <v>407</v>
      </c>
      <c r="C80" s="1849"/>
      <c r="D80" s="1849"/>
      <c r="E80" s="1850"/>
      <c r="F80" s="825"/>
      <c r="G80" s="826">
        <f>G67+G72+G79</f>
        <v>1782355</v>
      </c>
      <c r="H80" s="826">
        <f>H67+H72+H79</f>
        <v>-162659</v>
      </c>
      <c r="I80" s="827">
        <f>I67+I72+I79</f>
        <v>1619696</v>
      </c>
      <c r="J80" s="732"/>
      <c r="K80" s="728"/>
    </row>
    <row r="81" spans="1:10" s="521" customFormat="1" ht="24" customHeight="1" thickBot="1">
      <c r="A81" s="722" t="s">
        <v>111</v>
      </c>
      <c r="B81" s="1787" t="s">
        <v>83</v>
      </c>
      <c r="C81" s="1787"/>
      <c r="D81" s="1787"/>
      <c r="E81" s="1788"/>
      <c r="F81" s="671"/>
      <c r="G81" s="672">
        <f>G61+G80</f>
        <v>12193134</v>
      </c>
      <c r="H81" s="672">
        <f>H61+H80</f>
        <v>-1103300</v>
      </c>
      <c r="I81" s="673">
        <f>I61+I80</f>
        <v>11089834</v>
      </c>
      <c r="J81" s="1172"/>
    </row>
    <row r="82" spans="1:11" s="208" customFormat="1" ht="15.75" customHeight="1">
      <c r="A82" s="616">
        <v>1</v>
      </c>
      <c r="B82" s="1836" t="s">
        <v>298</v>
      </c>
      <c r="C82" s="1837"/>
      <c r="D82" s="1837"/>
      <c r="E82" s="1838"/>
      <c r="F82" s="641" t="s">
        <v>299</v>
      </c>
      <c r="G82" s="674"/>
      <c r="H82" s="675"/>
      <c r="I82" s="632">
        <f>SUM(G82:H82)</f>
        <v>0</v>
      </c>
      <c r="J82" s="732"/>
      <c r="K82" s="728"/>
    </row>
    <row r="83" spans="1:11" s="208" customFormat="1" ht="15.75" customHeight="1">
      <c r="A83" s="649">
        <v>2</v>
      </c>
      <c r="B83" s="1805" t="s">
        <v>300</v>
      </c>
      <c r="C83" s="1795"/>
      <c r="D83" s="1795"/>
      <c r="E83" s="1796"/>
      <c r="F83" s="642" t="s">
        <v>301</v>
      </c>
      <c r="G83" s="1502">
        <v>665000</v>
      </c>
      <c r="H83" s="652"/>
      <c r="I83" s="652">
        <f>SUM(G83:H83)</f>
        <v>665000</v>
      </c>
      <c r="J83" s="732"/>
      <c r="K83" s="728"/>
    </row>
    <row r="84" spans="1:11" s="208" customFormat="1" ht="15.75" customHeight="1">
      <c r="A84" s="1784">
        <v>3</v>
      </c>
      <c r="B84" s="1805" t="s">
        <v>302</v>
      </c>
      <c r="C84" s="1795"/>
      <c r="D84" s="1795"/>
      <c r="E84" s="1796"/>
      <c r="F84" s="642" t="s">
        <v>303</v>
      </c>
      <c r="G84" s="676">
        <f>SUM(G85:G86)</f>
        <v>4963690</v>
      </c>
      <c r="H84" s="676">
        <f>SUM(H85:H86)</f>
        <v>-12336</v>
      </c>
      <c r="I84" s="677">
        <f>SUM(I85:I86)</f>
        <v>4951354</v>
      </c>
      <c r="J84" s="732"/>
      <c r="K84" s="728"/>
    </row>
    <row r="85" spans="1:11" s="94" customFormat="1" ht="15.75" customHeight="1">
      <c r="A85" s="1785"/>
      <c r="B85" s="753">
        <v>1</v>
      </c>
      <c r="C85" s="1803" t="s">
        <v>455</v>
      </c>
      <c r="D85" s="1803"/>
      <c r="E85" s="1804"/>
      <c r="F85" s="597" t="s">
        <v>304</v>
      </c>
      <c r="G85" s="586">
        <v>4963690</v>
      </c>
      <c r="H85" s="593">
        <v>-12336</v>
      </c>
      <c r="I85" s="578">
        <f>SUM(G85:H85)</f>
        <v>4951354</v>
      </c>
      <c r="J85" s="732"/>
      <c r="K85" s="728"/>
    </row>
    <row r="86" spans="1:11" s="94" customFormat="1" ht="15.75" customHeight="1">
      <c r="A86" s="1797"/>
      <c r="B86" s="753">
        <v>2</v>
      </c>
      <c r="C86" s="1803" t="s">
        <v>456</v>
      </c>
      <c r="D86" s="1803"/>
      <c r="E86" s="1804"/>
      <c r="F86" s="597" t="s">
        <v>457</v>
      </c>
      <c r="G86" s="586"/>
      <c r="H86" s="593"/>
      <c r="I86" s="578">
        <f>SUM(G86:H86)</f>
        <v>0</v>
      </c>
      <c r="J86" s="732"/>
      <c r="K86" s="728"/>
    </row>
    <row r="87" spans="1:11" s="208" customFormat="1" ht="15.75" customHeight="1">
      <c r="A87" s="649">
        <v>4</v>
      </c>
      <c r="B87" s="1805" t="s">
        <v>464</v>
      </c>
      <c r="C87" s="1795"/>
      <c r="D87" s="1795"/>
      <c r="E87" s="1796"/>
      <c r="F87" s="642" t="s">
        <v>463</v>
      </c>
      <c r="G87" s="651"/>
      <c r="H87" s="651">
        <v>114695</v>
      </c>
      <c r="I87" s="652">
        <f>SUM(G87:H87)</f>
        <v>114695</v>
      </c>
      <c r="J87" s="732"/>
      <c r="K87" s="728"/>
    </row>
    <row r="88" spans="1:11" s="208" customFormat="1" ht="15.75" customHeight="1" thickBot="1">
      <c r="A88" s="654">
        <v>5</v>
      </c>
      <c r="B88" s="1845" t="s">
        <v>305</v>
      </c>
      <c r="C88" s="1846"/>
      <c r="D88" s="1846"/>
      <c r="E88" s="1847"/>
      <c r="F88" s="644" t="s">
        <v>306</v>
      </c>
      <c r="G88" s="1414"/>
      <c r="H88" s="657"/>
      <c r="I88" s="652">
        <f>SUM(G88:H88)</f>
        <v>0</v>
      </c>
      <c r="J88" s="732"/>
      <c r="K88" s="728"/>
    </row>
    <row r="89" spans="1:11" s="208" customFormat="1" ht="21" customHeight="1" thickBot="1">
      <c r="A89" s="1006" t="s">
        <v>110</v>
      </c>
      <c r="B89" s="1812" t="s">
        <v>296</v>
      </c>
      <c r="C89" s="1810"/>
      <c r="D89" s="1810"/>
      <c r="E89" s="1811"/>
      <c r="F89" s="687" t="s">
        <v>297</v>
      </c>
      <c r="G89" s="681">
        <f>G82+G83+G84+G87+G88</f>
        <v>5628690</v>
      </c>
      <c r="H89" s="681">
        <f>H82+H83+H84+H87+H88</f>
        <v>102359</v>
      </c>
      <c r="I89" s="682">
        <f>I82+I83+I84+I87+I88</f>
        <v>5731049</v>
      </c>
      <c r="J89" s="1706">
        <f>SUM(G89:H89)</f>
        <v>5731049</v>
      </c>
      <c r="K89" s="728"/>
    </row>
    <row r="90" spans="1:11" s="208" customFormat="1" ht="21" customHeight="1" thickBot="1">
      <c r="A90" s="1006" t="s">
        <v>409</v>
      </c>
      <c r="B90" s="1812" t="s">
        <v>419</v>
      </c>
      <c r="C90" s="1810"/>
      <c r="D90" s="1810"/>
      <c r="E90" s="1811"/>
      <c r="F90" s="687" t="s">
        <v>40</v>
      </c>
      <c r="G90" s="681"/>
      <c r="H90" s="681"/>
      <c r="I90" s="682">
        <f>SUM(G90:H90)</f>
        <v>0</v>
      </c>
      <c r="J90" s="1706">
        <f>SUM(G90:H90)</f>
        <v>0</v>
      </c>
      <c r="K90" s="728"/>
    </row>
    <row r="91" spans="1:11" s="208" customFormat="1" ht="21" customHeight="1" thickBot="1">
      <c r="A91" s="1007" t="s">
        <v>42</v>
      </c>
      <c r="B91" s="1851" t="s">
        <v>410</v>
      </c>
      <c r="C91" s="1849"/>
      <c r="D91" s="1849"/>
      <c r="E91" s="1849"/>
      <c r="F91" s="1050" t="s">
        <v>44</v>
      </c>
      <c r="G91" s="826">
        <f>SUM(G89:G90)</f>
        <v>5628690</v>
      </c>
      <c r="H91" s="826">
        <f>SUM(H89:H90)</f>
        <v>102359</v>
      </c>
      <c r="I91" s="827">
        <f>SUM(I89:I90)</f>
        <v>5731049</v>
      </c>
      <c r="J91" s="732"/>
      <c r="K91" s="728"/>
    </row>
    <row r="92" spans="1:10" s="521" customFormat="1" ht="21" customHeight="1" thickBot="1">
      <c r="A92" s="722" t="s">
        <v>43</v>
      </c>
      <c r="B92" s="1787" t="s">
        <v>41</v>
      </c>
      <c r="C92" s="1787"/>
      <c r="D92" s="1787"/>
      <c r="E92" s="1788"/>
      <c r="F92" s="671"/>
      <c r="G92" s="672">
        <f>G81+G91</f>
        <v>17821824</v>
      </c>
      <c r="H92" s="672">
        <f>H81+H91</f>
        <v>-1000941</v>
      </c>
      <c r="I92" s="673">
        <f>I81+I91</f>
        <v>16820883</v>
      </c>
      <c r="J92" s="1172"/>
    </row>
    <row r="93" spans="1:11" s="94" customFormat="1" ht="14.25">
      <c r="A93" s="564"/>
      <c r="B93" s="564"/>
      <c r="C93" s="565"/>
      <c r="D93" s="565"/>
      <c r="E93" s="565"/>
      <c r="F93" s="565"/>
      <c r="G93" s="582"/>
      <c r="H93" s="582"/>
      <c r="I93" s="582"/>
      <c r="J93" s="732"/>
      <c r="K93" s="728"/>
    </row>
    <row r="94" spans="1:11" s="94" customFormat="1" ht="14.25">
      <c r="A94" s="564"/>
      <c r="B94" s="564"/>
      <c r="C94" s="565"/>
      <c r="D94" s="565"/>
      <c r="E94" s="565"/>
      <c r="F94" s="565"/>
      <c r="G94" s="582"/>
      <c r="H94" s="582"/>
      <c r="I94" s="582"/>
      <c r="J94" s="732"/>
      <c r="K94" s="728"/>
    </row>
    <row r="95" spans="1:11" s="94" customFormat="1" ht="14.25">
      <c r="A95" s="564"/>
      <c r="B95" s="564"/>
      <c r="C95" s="565"/>
      <c r="D95" s="565"/>
      <c r="E95" s="565"/>
      <c r="F95" s="565"/>
      <c r="G95" s="582"/>
      <c r="H95" s="582"/>
      <c r="I95" s="582"/>
      <c r="J95" s="732"/>
      <c r="K95" s="728"/>
    </row>
    <row r="96" spans="1:11" s="94" customFormat="1" ht="14.25">
      <c r="A96" s="564"/>
      <c r="B96" s="564"/>
      <c r="C96" s="565"/>
      <c r="D96" s="565"/>
      <c r="E96" s="565"/>
      <c r="F96" s="565"/>
      <c r="G96" s="582"/>
      <c r="H96" s="582"/>
      <c r="I96" s="582">
        <f>I92-hivatal9!K60</f>
        <v>0</v>
      </c>
      <c r="J96" s="732"/>
      <c r="K96" s="728"/>
    </row>
    <row r="97" spans="1:11" s="94" customFormat="1" ht="14.25">
      <c r="A97" s="564"/>
      <c r="B97" s="564"/>
      <c r="C97" s="565"/>
      <c r="D97" s="565"/>
      <c r="E97" s="565"/>
      <c r="F97" s="565"/>
      <c r="G97" s="582"/>
      <c r="H97" s="582"/>
      <c r="I97" s="582"/>
      <c r="J97" s="732"/>
      <c r="K97" s="728"/>
    </row>
    <row r="98" spans="1:11" s="94" customFormat="1" ht="14.25">
      <c r="A98" s="564"/>
      <c r="B98" s="564"/>
      <c r="C98" s="565"/>
      <c r="D98" s="565"/>
      <c r="E98" s="565"/>
      <c r="F98" s="565"/>
      <c r="G98" s="582"/>
      <c r="H98" s="582"/>
      <c r="I98" s="582"/>
      <c r="J98" s="732"/>
      <c r="K98" s="728"/>
    </row>
    <row r="99" spans="1:11" s="94" customFormat="1" ht="14.25">
      <c r="A99" s="564"/>
      <c r="B99" s="564"/>
      <c r="C99" s="565"/>
      <c r="D99" s="565"/>
      <c r="E99" s="565"/>
      <c r="F99" s="565"/>
      <c r="G99" s="582"/>
      <c r="H99" s="582"/>
      <c r="I99" s="582"/>
      <c r="J99" s="732"/>
      <c r="K99" s="728"/>
    </row>
    <row r="100" spans="1:11" s="94" customFormat="1" ht="14.25">
      <c r="A100" s="564"/>
      <c r="B100" s="564"/>
      <c r="C100" s="565"/>
      <c r="D100" s="565"/>
      <c r="E100" s="565"/>
      <c r="F100" s="565"/>
      <c r="G100" s="582"/>
      <c r="H100" s="582"/>
      <c r="I100" s="582"/>
      <c r="J100" s="732"/>
      <c r="K100" s="728"/>
    </row>
    <row r="101" spans="1:11" s="94" customFormat="1" ht="14.25">
      <c r="A101" s="564"/>
      <c r="B101" s="564"/>
      <c r="C101" s="565"/>
      <c r="D101" s="565"/>
      <c r="E101" s="565"/>
      <c r="F101" s="565"/>
      <c r="G101" s="577"/>
      <c r="H101" s="577"/>
      <c r="I101" s="577"/>
      <c r="J101" s="732"/>
      <c r="K101" s="728"/>
    </row>
    <row r="102" spans="1:11" s="94" customFormat="1" ht="14.25">
      <c r="A102" s="564"/>
      <c r="B102" s="564"/>
      <c r="C102" s="565"/>
      <c r="D102" s="565"/>
      <c r="E102" s="565"/>
      <c r="F102" s="565"/>
      <c r="G102" s="577"/>
      <c r="H102" s="577"/>
      <c r="I102" s="577"/>
      <c r="J102" s="732"/>
      <c r="K102" s="728"/>
    </row>
    <row r="103" spans="1:11" s="94" customFormat="1" ht="14.25">
      <c r="A103" s="564"/>
      <c r="B103" s="564"/>
      <c r="C103" s="565"/>
      <c r="D103" s="565"/>
      <c r="E103" s="565"/>
      <c r="F103" s="565"/>
      <c r="G103" s="577"/>
      <c r="H103" s="577"/>
      <c r="I103" s="577"/>
      <c r="J103" s="732"/>
      <c r="K103" s="728"/>
    </row>
    <row r="104" spans="1:11" s="94" customFormat="1" ht="14.25">
      <c r="A104" s="564"/>
      <c r="B104" s="564"/>
      <c r="C104" s="565"/>
      <c r="D104" s="565"/>
      <c r="E104" s="565"/>
      <c r="F104" s="565"/>
      <c r="G104" s="577"/>
      <c r="H104" s="577"/>
      <c r="I104" s="577"/>
      <c r="J104" s="732"/>
      <c r="K104" s="728"/>
    </row>
    <row r="105" spans="1:11" s="94" customFormat="1" ht="14.25">
      <c r="A105" s="564"/>
      <c r="B105" s="564"/>
      <c r="C105" s="565"/>
      <c r="D105" s="565"/>
      <c r="E105" s="565"/>
      <c r="F105" s="565"/>
      <c r="G105" s="577"/>
      <c r="H105" s="577"/>
      <c r="I105" s="577"/>
      <c r="J105" s="732"/>
      <c r="K105" s="728"/>
    </row>
    <row r="106" spans="1:11" s="94" customFormat="1" ht="14.25">
      <c r="A106" s="564"/>
      <c r="B106" s="564"/>
      <c r="C106" s="565"/>
      <c r="D106" s="565"/>
      <c r="E106" s="565"/>
      <c r="F106" s="565"/>
      <c r="G106" s="577"/>
      <c r="H106" s="577"/>
      <c r="I106" s="577"/>
      <c r="J106" s="732"/>
      <c r="K106" s="728"/>
    </row>
    <row r="107" spans="1:11" s="94" customFormat="1" ht="14.25">
      <c r="A107" s="564"/>
      <c r="B107" s="564"/>
      <c r="C107" s="565"/>
      <c r="D107" s="565"/>
      <c r="E107" s="565"/>
      <c r="F107" s="565"/>
      <c r="G107" s="577"/>
      <c r="H107" s="577"/>
      <c r="I107" s="577"/>
      <c r="J107" s="732"/>
      <c r="K107" s="728"/>
    </row>
    <row r="108" spans="1:11" s="94" customFormat="1" ht="14.25">
      <c r="A108" s="564"/>
      <c r="B108" s="564"/>
      <c r="C108" s="565"/>
      <c r="D108" s="565"/>
      <c r="E108" s="565"/>
      <c r="F108" s="565"/>
      <c r="G108" s="577"/>
      <c r="H108" s="577"/>
      <c r="I108" s="577"/>
      <c r="J108" s="732"/>
      <c r="K108" s="728"/>
    </row>
    <row r="109" spans="1:11" s="94" customFormat="1" ht="14.25">
      <c r="A109" s="564"/>
      <c r="B109" s="564"/>
      <c r="C109" s="565"/>
      <c r="D109" s="565"/>
      <c r="E109" s="565"/>
      <c r="F109" s="565"/>
      <c r="G109" s="577"/>
      <c r="H109" s="577"/>
      <c r="I109" s="577"/>
      <c r="J109" s="732"/>
      <c r="K109" s="728"/>
    </row>
    <row r="110" spans="1:11" s="94" customFormat="1" ht="14.25">
      <c r="A110" s="564"/>
      <c r="B110" s="564"/>
      <c r="C110" s="565"/>
      <c r="D110" s="565"/>
      <c r="E110" s="565"/>
      <c r="F110" s="565"/>
      <c r="G110" s="577"/>
      <c r="H110" s="577"/>
      <c r="I110" s="577"/>
      <c r="J110" s="732"/>
      <c r="K110" s="728"/>
    </row>
    <row r="111" spans="1:11" s="94" customFormat="1" ht="14.25">
      <c r="A111" s="564"/>
      <c r="B111" s="564"/>
      <c r="C111" s="565"/>
      <c r="D111" s="565"/>
      <c r="E111" s="565"/>
      <c r="F111" s="565"/>
      <c r="G111" s="577"/>
      <c r="H111" s="577"/>
      <c r="I111" s="577"/>
      <c r="J111" s="732"/>
      <c r="K111" s="728"/>
    </row>
    <row r="112" spans="1:11" s="94" customFormat="1" ht="14.25">
      <c r="A112" s="564"/>
      <c r="B112" s="564"/>
      <c r="C112" s="565"/>
      <c r="D112" s="565"/>
      <c r="E112" s="565"/>
      <c r="F112" s="565"/>
      <c r="G112" s="577"/>
      <c r="H112" s="577"/>
      <c r="I112" s="577"/>
      <c r="J112" s="732"/>
      <c r="K112" s="728"/>
    </row>
    <row r="113" spans="1:11" s="94" customFormat="1" ht="14.25">
      <c r="A113" s="564"/>
      <c r="B113" s="564"/>
      <c r="C113" s="565"/>
      <c r="D113" s="565"/>
      <c r="E113" s="565"/>
      <c r="F113" s="565"/>
      <c r="G113" s="577"/>
      <c r="H113" s="577"/>
      <c r="I113" s="577"/>
      <c r="J113" s="732"/>
      <c r="K113" s="728"/>
    </row>
    <row r="114" spans="1:11" s="94" customFormat="1" ht="14.25">
      <c r="A114" s="564"/>
      <c r="B114" s="564"/>
      <c r="C114" s="565"/>
      <c r="D114" s="565"/>
      <c r="E114" s="565"/>
      <c r="F114" s="565"/>
      <c r="G114" s="577"/>
      <c r="H114" s="577"/>
      <c r="I114" s="577"/>
      <c r="J114" s="732"/>
      <c r="K114" s="728"/>
    </row>
    <row r="115" spans="1:11" s="94" customFormat="1" ht="14.25">
      <c r="A115" s="564"/>
      <c r="B115" s="564"/>
      <c r="C115" s="565"/>
      <c r="D115" s="565"/>
      <c r="E115" s="565"/>
      <c r="F115" s="565"/>
      <c r="G115" s="577"/>
      <c r="H115" s="577"/>
      <c r="I115" s="577"/>
      <c r="J115" s="732"/>
      <c r="K115" s="728"/>
    </row>
    <row r="116" spans="1:11" s="94" customFormat="1" ht="14.25">
      <c r="A116" s="564"/>
      <c r="B116" s="564"/>
      <c r="C116" s="565"/>
      <c r="D116" s="565"/>
      <c r="E116" s="565"/>
      <c r="F116" s="565"/>
      <c r="G116" s="577"/>
      <c r="H116" s="577"/>
      <c r="I116" s="577"/>
      <c r="J116" s="732"/>
      <c r="K116" s="728"/>
    </row>
    <row r="117" spans="1:11" s="94" customFormat="1" ht="14.25">
      <c r="A117" s="564"/>
      <c r="B117" s="564"/>
      <c r="C117" s="565"/>
      <c r="D117" s="565"/>
      <c r="E117" s="565"/>
      <c r="F117" s="565"/>
      <c r="G117" s="577"/>
      <c r="H117" s="577"/>
      <c r="I117" s="577"/>
      <c r="J117" s="732"/>
      <c r="K117" s="728"/>
    </row>
    <row r="118" spans="1:11" s="94" customFormat="1" ht="14.25">
      <c r="A118" s="564"/>
      <c r="B118" s="564"/>
      <c r="C118" s="565"/>
      <c r="D118" s="565"/>
      <c r="E118" s="565"/>
      <c r="F118" s="565"/>
      <c r="G118" s="577"/>
      <c r="H118" s="577"/>
      <c r="I118" s="577"/>
      <c r="J118" s="732"/>
      <c r="K118" s="728"/>
    </row>
    <row r="119" spans="1:11" s="94" customFormat="1" ht="14.25">
      <c r="A119" s="564"/>
      <c r="B119" s="564"/>
      <c r="C119" s="565"/>
      <c r="D119" s="565"/>
      <c r="E119" s="565"/>
      <c r="F119" s="565"/>
      <c r="G119" s="577"/>
      <c r="H119" s="577"/>
      <c r="I119" s="577"/>
      <c r="J119" s="732"/>
      <c r="K119" s="728"/>
    </row>
    <row r="120" spans="1:11" s="94" customFormat="1" ht="14.25">
      <c r="A120" s="564"/>
      <c r="B120" s="564"/>
      <c r="C120" s="565"/>
      <c r="D120" s="565"/>
      <c r="E120" s="565"/>
      <c r="F120" s="565"/>
      <c r="G120" s="577"/>
      <c r="H120" s="577"/>
      <c r="I120" s="577"/>
      <c r="J120" s="732"/>
      <c r="K120" s="728"/>
    </row>
    <row r="121" spans="1:11" s="94" customFormat="1" ht="14.25">
      <c r="A121" s="564"/>
      <c r="B121" s="564"/>
      <c r="C121" s="565"/>
      <c r="D121" s="565"/>
      <c r="E121" s="565"/>
      <c r="F121" s="565"/>
      <c r="G121" s="577"/>
      <c r="H121" s="577"/>
      <c r="I121" s="577"/>
      <c r="J121" s="732"/>
      <c r="K121" s="728"/>
    </row>
    <row r="122" spans="1:11" s="94" customFormat="1" ht="14.25">
      <c r="A122" s="564"/>
      <c r="B122" s="564"/>
      <c r="C122" s="565"/>
      <c r="D122" s="565"/>
      <c r="E122" s="565"/>
      <c r="F122" s="565"/>
      <c r="G122" s="577"/>
      <c r="H122" s="577"/>
      <c r="I122" s="577"/>
      <c r="J122" s="732"/>
      <c r="K122" s="728"/>
    </row>
    <row r="123" spans="1:11" s="94" customFormat="1" ht="14.25">
      <c r="A123" s="564"/>
      <c r="B123" s="564"/>
      <c r="C123" s="565"/>
      <c r="D123" s="565"/>
      <c r="E123" s="565"/>
      <c r="F123" s="565"/>
      <c r="G123" s="577"/>
      <c r="H123" s="577"/>
      <c r="I123" s="577"/>
      <c r="J123" s="732"/>
      <c r="K123" s="728"/>
    </row>
    <row r="124" spans="1:11" s="94" customFormat="1" ht="14.25">
      <c r="A124" s="564"/>
      <c r="B124" s="564"/>
      <c r="C124" s="565"/>
      <c r="D124" s="565"/>
      <c r="E124" s="565"/>
      <c r="F124" s="565"/>
      <c r="G124" s="577"/>
      <c r="H124" s="577"/>
      <c r="I124" s="577"/>
      <c r="J124" s="732"/>
      <c r="K124" s="728"/>
    </row>
    <row r="125" spans="1:11" s="94" customFormat="1" ht="14.25">
      <c r="A125" s="564"/>
      <c r="B125" s="564"/>
      <c r="C125" s="565"/>
      <c r="D125" s="565"/>
      <c r="E125" s="565"/>
      <c r="F125" s="565"/>
      <c r="G125" s="577"/>
      <c r="H125" s="577"/>
      <c r="I125" s="577"/>
      <c r="J125" s="732"/>
      <c r="K125" s="728"/>
    </row>
    <row r="126" spans="1:11" s="94" customFormat="1" ht="14.25">
      <c r="A126" s="564"/>
      <c r="B126" s="564"/>
      <c r="C126" s="565"/>
      <c r="D126" s="565"/>
      <c r="E126" s="565"/>
      <c r="F126" s="565"/>
      <c r="G126" s="577"/>
      <c r="H126" s="577"/>
      <c r="I126" s="577"/>
      <c r="J126" s="732"/>
      <c r="K126" s="728"/>
    </row>
    <row r="127" spans="1:11" s="94" customFormat="1" ht="14.25">
      <c r="A127" s="564"/>
      <c r="B127" s="564"/>
      <c r="C127" s="565"/>
      <c r="D127" s="565"/>
      <c r="E127" s="565"/>
      <c r="F127" s="565"/>
      <c r="G127" s="577"/>
      <c r="H127" s="577"/>
      <c r="I127" s="577"/>
      <c r="J127" s="732"/>
      <c r="K127" s="728"/>
    </row>
    <row r="128" spans="1:11" s="94" customFormat="1" ht="14.25">
      <c r="A128" s="564"/>
      <c r="B128" s="564"/>
      <c r="C128" s="565"/>
      <c r="D128" s="565"/>
      <c r="E128" s="565"/>
      <c r="F128" s="565"/>
      <c r="G128" s="577"/>
      <c r="H128" s="577"/>
      <c r="I128" s="577"/>
      <c r="J128" s="732"/>
      <c r="K128" s="728"/>
    </row>
    <row r="129" spans="1:11" s="94" customFormat="1" ht="14.25">
      <c r="A129" s="564"/>
      <c r="B129" s="564"/>
      <c r="C129" s="565"/>
      <c r="D129" s="565"/>
      <c r="E129" s="565"/>
      <c r="F129" s="565"/>
      <c r="G129" s="577"/>
      <c r="H129" s="577"/>
      <c r="I129" s="577"/>
      <c r="J129" s="732"/>
      <c r="K129" s="728"/>
    </row>
    <row r="130" spans="1:11" s="94" customFormat="1" ht="14.25">
      <c r="A130" s="564"/>
      <c r="B130" s="564"/>
      <c r="C130" s="565"/>
      <c r="D130" s="565"/>
      <c r="E130" s="565"/>
      <c r="F130" s="565"/>
      <c r="G130" s="577"/>
      <c r="H130" s="577"/>
      <c r="I130" s="577"/>
      <c r="J130" s="732"/>
      <c r="K130" s="728"/>
    </row>
    <row r="131" spans="1:11" s="94" customFormat="1" ht="14.25">
      <c r="A131" s="564"/>
      <c r="B131" s="564"/>
      <c r="C131" s="565"/>
      <c r="D131" s="565"/>
      <c r="E131" s="565"/>
      <c r="F131" s="565"/>
      <c r="G131" s="577"/>
      <c r="H131" s="577"/>
      <c r="I131" s="577"/>
      <c r="J131" s="732"/>
      <c r="K131" s="728"/>
    </row>
    <row r="132" spans="1:11" s="94" customFormat="1" ht="14.25">
      <c r="A132" s="564"/>
      <c r="B132" s="564"/>
      <c r="C132" s="565"/>
      <c r="D132" s="565"/>
      <c r="E132" s="565"/>
      <c r="F132" s="565"/>
      <c r="G132" s="577"/>
      <c r="H132" s="577"/>
      <c r="I132" s="577"/>
      <c r="J132" s="732"/>
      <c r="K132" s="728"/>
    </row>
    <row r="133" spans="1:11" s="94" customFormat="1" ht="14.25">
      <c r="A133" s="564"/>
      <c r="B133" s="564"/>
      <c r="C133" s="565"/>
      <c r="D133" s="565"/>
      <c r="E133" s="565"/>
      <c r="F133" s="565"/>
      <c r="G133" s="577"/>
      <c r="H133" s="577"/>
      <c r="I133" s="577"/>
      <c r="J133" s="732"/>
      <c r="K133" s="728"/>
    </row>
    <row r="134" spans="1:11" s="94" customFormat="1" ht="14.25">
      <c r="A134" s="564"/>
      <c r="B134" s="564"/>
      <c r="C134" s="565"/>
      <c r="D134" s="565"/>
      <c r="E134" s="565"/>
      <c r="F134" s="565"/>
      <c r="G134" s="577"/>
      <c r="H134" s="577"/>
      <c r="I134" s="577"/>
      <c r="J134" s="732"/>
      <c r="K134" s="728"/>
    </row>
    <row r="135" spans="1:11" s="94" customFormat="1" ht="14.25">
      <c r="A135" s="564"/>
      <c r="B135" s="564"/>
      <c r="C135" s="565"/>
      <c r="D135" s="565"/>
      <c r="E135" s="565"/>
      <c r="F135" s="565"/>
      <c r="G135" s="577"/>
      <c r="H135" s="577"/>
      <c r="I135" s="577"/>
      <c r="J135" s="732"/>
      <c r="K135" s="728"/>
    </row>
    <row r="136" spans="1:11" s="94" customFormat="1" ht="14.25">
      <c r="A136" s="564"/>
      <c r="B136" s="564"/>
      <c r="C136" s="565"/>
      <c r="D136" s="565"/>
      <c r="E136" s="565"/>
      <c r="F136" s="565"/>
      <c r="G136" s="577"/>
      <c r="H136" s="577"/>
      <c r="I136" s="577"/>
      <c r="J136" s="732"/>
      <c r="K136" s="728"/>
    </row>
  </sheetData>
  <sheetProtection/>
  <mergeCells count="84">
    <mergeCell ref="B84:E84"/>
    <mergeCell ref="B87:E87"/>
    <mergeCell ref="B89:E89"/>
    <mergeCell ref="B90:E90"/>
    <mergeCell ref="B91:E91"/>
    <mergeCell ref="B88:E88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D39:E39"/>
    <mergeCell ref="B44:E44"/>
    <mergeCell ref="B45:E45"/>
    <mergeCell ref="B46:E46"/>
    <mergeCell ref="B33:E33"/>
    <mergeCell ref="C39:C43"/>
    <mergeCell ref="D37:E37"/>
    <mergeCell ref="D38:E38"/>
    <mergeCell ref="D35:E35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3" width="13.875" style="94" customWidth="1"/>
    <col min="4" max="4" width="14.50390625" style="94" customWidth="1"/>
    <col min="5" max="5" width="14.00390625" style="94" customWidth="1"/>
    <col min="6" max="6" width="13.125" style="94" customWidth="1"/>
    <col min="7" max="7" width="12.875" style="94" customWidth="1"/>
    <col min="8" max="9" width="13.625" style="94" customWidth="1"/>
    <col min="10" max="10" width="14.00390625" style="94" customWidth="1"/>
    <col min="11" max="11" width="13.125" style="94" customWidth="1"/>
    <col min="12" max="12" width="14.625" style="94" customWidth="1"/>
    <col min="13" max="13" width="14.50390625" style="94" customWidth="1"/>
    <col min="14" max="14" width="14.375" style="94" customWidth="1"/>
    <col min="15" max="15" width="14.625" style="233" customWidth="1"/>
    <col min="16" max="16" width="14.50390625" style="233" customWidth="1"/>
    <col min="17" max="17" width="14.375" style="233" customWidth="1"/>
  </cols>
  <sheetData>
    <row r="1" spans="1:17" ht="10.5" customHeight="1">
      <c r="A1" s="293"/>
      <c r="B1" s="294"/>
      <c r="C1" s="294"/>
      <c r="D1" s="376"/>
      <c r="E1" s="376"/>
      <c r="F1" s="376"/>
      <c r="G1" s="376"/>
      <c r="H1" s="376"/>
      <c r="I1" s="376"/>
      <c r="J1" s="376"/>
      <c r="K1" s="376"/>
      <c r="L1" s="376"/>
      <c r="M1" s="376"/>
      <c r="O1" s="390"/>
      <c r="P1" s="390"/>
      <c r="Q1" s="866" t="s">
        <v>881</v>
      </c>
    </row>
    <row r="2" spans="1:17" ht="13.5" customHeight="1">
      <c r="A2" s="293"/>
      <c r="B2" s="294"/>
      <c r="C2" s="294"/>
      <c r="D2" s="376"/>
      <c r="E2" s="376"/>
      <c r="F2" s="376"/>
      <c r="G2" s="376"/>
      <c r="H2" s="376"/>
      <c r="I2" s="376"/>
      <c r="J2" s="376"/>
      <c r="K2" s="376"/>
      <c r="L2" s="376"/>
      <c r="M2" s="376"/>
      <c r="O2" s="390"/>
      <c r="P2" s="390"/>
      <c r="Q2" s="866" t="s">
        <v>93</v>
      </c>
    </row>
    <row r="3" spans="1:17" ht="15">
      <c r="A3" s="293"/>
      <c r="B3" s="294"/>
      <c r="C3" s="294"/>
      <c r="D3" s="376"/>
      <c r="E3" s="376"/>
      <c r="F3" s="376"/>
      <c r="G3" s="376"/>
      <c r="H3" s="376"/>
      <c r="I3" s="376"/>
      <c r="J3" s="376"/>
      <c r="K3" s="376"/>
      <c r="L3" s="376"/>
      <c r="M3" s="376"/>
      <c r="O3" s="390"/>
      <c r="P3" s="390"/>
      <c r="Q3" s="866" t="s">
        <v>144</v>
      </c>
    </row>
    <row r="4" spans="1:17" s="15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s="15" customFormat="1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17" ht="45" customHeight="1" thickBot="1">
      <c r="A6" s="293"/>
      <c r="B6" s="294"/>
      <c r="C6" s="905"/>
      <c r="D6" s="905"/>
      <c r="E6" s="905"/>
      <c r="F6" s="376"/>
      <c r="G6" s="376"/>
      <c r="H6" s="376"/>
      <c r="I6" s="376"/>
      <c r="J6" s="376"/>
      <c r="K6" s="376"/>
      <c r="L6" s="376"/>
      <c r="M6" s="376"/>
      <c r="N6" s="870"/>
      <c r="O6" s="390"/>
      <c r="P6" s="390"/>
      <c r="Q6" s="130" t="s">
        <v>134</v>
      </c>
    </row>
    <row r="7" spans="1:17" s="129" customFormat="1" ht="32.25" customHeight="1">
      <c r="A7" s="127" t="s">
        <v>124</v>
      </c>
      <c r="B7" s="128" t="s">
        <v>125</v>
      </c>
      <c r="C7" s="1905" t="s">
        <v>502</v>
      </c>
      <c r="D7" s="1929"/>
      <c r="E7" s="1928"/>
      <c r="F7" s="1905" t="s">
        <v>665</v>
      </c>
      <c r="G7" s="1929"/>
      <c r="H7" s="1928"/>
      <c r="I7" s="1905" t="s">
        <v>666</v>
      </c>
      <c r="J7" s="1929"/>
      <c r="K7" s="1928"/>
      <c r="L7" s="1930" t="s">
        <v>667</v>
      </c>
      <c r="M7" s="1931"/>
      <c r="N7" s="1932"/>
      <c r="O7" s="1930" t="s">
        <v>668</v>
      </c>
      <c r="P7" s="1931"/>
      <c r="Q7" s="1932"/>
    </row>
    <row r="8" spans="1:17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31" customFormat="1" ht="13.5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2">
        <v>8</v>
      </c>
      <c r="I9" s="411">
        <v>9</v>
      </c>
      <c r="J9" s="412">
        <v>10</v>
      </c>
      <c r="K9" s="414">
        <v>11</v>
      </c>
      <c r="L9" s="412">
        <v>12</v>
      </c>
      <c r="M9" s="412">
        <v>13</v>
      </c>
      <c r="N9" s="414">
        <v>14</v>
      </c>
      <c r="O9" s="412">
        <v>15</v>
      </c>
      <c r="P9" s="412">
        <v>16</v>
      </c>
      <c r="Q9" s="414">
        <v>17</v>
      </c>
    </row>
    <row r="10" spans="1:17" s="31" customFormat="1" ht="16.5" thickBot="1">
      <c r="A10" s="370"/>
      <c r="B10" s="336" t="s">
        <v>129</v>
      </c>
      <c r="C10" s="371"/>
      <c r="D10" s="372"/>
      <c r="E10" s="373"/>
      <c r="F10" s="374"/>
      <c r="G10" s="375"/>
      <c r="H10" s="373"/>
      <c r="I10" s="374"/>
      <c r="J10" s="375"/>
      <c r="K10" s="373"/>
      <c r="L10" s="374"/>
      <c r="M10" s="375"/>
      <c r="N10" s="373"/>
      <c r="O10" s="374"/>
      <c r="P10" s="375"/>
      <c r="Q10" s="373"/>
    </row>
    <row r="11" spans="1:17" ht="16.5" thickBot="1">
      <c r="A11" s="303">
        <v>1</v>
      </c>
      <c r="B11" s="295" t="s">
        <v>113</v>
      </c>
      <c r="C11" s="304">
        <v>39</v>
      </c>
      <c r="D11" s="304">
        <v>84</v>
      </c>
      <c r="E11" s="348">
        <f>SUM(C11:D11)</f>
        <v>123</v>
      </c>
      <c r="F11" s="304"/>
      <c r="G11" s="304"/>
      <c r="H11" s="348">
        <f>SUM(F11:G11)</f>
        <v>0</v>
      </c>
      <c r="I11" s="304"/>
      <c r="J11" s="304"/>
      <c r="K11" s="348">
        <f aca="true" t="shared" si="0" ref="K11:K16">SUM(I11:J11)</f>
        <v>0</v>
      </c>
      <c r="L11" s="304"/>
      <c r="M11" s="304"/>
      <c r="N11" s="348">
        <f aca="true" t="shared" si="1" ref="N11:N16">SUM(L11:M11)</f>
        <v>0</v>
      </c>
      <c r="O11" s="377"/>
      <c r="P11" s="377"/>
      <c r="Q11" s="378">
        <f aca="true" t="shared" si="2" ref="Q11:Q16">SUM(O11:P11)</f>
        <v>0</v>
      </c>
    </row>
    <row r="12" spans="1:17" s="28" customFormat="1" ht="16.5" thickBot="1">
      <c r="A12" s="307">
        <v>2</v>
      </c>
      <c r="B12" s="906" t="s">
        <v>202</v>
      </c>
      <c r="C12" s="306">
        <v>26</v>
      </c>
      <c r="D12" s="304"/>
      <c r="E12" s="348">
        <f>SUM(C12:D12)</f>
        <v>26</v>
      </c>
      <c r="F12" s="306"/>
      <c r="G12" s="304"/>
      <c r="H12" s="348">
        <f>SUM(F12:G12)</f>
        <v>0</v>
      </c>
      <c r="I12" s="306"/>
      <c r="J12" s="304"/>
      <c r="K12" s="348">
        <f t="shared" si="0"/>
        <v>0</v>
      </c>
      <c r="L12" s="306"/>
      <c r="M12" s="304"/>
      <c r="N12" s="348">
        <f t="shared" si="1"/>
        <v>0</v>
      </c>
      <c r="O12" s="377"/>
      <c r="P12" s="377"/>
      <c r="Q12" s="378">
        <f t="shared" si="2"/>
        <v>0</v>
      </c>
    </row>
    <row r="13" spans="1:17" s="15" customFormat="1" ht="16.5" thickBot="1">
      <c r="A13" s="307">
        <v>3</v>
      </c>
      <c r="B13" s="295" t="s">
        <v>116</v>
      </c>
      <c r="C13" s="306">
        <v>76825</v>
      </c>
      <c r="D13" s="304">
        <v>52653</v>
      </c>
      <c r="E13" s="348">
        <f>SUM(C13:D13)</f>
        <v>129478</v>
      </c>
      <c r="F13" s="304">
        <v>1100</v>
      </c>
      <c r="G13" s="304"/>
      <c r="H13" s="348">
        <f>SUM(F13:G13)</f>
        <v>1100</v>
      </c>
      <c r="I13" s="304">
        <v>2326</v>
      </c>
      <c r="J13" s="304"/>
      <c r="K13" s="348">
        <f t="shared" si="0"/>
        <v>2326</v>
      </c>
      <c r="L13" s="304"/>
      <c r="M13" s="304"/>
      <c r="N13" s="348">
        <f t="shared" si="1"/>
        <v>0</v>
      </c>
      <c r="O13" s="377">
        <v>64704</v>
      </c>
      <c r="P13" s="377"/>
      <c r="Q13" s="378">
        <f t="shared" si="2"/>
        <v>64704</v>
      </c>
    </row>
    <row r="14" spans="1:17" s="15" customFormat="1" ht="16.5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10">
        <f>SUM(F14:G14)</f>
        <v>0</v>
      </c>
      <c r="I14" s="306"/>
      <c r="J14" s="306"/>
      <c r="K14" s="310">
        <f t="shared" si="0"/>
        <v>0</v>
      </c>
      <c r="L14" s="306"/>
      <c r="M14" s="306"/>
      <c r="N14" s="310">
        <f t="shared" si="1"/>
        <v>0</v>
      </c>
      <c r="O14" s="309"/>
      <c r="P14" s="306"/>
      <c r="Q14" s="310">
        <f t="shared" si="2"/>
        <v>0</v>
      </c>
    </row>
    <row r="15" spans="1:17" ht="15">
      <c r="A15" s="163" t="s">
        <v>98</v>
      </c>
      <c r="B15" s="152" t="s">
        <v>370</v>
      </c>
      <c r="C15" s="224"/>
      <c r="D15" s="224"/>
      <c r="E15" s="379">
        <f>C15+D15</f>
        <v>0</v>
      </c>
      <c r="F15" s="224"/>
      <c r="G15" s="224"/>
      <c r="H15" s="379">
        <f>F15+G15</f>
        <v>0</v>
      </c>
      <c r="I15" s="224"/>
      <c r="J15" s="224"/>
      <c r="K15" s="379">
        <f t="shared" si="0"/>
        <v>0</v>
      </c>
      <c r="L15" s="224"/>
      <c r="M15" s="224"/>
      <c r="N15" s="379">
        <f t="shared" si="1"/>
        <v>0</v>
      </c>
      <c r="O15" s="380"/>
      <c r="P15" s="380"/>
      <c r="Q15" s="381">
        <f t="shared" si="2"/>
        <v>0</v>
      </c>
    </row>
    <row r="16" spans="1:17" ht="15">
      <c r="A16" s="160" t="s">
        <v>99</v>
      </c>
      <c r="B16" s="156" t="s">
        <v>554</v>
      </c>
      <c r="C16" s="146"/>
      <c r="D16" s="146"/>
      <c r="E16" s="379">
        <f>C16+D16</f>
        <v>0</v>
      </c>
      <c r="F16" s="146"/>
      <c r="G16" s="146"/>
      <c r="H16" s="379">
        <f>F16+G16</f>
        <v>0</v>
      </c>
      <c r="I16" s="146"/>
      <c r="J16" s="146"/>
      <c r="K16" s="379">
        <f t="shared" si="0"/>
        <v>0</v>
      </c>
      <c r="L16" s="146"/>
      <c r="M16" s="146"/>
      <c r="N16" s="379">
        <f t="shared" si="1"/>
        <v>0</v>
      </c>
      <c r="O16" s="382"/>
      <c r="P16" s="382"/>
      <c r="Q16" s="381">
        <f t="shared" si="2"/>
        <v>0</v>
      </c>
    </row>
    <row r="17" spans="1:17" ht="15">
      <c r="A17" s="160" t="s">
        <v>100</v>
      </c>
      <c r="B17" s="156" t="s">
        <v>555</v>
      </c>
      <c r="C17" s="146"/>
      <c r="D17" s="146"/>
      <c r="E17" s="379">
        <f aca="true" t="shared" si="3" ref="E17:E22">C17+D17</f>
        <v>0</v>
      </c>
      <c r="F17" s="146"/>
      <c r="G17" s="146"/>
      <c r="H17" s="379">
        <f aca="true" t="shared" si="4" ref="H17:H22">F17+G17</f>
        <v>0</v>
      </c>
      <c r="I17" s="146"/>
      <c r="J17" s="146"/>
      <c r="K17" s="379">
        <f aca="true" t="shared" si="5" ref="K17:K22">SUM(I17:J17)</f>
        <v>0</v>
      </c>
      <c r="L17" s="146"/>
      <c r="M17" s="146"/>
      <c r="N17" s="379">
        <f aca="true" t="shared" si="6" ref="N17:N22">SUM(L17:M17)</f>
        <v>0</v>
      </c>
      <c r="O17" s="382"/>
      <c r="P17" s="382"/>
      <c r="Q17" s="381">
        <f aca="true" t="shared" si="7" ref="Q17:Q22">SUM(O17:P17)</f>
        <v>0</v>
      </c>
    </row>
    <row r="18" spans="1:17" ht="15">
      <c r="A18" s="160" t="s">
        <v>101</v>
      </c>
      <c r="B18" s="156" t="s">
        <v>371</v>
      </c>
      <c r="C18" s="150">
        <v>179</v>
      </c>
      <c r="D18" s="146"/>
      <c r="E18" s="379">
        <f t="shared" si="3"/>
        <v>179</v>
      </c>
      <c r="F18" s="146"/>
      <c r="G18" s="146"/>
      <c r="H18" s="379">
        <f t="shared" si="4"/>
        <v>0</v>
      </c>
      <c r="I18" s="146"/>
      <c r="J18" s="146"/>
      <c r="K18" s="379">
        <f t="shared" si="5"/>
        <v>0</v>
      </c>
      <c r="L18" s="146"/>
      <c r="M18" s="146"/>
      <c r="N18" s="379">
        <f t="shared" si="6"/>
        <v>0</v>
      </c>
      <c r="O18" s="382"/>
      <c r="P18" s="382"/>
      <c r="Q18" s="381">
        <f t="shared" si="7"/>
        <v>0</v>
      </c>
    </row>
    <row r="19" spans="1:17" ht="15">
      <c r="A19" s="155" t="s">
        <v>192</v>
      </c>
      <c r="B19" s="156" t="s">
        <v>556</v>
      </c>
      <c r="C19" s="150"/>
      <c r="D19" s="146"/>
      <c r="E19" s="379">
        <f>C19+D19</f>
        <v>0</v>
      </c>
      <c r="F19" s="146"/>
      <c r="G19" s="146"/>
      <c r="H19" s="379">
        <f>F19+G19</f>
        <v>0</v>
      </c>
      <c r="I19" s="146"/>
      <c r="J19" s="146"/>
      <c r="K19" s="379">
        <f>SUM(I19:J19)</f>
        <v>0</v>
      </c>
      <c r="L19" s="146"/>
      <c r="M19" s="146"/>
      <c r="N19" s="379">
        <f>SUM(L19:M19)</f>
        <v>0</v>
      </c>
      <c r="O19" s="382"/>
      <c r="P19" s="382"/>
      <c r="Q19" s="381">
        <f>SUM(O19:P19)</f>
        <v>0</v>
      </c>
    </row>
    <row r="20" spans="1:17" ht="15">
      <c r="A20" s="155" t="s">
        <v>327</v>
      </c>
      <c r="B20" s="156" t="s">
        <v>557</v>
      </c>
      <c r="C20" s="150"/>
      <c r="D20" s="146"/>
      <c r="E20" s="379">
        <f t="shared" si="3"/>
        <v>0</v>
      </c>
      <c r="F20" s="146"/>
      <c r="G20" s="146"/>
      <c r="H20" s="379">
        <f t="shared" si="4"/>
        <v>0</v>
      </c>
      <c r="I20" s="146"/>
      <c r="J20" s="146"/>
      <c r="K20" s="379">
        <f t="shared" si="5"/>
        <v>0</v>
      </c>
      <c r="L20" s="146"/>
      <c r="M20" s="146"/>
      <c r="N20" s="379">
        <f t="shared" si="6"/>
        <v>0</v>
      </c>
      <c r="O20" s="382"/>
      <c r="P20" s="382"/>
      <c r="Q20" s="381">
        <f t="shared" si="7"/>
        <v>0</v>
      </c>
    </row>
    <row r="21" spans="1:17" ht="15">
      <c r="A21" s="155" t="s">
        <v>328</v>
      </c>
      <c r="B21" s="156" t="s">
        <v>372</v>
      </c>
      <c r="C21" s="238"/>
      <c r="D21" s="224"/>
      <c r="E21" s="379">
        <f>C21+D21</f>
        <v>0</v>
      </c>
      <c r="F21" s="296"/>
      <c r="G21" s="146"/>
      <c r="H21" s="227">
        <f t="shared" si="4"/>
        <v>0</v>
      </c>
      <c r="I21" s="224">
        <v>87</v>
      </c>
      <c r="J21" s="224"/>
      <c r="K21" s="379">
        <f t="shared" si="5"/>
        <v>87</v>
      </c>
      <c r="L21" s="296"/>
      <c r="M21" s="146"/>
      <c r="N21" s="227">
        <f t="shared" si="6"/>
        <v>0</v>
      </c>
      <c r="O21" s="380">
        <v>4400</v>
      </c>
      <c r="P21" s="380"/>
      <c r="Q21" s="381">
        <f t="shared" si="7"/>
        <v>4400</v>
      </c>
    </row>
    <row r="22" spans="1:17" ht="15" customHeight="1" thickBot="1">
      <c r="A22" s="16" t="s">
        <v>69</v>
      </c>
      <c r="B22" s="324" t="s">
        <v>373</v>
      </c>
      <c r="C22" s="157"/>
      <c r="D22" s="158"/>
      <c r="E22" s="379">
        <f t="shared" si="3"/>
        <v>0</v>
      </c>
      <c r="F22" s="298"/>
      <c r="G22" s="158"/>
      <c r="H22" s="227">
        <f t="shared" si="4"/>
        <v>0</v>
      </c>
      <c r="I22" s="298"/>
      <c r="J22" s="158"/>
      <c r="K22" s="227">
        <f t="shared" si="5"/>
        <v>0</v>
      </c>
      <c r="L22" s="298"/>
      <c r="M22" s="158"/>
      <c r="N22" s="227">
        <f t="shared" si="6"/>
        <v>0</v>
      </c>
      <c r="O22" s="1139"/>
      <c r="P22" s="383"/>
      <c r="Q22" s="1110">
        <f t="shared" si="7"/>
        <v>0</v>
      </c>
    </row>
    <row r="23" spans="1:17" s="15" customFormat="1" ht="16.5" thickBot="1">
      <c r="A23" s="307">
        <v>5</v>
      </c>
      <c r="B23" s="295" t="s">
        <v>171</v>
      </c>
      <c r="C23" s="309">
        <f aca="true" t="shared" si="8" ref="C23:Q23">SUM(C15:C22)</f>
        <v>179</v>
      </c>
      <c r="D23" s="306">
        <f t="shared" si="8"/>
        <v>0</v>
      </c>
      <c r="E23" s="310">
        <f t="shared" si="8"/>
        <v>179</v>
      </c>
      <c r="F23" s="320">
        <f t="shared" si="8"/>
        <v>0</v>
      </c>
      <c r="G23" s="304">
        <f t="shared" si="8"/>
        <v>0</v>
      </c>
      <c r="H23" s="320">
        <f t="shared" si="8"/>
        <v>0</v>
      </c>
      <c r="I23" s="337">
        <f t="shared" si="8"/>
        <v>87</v>
      </c>
      <c r="J23" s="304">
        <f t="shared" si="8"/>
        <v>0</v>
      </c>
      <c r="K23" s="310">
        <f t="shared" si="8"/>
        <v>87</v>
      </c>
      <c r="L23" s="337">
        <f t="shared" si="8"/>
        <v>0</v>
      </c>
      <c r="M23" s="304">
        <f t="shared" si="8"/>
        <v>0</v>
      </c>
      <c r="N23" s="310">
        <f t="shared" si="8"/>
        <v>0</v>
      </c>
      <c r="O23" s="337">
        <f t="shared" si="8"/>
        <v>4400</v>
      </c>
      <c r="P23" s="304">
        <f t="shared" si="8"/>
        <v>0</v>
      </c>
      <c r="Q23" s="310">
        <f t="shared" si="8"/>
        <v>4400</v>
      </c>
    </row>
    <row r="24" spans="1:17" ht="16.5" thickBot="1">
      <c r="A24" s="303">
        <v>6</v>
      </c>
      <c r="B24" s="295" t="s">
        <v>174</v>
      </c>
      <c r="C24" s="304">
        <v>242990</v>
      </c>
      <c r="D24" s="304"/>
      <c r="E24" s="348">
        <f aca="true" t="shared" si="9" ref="E24:E30">SUM(C24:D24)</f>
        <v>242990</v>
      </c>
      <c r="F24" s="308">
        <v>1373</v>
      </c>
      <c r="G24" s="304"/>
      <c r="H24" s="310">
        <f aca="true" t="shared" si="10" ref="H24:H30">SUM(F24:G24)</f>
        <v>1373</v>
      </c>
      <c r="I24" s="308"/>
      <c r="J24" s="304"/>
      <c r="K24" s="310">
        <f aca="true" t="shared" si="11" ref="K24:K30">SUM(I24:J24)</f>
        <v>0</v>
      </c>
      <c r="L24" s="308">
        <v>114</v>
      </c>
      <c r="M24" s="304"/>
      <c r="N24" s="320">
        <f aca="true" t="shared" si="12" ref="N24:N30">SUM(L24:M24)</f>
        <v>114</v>
      </c>
      <c r="O24" s="1123">
        <v>239643</v>
      </c>
      <c r="P24" s="377"/>
      <c r="Q24" s="1111">
        <f aca="true" t="shared" si="13" ref="Q24:Q30">SUM(O24:P24)</f>
        <v>239643</v>
      </c>
    </row>
    <row r="25" spans="1:17" s="15" customFormat="1" ht="16.5" thickBot="1">
      <c r="A25" s="303">
        <v>7</v>
      </c>
      <c r="B25" s="295" t="s">
        <v>421</v>
      </c>
      <c r="C25" s="304">
        <v>56203</v>
      </c>
      <c r="D25" s="304">
        <v>-7200</v>
      </c>
      <c r="E25" s="348">
        <f t="shared" si="9"/>
        <v>49003</v>
      </c>
      <c r="F25" s="308"/>
      <c r="G25" s="304"/>
      <c r="H25" s="320">
        <f t="shared" si="10"/>
        <v>0</v>
      </c>
      <c r="I25" s="337"/>
      <c r="J25" s="304"/>
      <c r="K25" s="310">
        <f t="shared" si="11"/>
        <v>0</v>
      </c>
      <c r="L25" s="320"/>
      <c r="M25" s="304"/>
      <c r="N25" s="320">
        <f t="shared" si="12"/>
        <v>0</v>
      </c>
      <c r="O25" s="1123"/>
      <c r="P25" s="377"/>
      <c r="Q25" s="1111">
        <f t="shared" si="13"/>
        <v>0</v>
      </c>
    </row>
    <row r="26" spans="1:17" ht="15">
      <c r="A26" s="163" t="s">
        <v>98</v>
      </c>
      <c r="B26" s="156" t="s">
        <v>560</v>
      </c>
      <c r="C26" s="224"/>
      <c r="D26" s="224"/>
      <c r="E26" s="379">
        <f t="shared" si="9"/>
        <v>0</v>
      </c>
      <c r="F26" s="296"/>
      <c r="G26" s="224"/>
      <c r="H26" s="227">
        <f t="shared" si="10"/>
        <v>0</v>
      </c>
      <c r="I26" s="296"/>
      <c r="J26" s="224"/>
      <c r="K26" s="227">
        <f t="shared" si="11"/>
        <v>0</v>
      </c>
      <c r="L26" s="296"/>
      <c r="M26" s="224"/>
      <c r="N26" s="861">
        <f t="shared" si="12"/>
        <v>0</v>
      </c>
      <c r="O26" s="1121"/>
      <c r="P26" s="380"/>
      <c r="Q26" s="1110">
        <f t="shared" si="13"/>
        <v>0</v>
      </c>
    </row>
    <row r="27" spans="1:17" ht="15">
      <c r="A27" s="163" t="s">
        <v>99</v>
      </c>
      <c r="B27" s="156" t="s">
        <v>558</v>
      </c>
      <c r="C27" s="296"/>
      <c r="D27" s="146"/>
      <c r="E27" s="227">
        <f t="shared" si="9"/>
        <v>0</v>
      </c>
      <c r="F27" s="296"/>
      <c r="G27" s="224"/>
      <c r="H27" s="227">
        <f t="shared" si="10"/>
        <v>0</v>
      </c>
      <c r="I27" s="296"/>
      <c r="J27" s="224"/>
      <c r="K27" s="227">
        <f t="shared" si="11"/>
        <v>0</v>
      </c>
      <c r="L27" s="296"/>
      <c r="M27" s="224"/>
      <c r="N27" s="861">
        <f t="shared" si="12"/>
        <v>0</v>
      </c>
      <c r="O27" s="1121"/>
      <c r="P27" s="380"/>
      <c r="Q27" s="1110">
        <f t="shared" si="13"/>
        <v>0</v>
      </c>
    </row>
    <row r="28" spans="1:17" ht="15">
      <c r="A28" s="163" t="s">
        <v>100</v>
      </c>
      <c r="B28" s="156" t="s">
        <v>374</v>
      </c>
      <c r="C28" s="296"/>
      <c r="D28" s="224"/>
      <c r="E28" s="227">
        <f t="shared" si="9"/>
        <v>0</v>
      </c>
      <c r="F28" s="296"/>
      <c r="G28" s="224"/>
      <c r="H28" s="227">
        <f t="shared" si="10"/>
        <v>0</v>
      </c>
      <c r="I28" s="296"/>
      <c r="J28" s="224"/>
      <c r="K28" s="227">
        <f t="shared" si="11"/>
        <v>0</v>
      </c>
      <c r="L28" s="296"/>
      <c r="M28" s="224"/>
      <c r="N28" s="861">
        <f t="shared" si="12"/>
        <v>0</v>
      </c>
      <c r="O28" s="1121"/>
      <c r="P28" s="380"/>
      <c r="Q28" s="1110">
        <f t="shared" si="13"/>
        <v>0</v>
      </c>
    </row>
    <row r="29" spans="1:17" ht="15">
      <c r="A29" s="163" t="s">
        <v>101</v>
      </c>
      <c r="B29" s="156" t="s">
        <v>559</v>
      </c>
      <c r="C29" s="296"/>
      <c r="D29" s="224"/>
      <c r="E29" s="227">
        <f t="shared" si="9"/>
        <v>0</v>
      </c>
      <c r="F29" s="296"/>
      <c r="G29" s="224"/>
      <c r="H29" s="227">
        <f t="shared" si="10"/>
        <v>0</v>
      </c>
      <c r="I29" s="296"/>
      <c r="J29" s="224"/>
      <c r="K29" s="227">
        <f t="shared" si="11"/>
        <v>0</v>
      </c>
      <c r="L29" s="296"/>
      <c r="M29" s="224"/>
      <c r="N29" s="861">
        <f t="shared" si="12"/>
        <v>0</v>
      </c>
      <c r="O29" s="1121"/>
      <c r="P29" s="380"/>
      <c r="Q29" s="1110">
        <f t="shared" si="13"/>
        <v>0</v>
      </c>
    </row>
    <row r="30" spans="1:17" ht="15.75" thickBot="1">
      <c r="A30" s="325" t="s">
        <v>192</v>
      </c>
      <c r="B30" s="156" t="s">
        <v>375</v>
      </c>
      <c r="C30" s="319"/>
      <c r="D30" s="311"/>
      <c r="E30" s="314">
        <f t="shared" si="9"/>
        <v>0</v>
      </c>
      <c r="F30" s="319"/>
      <c r="G30" s="311"/>
      <c r="H30" s="314">
        <f t="shared" si="10"/>
        <v>0</v>
      </c>
      <c r="I30" s="319"/>
      <c r="J30" s="311"/>
      <c r="K30" s="314">
        <f t="shared" si="11"/>
        <v>0</v>
      </c>
      <c r="L30" s="319"/>
      <c r="M30" s="311"/>
      <c r="N30" s="164">
        <f t="shared" si="12"/>
        <v>0</v>
      </c>
      <c r="O30" s="1124"/>
      <c r="P30" s="386"/>
      <c r="Q30" s="1112">
        <f t="shared" si="13"/>
        <v>0</v>
      </c>
    </row>
    <row r="31" spans="1:17" s="15" customFormat="1" ht="16.5" thickBot="1">
      <c r="A31" s="303">
        <v>8</v>
      </c>
      <c r="B31" s="295" t="s">
        <v>173</v>
      </c>
      <c r="C31" s="337">
        <f aca="true" t="shared" si="14" ref="C31:Q31">SUM(C26:C30)</f>
        <v>0</v>
      </c>
      <c r="D31" s="304">
        <f t="shared" si="14"/>
        <v>0</v>
      </c>
      <c r="E31" s="310">
        <f t="shared" si="14"/>
        <v>0</v>
      </c>
      <c r="F31" s="320">
        <f t="shared" si="14"/>
        <v>0</v>
      </c>
      <c r="G31" s="304">
        <f t="shared" si="14"/>
        <v>0</v>
      </c>
      <c r="H31" s="320">
        <f t="shared" si="14"/>
        <v>0</v>
      </c>
      <c r="I31" s="337">
        <f t="shared" si="14"/>
        <v>0</v>
      </c>
      <c r="J31" s="304">
        <f t="shared" si="14"/>
        <v>0</v>
      </c>
      <c r="K31" s="310">
        <f t="shared" si="14"/>
        <v>0</v>
      </c>
      <c r="L31" s="337">
        <f t="shared" si="14"/>
        <v>0</v>
      </c>
      <c r="M31" s="304">
        <f t="shared" si="14"/>
        <v>0</v>
      </c>
      <c r="N31" s="320">
        <f t="shared" si="14"/>
        <v>0</v>
      </c>
      <c r="O31" s="337">
        <f t="shared" si="14"/>
        <v>0</v>
      </c>
      <c r="P31" s="304">
        <f t="shared" si="14"/>
        <v>0</v>
      </c>
      <c r="Q31" s="310">
        <f t="shared" si="14"/>
        <v>0</v>
      </c>
    </row>
    <row r="32" spans="1:17" ht="16.5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20">
        <f>SUM(L32:M32)</f>
        <v>0</v>
      </c>
      <c r="O32" s="1123"/>
      <c r="P32" s="377"/>
      <c r="Q32" s="1111">
        <f>SUM(O32:P32)</f>
        <v>0</v>
      </c>
    </row>
    <row r="33" spans="1:21" s="36" customFormat="1" ht="16.5" thickBot="1">
      <c r="A33" s="357">
        <v>10</v>
      </c>
      <c r="B33" s="907"/>
      <c r="C33" s="165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287">
        <f>SUM(L33:M33)</f>
        <v>0</v>
      </c>
      <c r="O33" s="165"/>
      <c r="P33" s="359"/>
      <c r="Q33" s="1101">
        <f>SUM(O33:P33)</f>
        <v>0</v>
      </c>
      <c r="R33" s="34"/>
      <c r="S33" s="34"/>
      <c r="T33" s="34"/>
      <c r="U33" s="34"/>
    </row>
    <row r="34" spans="1:93" s="37" customFormat="1" ht="17.25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376262</v>
      </c>
      <c r="D34" s="334">
        <f t="shared" si="15"/>
        <v>45537</v>
      </c>
      <c r="E34" s="746">
        <f t="shared" si="15"/>
        <v>421799</v>
      </c>
      <c r="F34" s="355">
        <f t="shared" si="15"/>
        <v>2473</v>
      </c>
      <c r="G34" s="334">
        <f t="shared" si="15"/>
        <v>0</v>
      </c>
      <c r="H34" s="746">
        <f t="shared" si="15"/>
        <v>2473</v>
      </c>
      <c r="I34" s="355">
        <f t="shared" si="15"/>
        <v>2413</v>
      </c>
      <c r="J34" s="334">
        <f t="shared" si="15"/>
        <v>0</v>
      </c>
      <c r="K34" s="746">
        <f t="shared" si="15"/>
        <v>2413</v>
      </c>
      <c r="L34" s="355">
        <f t="shared" si="15"/>
        <v>114</v>
      </c>
      <c r="M34" s="334">
        <f t="shared" si="15"/>
        <v>0</v>
      </c>
      <c r="N34" s="746">
        <f t="shared" si="15"/>
        <v>114</v>
      </c>
      <c r="O34" s="355">
        <f t="shared" si="15"/>
        <v>308747</v>
      </c>
      <c r="P34" s="334">
        <f t="shared" si="15"/>
        <v>0</v>
      </c>
      <c r="Q34" s="364">
        <f t="shared" si="15"/>
        <v>308747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</row>
    <row r="35" spans="1:93" ht="17.25" thickBot="1" thickTop="1">
      <c r="A35" s="151"/>
      <c r="B35" s="336" t="s">
        <v>131</v>
      </c>
      <c r="C35" s="1071"/>
      <c r="D35" s="292"/>
      <c r="E35" s="1102"/>
      <c r="F35" s="862"/>
      <c r="G35" s="292"/>
      <c r="H35" s="1102"/>
      <c r="I35" s="909"/>
      <c r="J35" s="292"/>
      <c r="K35" s="1102"/>
      <c r="L35" s="909"/>
      <c r="M35" s="292"/>
      <c r="N35" s="862"/>
      <c r="O35" s="1071"/>
      <c r="P35" s="292"/>
      <c r="Q35" s="1102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</row>
    <row r="36" spans="1:17" s="730" customFormat="1" ht="15">
      <c r="A36" s="737" t="s">
        <v>98</v>
      </c>
      <c r="B36" s="738" t="s">
        <v>376</v>
      </c>
      <c r="C36" s="1079"/>
      <c r="D36" s="739"/>
      <c r="E36" s="744">
        <f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3">
        <f>SUM(L36:M36)</f>
        <v>0</v>
      </c>
      <c r="O36" s="1125"/>
      <c r="P36" s="742"/>
      <c r="Q36" s="1113">
        <f>SUM(O36:P36)</f>
        <v>0</v>
      </c>
    </row>
    <row r="37" spans="1:17" s="730" customFormat="1" ht="15">
      <c r="A37" s="160" t="s">
        <v>99</v>
      </c>
      <c r="B37" s="156" t="s">
        <v>235</v>
      </c>
      <c r="C37" s="880"/>
      <c r="D37" s="146"/>
      <c r="E37" s="169">
        <f>SUM(C37:D37)</f>
        <v>0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859">
        <f>SUM(L37:M37)</f>
        <v>0</v>
      </c>
      <c r="O37" s="1120"/>
      <c r="P37" s="382"/>
      <c r="Q37" s="1114">
        <f>SUM(O37:P37)</f>
        <v>0</v>
      </c>
    </row>
    <row r="38" spans="1:17" s="730" customFormat="1" ht="15">
      <c r="A38" s="325" t="s">
        <v>100</v>
      </c>
      <c r="B38" s="149" t="s">
        <v>377</v>
      </c>
      <c r="C38" s="1070"/>
      <c r="D38" s="311"/>
      <c r="E38" s="314">
        <f>SUM(C38:D38)</f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164">
        <f>SUM(L38:M38)</f>
        <v>0</v>
      </c>
      <c r="O38" s="1124"/>
      <c r="P38" s="386"/>
      <c r="Q38" s="1112">
        <f>SUM(O38:P38)</f>
        <v>0</v>
      </c>
    </row>
    <row r="39" spans="1:17" s="730" customFormat="1" ht="15.75" thickBot="1">
      <c r="A39" s="161" t="s">
        <v>101</v>
      </c>
      <c r="B39" s="162" t="s">
        <v>381</v>
      </c>
      <c r="C39" s="881">
        <v>30761</v>
      </c>
      <c r="D39" s="158">
        <v>537</v>
      </c>
      <c r="E39" s="237">
        <f>SUM(C39:D39)</f>
        <v>31298</v>
      </c>
      <c r="F39" s="860"/>
      <c r="G39" s="158"/>
      <c r="H39" s="237">
        <f>SUM(F39:G39)</f>
        <v>0</v>
      </c>
      <c r="I39" s="881"/>
      <c r="J39" s="158"/>
      <c r="K39" s="237">
        <f>SUM(I39:J39)</f>
        <v>0</v>
      </c>
      <c r="L39" s="881"/>
      <c r="M39" s="158"/>
      <c r="N39" s="860">
        <f>SUM(L39:M39)</f>
        <v>0</v>
      </c>
      <c r="O39" s="1122"/>
      <c r="P39" s="383"/>
      <c r="Q39" s="1115">
        <f>SUM(O39:P39)</f>
        <v>0</v>
      </c>
    </row>
    <row r="40" spans="1:17" s="15" customFormat="1" ht="16.5" thickBot="1">
      <c r="A40" s="303">
        <v>1</v>
      </c>
      <c r="B40" s="295" t="s">
        <v>177</v>
      </c>
      <c r="C40" s="337">
        <f aca="true" t="shared" si="16" ref="C40:Q40">SUM(C36:C39)</f>
        <v>30761</v>
      </c>
      <c r="D40" s="304">
        <f t="shared" si="16"/>
        <v>537</v>
      </c>
      <c r="E40" s="310">
        <f t="shared" si="16"/>
        <v>31298</v>
      </c>
      <c r="F40" s="337">
        <f t="shared" si="16"/>
        <v>0</v>
      </c>
      <c r="G40" s="304">
        <f t="shared" si="16"/>
        <v>0</v>
      </c>
      <c r="H40" s="310">
        <f t="shared" si="16"/>
        <v>0</v>
      </c>
      <c r="I40" s="337">
        <f t="shared" si="16"/>
        <v>0</v>
      </c>
      <c r="J40" s="304">
        <f t="shared" si="16"/>
        <v>0</v>
      </c>
      <c r="K40" s="310">
        <f t="shared" si="16"/>
        <v>0</v>
      </c>
      <c r="L40" s="337">
        <f t="shared" si="16"/>
        <v>0</v>
      </c>
      <c r="M40" s="304">
        <f t="shared" si="16"/>
        <v>0</v>
      </c>
      <c r="N40" s="310">
        <f t="shared" si="16"/>
        <v>0</v>
      </c>
      <c r="O40" s="337">
        <f t="shared" si="16"/>
        <v>0</v>
      </c>
      <c r="P40" s="304">
        <f t="shared" si="16"/>
        <v>0</v>
      </c>
      <c r="Q40" s="310">
        <f t="shared" si="16"/>
        <v>0</v>
      </c>
    </row>
    <row r="41" spans="1:17" ht="15">
      <c r="A41" s="163" t="s">
        <v>98</v>
      </c>
      <c r="B41" s="152" t="s">
        <v>403</v>
      </c>
      <c r="C41" s="1069"/>
      <c r="D41" s="224"/>
      <c r="E41" s="227">
        <f>SUM(C41:D41)</f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861">
        <f>SUM(L41:M41)</f>
        <v>0</v>
      </c>
      <c r="O41" s="1121"/>
      <c r="P41" s="380"/>
      <c r="Q41" s="1110">
        <f>SUM(O41:P41)</f>
        <v>0</v>
      </c>
    </row>
    <row r="42" spans="1:17" ht="15">
      <c r="A42" s="160" t="s">
        <v>99</v>
      </c>
      <c r="B42" s="156" t="s">
        <v>378</v>
      </c>
      <c r="C42" s="880"/>
      <c r="D42" s="146"/>
      <c r="E42" s="169">
        <f>SUM(C42:D42)</f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859">
        <f>SUM(L42:M42)</f>
        <v>0</v>
      </c>
      <c r="O42" s="1120"/>
      <c r="P42" s="382"/>
      <c r="Q42" s="1114">
        <f>SUM(O42:P42)</f>
        <v>0</v>
      </c>
    </row>
    <row r="43" spans="1:17" ht="15">
      <c r="A43" s="160" t="s">
        <v>100</v>
      </c>
      <c r="B43" s="156" t="s">
        <v>379</v>
      </c>
      <c r="C43" s="880"/>
      <c r="D43" s="146"/>
      <c r="E43" s="169">
        <f>SUM(C43:D43)</f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859">
        <f>SUM(L43:M43)</f>
        <v>0</v>
      </c>
      <c r="O43" s="1120"/>
      <c r="P43" s="382"/>
      <c r="Q43" s="1114">
        <f>SUM(O43:P43)</f>
        <v>0</v>
      </c>
    </row>
    <row r="44" spans="1:17" ht="15.75" thickBot="1">
      <c r="A44" s="161" t="s">
        <v>101</v>
      </c>
      <c r="B44" s="162" t="s">
        <v>175</v>
      </c>
      <c r="C44" s="881"/>
      <c r="D44" s="158"/>
      <c r="E44" s="237">
        <f>SUM(C44:D44)</f>
        <v>0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860">
        <f>SUM(L44:M44)</f>
        <v>0</v>
      </c>
      <c r="O44" s="1122"/>
      <c r="P44" s="383"/>
      <c r="Q44" s="1115">
        <f>SUM(O44:P44)</f>
        <v>0</v>
      </c>
    </row>
    <row r="45" spans="1:17" s="15" customFormat="1" ht="16.5" thickBot="1">
      <c r="A45" s="303">
        <v>2</v>
      </c>
      <c r="B45" s="295" t="s">
        <v>176</v>
      </c>
      <c r="C45" s="337">
        <f>SUM(C41:C44)</f>
        <v>0</v>
      </c>
      <c r="D45" s="304">
        <f aca="true" t="shared" si="17" ref="D45:Q45">SUM(D41:D44)</f>
        <v>0</v>
      </c>
      <c r="E45" s="306">
        <f t="shared" si="17"/>
        <v>0</v>
      </c>
      <c r="F45" s="337">
        <f t="shared" si="17"/>
        <v>0</v>
      </c>
      <c r="G45" s="304">
        <f t="shared" si="17"/>
        <v>0</v>
      </c>
      <c r="H45" s="306">
        <f t="shared" si="17"/>
        <v>0</v>
      </c>
      <c r="I45" s="337">
        <f t="shared" si="17"/>
        <v>0</v>
      </c>
      <c r="J45" s="304">
        <f t="shared" si="17"/>
        <v>0</v>
      </c>
      <c r="K45" s="306">
        <f t="shared" si="17"/>
        <v>0</v>
      </c>
      <c r="L45" s="337">
        <f t="shared" si="17"/>
        <v>0</v>
      </c>
      <c r="M45" s="304">
        <f t="shared" si="17"/>
        <v>0</v>
      </c>
      <c r="N45" s="320">
        <f t="shared" si="17"/>
        <v>0</v>
      </c>
      <c r="O45" s="337">
        <f t="shared" si="17"/>
        <v>0</v>
      </c>
      <c r="P45" s="304">
        <f t="shared" si="17"/>
        <v>0</v>
      </c>
      <c r="Q45" s="310">
        <f t="shared" si="17"/>
        <v>0</v>
      </c>
    </row>
    <row r="46" spans="1:17" s="15" customFormat="1" ht="16.5" thickBot="1">
      <c r="A46" s="303">
        <v>3</v>
      </c>
      <c r="B46" s="295" t="s">
        <v>254</v>
      </c>
      <c r="C46" s="337"/>
      <c r="D46" s="304"/>
      <c r="E46" s="306">
        <f>SUM(C46:D46)</f>
        <v>0</v>
      </c>
      <c r="F46" s="337"/>
      <c r="G46" s="304"/>
      <c r="H46" s="306">
        <f>SUM(F46:G46)</f>
        <v>0</v>
      </c>
      <c r="I46" s="337"/>
      <c r="J46" s="304"/>
      <c r="K46" s="306">
        <f>SUM(I46:J46)</f>
        <v>0</v>
      </c>
      <c r="L46" s="337"/>
      <c r="M46" s="304"/>
      <c r="N46" s="320">
        <f>SUM(L46:M46)</f>
        <v>0</v>
      </c>
      <c r="O46" s="337"/>
      <c r="P46" s="304"/>
      <c r="Q46" s="310">
        <f>SUM(O46:P46)</f>
        <v>0</v>
      </c>
    </row>
    <row r="47" spans="1:17" ht="16.5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/>
      <c r="J47" s="304"/>
      <c r="K47" s="306">
        <f>SUM(I47:J47)</f>
        <v>0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30" customFormat="1" ht="1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/>
      <c r="M48" s="224"/>
      <c r="N48" s="861">
        <f>SUM(L48:M48)</f>
        <v>0</v>
      </c>
      <c r="O48" s="1121"/>
      <c r="P48" s="380"/>
      <c r="Q48" s="1110">
        <f>SUM(O48:P48)</f>
        <v>0</v>
      </c>
    </row>
    <row r="49" spans="1:17" ht="1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859">
        <f>SUM(L49:M49)</f>
        <v>0</v>
      </c>
      <c r="O49" s="1120"/>
      <c r="P49" s="382"/>
      <c r="Q49" s="1114">
        <f>SUM(O49:P49)</f>
        <v>0</v>
      </c>
    </row>
    <row r="50" spans="1:17" ht="15.75" thickBot="1">
      <c r="A50" s="161" t="s">
        <v>100</v>
      </c>
      <c r="B50" s="324" t="s">
        <v>413</v>
      </c>
      <c r="C50" s="880"/>
      <c r="D50" s="146"/>
      <c r="E50" s="169">
        <f>SUM(C50:D50)</f>
        <v>0</v>
      </c>
      <c r="F50" s="859">
        <v>89130</v>
      </c>
      <c r="G50" s="146"/>
      <c r="H50" s="169">
        <f>SUM(F50:G50)</f>
        <v>89130</v>
      </c>
      <c r="I50" s="880"/>
      <c r="J50" s="146"/>
      <c r="K50" s="169">
        <f>SUM(I50:J50)</f>
        <v>0</v>
      </c>
      <c r="L50" s="880"/>
      <c r="M50" s="146"/>
      <c r="N50" s="859">
        <f>SUM(L50:M50)</f>
        <v>0</v>
      </c>
      <c r="O50" s="1120"/>
      <c r="P50" s="382"/>
      <c r="Q50" s="1114">
        <f>SUM(O50:P50)</f>
        <v>0</v>
      </c>
    </row>
    <row r="51" spans="1:17" s="15" customFormat="1" ht="16.5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18" ref="E51:Q51">SUM(E48:E50)</f>
        <v>0</v>
      </c>
      <c r="F51" s="337">
        <f t="shared" si="18"/>
        <v>89130</v>
      </c>
      <c r="G51" s="304">
        <f t="shared" si="18"/>
        <v>0</v>
      </c>
      <c r="H51" s="306">
        <f t="shared" si="18"/>
        <v>89130</v>
      </c>
      <c r="I51" s="337">
        <f t="shared" si="18"/>
        <v>0</v>
      </c>
      <c r="J51" s="304">
        <f t="shared" si="18"/>
        <v>0</v>
      </c>
      <c r="K51" s="306">
        <f t="shared" si="18"/>
        <v>0</v>
      </c>
      <c r="L51" s="337">
        <f t="shared" si="18"/>
        <v>0</v>
      </c>
      <c r="M51" s="304">
        <f t="shared" si="18"/>
        <v>0</v>
      </c>
      <c r="N51" s="306">
        <f t="shared" si="18"/>
        <v>0</v>
      </c>
      <c r="O51" s="337">
        <f t="shared" si="18"/>
        <v>0</v>
      </c>
      <c r="P51" s="304">
        <f t="shared" si="18"/>
        <v>0</v>
      </c>
      <c r="Q51" s="310">
        <f t="shared" si="18"/>
        <v>0</v>
      </c>
    </row>
    <row r="52" spans="1:17" s="15" customFormat="1" ht="16.5" thickBot="1">
      <c r="A52" s="733">
        <v>6</v>
      </c>
      <c r="B52" s="734" t="s">
        <v>285</v>
      </c>
      <c r="C52" s="1072"/>
      <c r="D52" s="329"/>
      <c r="E52" s="322">
        <f>SUM(C52:D52)</f>
        <v>0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1078"/>
      <c r="M52" s="329"/>
      <c r="N52" s="323">
        <f>SUM(L52:M52)</f>
        <v>0</v>
      </c>
      <c r="O52" s="1126"/>
      <c r="P52" s="727"/>
      <c r="Q52" s="1116">
        <f>SUM(O52:P52)</f>
        <v>0</v>
      </c>
    </row>
    <row r="53" spans="1:17" ht="15">
      <c r="A53" s="144" t="s">
        <v>98</v>
      </c>
      <c r="B53" s="145" t="s">
        <v>382</v>
      </c>
      <c r="C53" s="1073"/>
      <c r="D53" s="147"/>
      <c r="E53" s="203">
        <f>SUM(C53:D53)</f>
        <v>0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1073"/>
      <c r="M53" s="147"/>
      <c r="N53" s="863">
        <f>SUM(L53:M53)</f>
        <v>0</v>
      </c>
      <c r="O53" s="1127"/>
      <c r="P53" s="391"/>
      <c r="Q53" s="1117">
        <f>SUM(O53:P53)</f>
        <v>0</v>
      </c>
    </row>
    <row r="54" spans="1:17" ht="15.75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164">
        <f>SUM(L54:M54)</f>
        <v>0</v>
      </c>
      <c r="O54" s="1124"/>
      <c r="P54" s="386"/>
      <c r="Q54" s="1112">
        <f>SUM(O54:P54)</f>
        <v>0</v>
      </c>
    </row>
    <row r="55" spans="1:17" s="15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19" ref="D55:Q55">SUM(D53:D54)</f>
        <v>0</v>
      </c>
      <c r="E55" s="306">
        <f t="shared" si="19"/>
        <v>0</v>
      </c>
      <c r="F55" s="337">
        <f t="shared" si="19"/>
        <v>0</v>
      </c>
      <c r="G55" s="304">
        <f t="shared" si="19"/>
        <v>0</v>
      </c>
      <c r="H55" s="306">
        <f t="shared" si="19"/>
        <v>0</v>
      </c>
      <c r="I55" s="337">
        <f t="shared" si="19"/>
        <v>0</v>
      </c>
      <c r="J55" s="304">
        <f t="shared" si="19"/>
        <v>0</v>
      </c>
      <c r="K55" s="306">
        <f t="shared" si="19"/>
        <v>0</v>
      </c>
      <c r="L55" s="337">
        <f t="shared" si="19"/>
        <v>0</v>
      </c>
      <c r="M55" s="304">
        <f t="shared" si="19"/>
        <v>0</v>
      </c>
      <c r="N55" s="306">
        <f t="shared" si="19"/>
        <v>0</v>
      </c>
      <c r="O55" s="1080">
        <f t="shared" si="19"/>
        <v>0</v>
      </c>
      <c r="P55" s="1082">
        <f t="shared" si="19"/>
        <v>0</v>
      </c>
      <c r="Q55" s="1084">
        <f t="shared" si="19"/>
        <v>0</v>
      </c>
    </row>
    <row r="56" spans="1:17" s="28" customFormat="1" ht="19.5" customHeight="1" thickBot="1">
      <c r="A56" s="690">
        <v>8</v>
      </c>
      <c r="B56" s="691" t="s">
        <v>46</v>
      </c>
      <c r="C56" s="1105">
        <f>C34-C40-C45-C46-C47-C51-C52-C55-C57-C58-C59</f>
        <v>345501</v>
      </c>
      <c r="D56" s="1106">
        <f>D34-D40-D45-D46-D47-D51-D52-D55-D57-D58-D59</f>
        <v>45000</v>
      </c>
      <c r="E56" s="1103">
        <f aca="true" t="shared" si="20" ref="E56:Q56">E34-E40-E45-E46-E47-E51-E52-E55-E57-E58-E59</f>
        <v>390501</v>
      </c>
      <c r="F56" s="1105">
        <f t="shared" si="20"/>
        <v>-86657</v>
      </c>
      <c r="G56" s="1106">
        <f t="shared" si="20"/>
        <v>0</v>
      </c>
      <c r="H56" s="1103">
        <f t="shared" si="20"/>
        <v>-86657</v>
      </c>
      <c r="I56" s="1105">
        <f t="shared" si="20"/>
        <v>2413</v>
      </c>
      <c r="J56" s="1106">
        <f t="shared" si="20"/>
        <v>0</v>
      </c>
      <c r="K56" s="1103">
        <f t="shared" si="20"/>
        <v>2413</v>
      </c>
      <c r="L56" s="1105">
        <f t="shared" si="20"/>
        <v>114</v>
      </c>
      <c r="M56" s="1106">
        <f t="shared" si="20"/>
        <v>0</v>
      </c>
      <c r="N56" s="1103">
        <f t="shared" si="20"/>
        <v>114</v>
      </c>
      <c r="O56" s="1128">
        <f t="shared" si="20"/>
        <v>308747</v>
      </c>
      <c r="P56" s="1130">
        <f t="shared" si="20"/>
        <v>0</v>
      </c>
      <c r="Q56" s="1118">
        <f t="shared" si="20"/>
        <v>308747</v>
      </c>
    </row>
    <row r="57" spans="1:17" s="15" customFormat="1" ht="15.75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1104">
        <f>SUM(L57:M57)</f>
        <v>0</v>
      </c>
      <c r="O57" s="1129"/>
      <c r="P57" s="394"/>
      <c r="Q57" s="1119">
        <f>SUM(O57:P57)</f>
        <v>0</v>
      </c>
    </row>
    <row r="58" spans="1:17" s="15" customFormat="1" ht="15.75">
      <c r="A58" s="326" t="s">
        <v>183</v>
      </c>
      <c r="B58" s="327" t="s">
        <v>384</v>
      </c>
      <c r="C58" s="1075"/>
      <c r="D58" s="317"/>
      <c r="E58" s="1104">
        <f>SUM(C58:D58)</f>
        <v>0</v>
      </c>
      <c r="F58" s="864"/>
      <c r="G58" s="317"/>
      <c r="H58" s="1104">
        <f>SUM(F58:G58)</f>
        <v>0</v>
      </c>
      <c r="I58" s="316"/>
      <c r="J58" s="317"/>
      <c r="K58" s="392">
        <f>SUM(I58:J58)</f>
        <v>0</v>
      </c>
      <c r="L58" s="316"/>
      <c r="M58" s="317"/>
      <c r="N58" s="392">
        <f>SUM(L58:M58)</f>
        <v>0</v>
      </c>
      <c r="O58" s="1129"/>
      <c r="P58" s="394"/>
      <c r="Q58" s="1119">
        <f>SUM(O58:P58)</f>
        <v>0</v>
      </c>
    </row>
    <row r="59" spans="1:17" s="15" customFormat="1" ht="16.5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397">
        <f>SUM(L59:M59)</f>
        <v>0</v>
      </c>
      <c r="O59" s="398"/>
      <c r="P59" s="399"/>
      <c r="Q59" s="400">
        <f>SUM(O59:P59)</f>
        <v>0</v>
      </c>
    </row>
    <row r="60" spans="1:17" s="34" customFormat="1" ht="17.25" thickBot="1" thickTop="1">
      <c r="A60" s="333" t="s">
        <v>109</v>
      </c>
      <c r="B60" s="335" t="s">
        <v>182</v>
      </c>
      <c r="C60" s="747">
        <f>C40+C45+C46+C47+C51+C52+C55+C56+C57+C58+C59</f>
        <v>376262</v>
      </c>
      <c r="D60" s="748">
        <f aca="true" t="shared" si="21" ref="D60:Q60">D40+D45+D46+D47+D51+D52+D55+D56+D57+D58+D59</f>
        <v>45537</v>
      </c>
      <c r="E60" s="746">
        <f t="shared" si="21"/>
        <v>421799</v>
      </c>
      <c r="F60" s="354">
        <f t="shared" si="21"/>
        <v>2473</v>
      </c>
      <c r="G60" s="334">
        <f t="shared" si="21"/>
        <v>0</v>
      </c>
      <c r="H60" s="746">
        <f t="shared" si="21"/>
        <v>2473</v>
      </c>
      <c r="I60" s="747">
        <f t="shared" si="21"/>
        <v>2413</v>
      </c>
      <c r="J60" s="748">
        <f t="shared" si="21"/>
        <v>0</v>
      </c>
      <c r="K60" s="746">
        <f t="shared" si="21"/>
        <v>2413</v>
      </c>
      <c r="L60" s="354">
        <f t="shared" si="21"/>
        <v>114</v>
      </c>
      <c r="M60" s="334">
        <f t="shared" si="21"/>
        <v>0</v>
      </c>
      <c r="N60" s="746">
        <f t="shared" si="21"/>
        <v>114</v>
      </c>
      <c r="O60" s="354">
        <f t="shared" si="21"/>
        <v>308747</v>
      </c>
      <c r="P60" s="334">
        <f t="shared" si="21"/>
        <v>0</v>
      </c>
      <c r="Q60" s="364">
        <f t="shared" si="21"/>
        <v>308747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1"/>
      <c r="P61" s="401"/>
      <c r="Q61" s="401"/>
    </row>
    <row r="62" spans="1:17" ht="16.5" thickBot="1" thickTop="1">
      <c r="A62" s="174"/>
      <c r="B62" s="175" t="s">
        <v>593</v>
      </c>
      <c r="C62" s="204"/>
      <c r="D62" s="402"/>
      <c r="E62" s="403">
        <f>SUM(C62:D62)</f>
        <v>0</v>
      </c>
      <c r="F62" s="204"/>
      <c r="G62" s="404"/>
      <c r="H62" s="403">
        <f>SUM(F62:G62)</f>
        <v>0</v>
      </c>
      <c r="I62" s="204"/>
      <c r="J62" s="404"/>
      <c r="K62" s="403">
        <f>SUM(I62:J62)</f>
        <v>0</v>
      </c>
      <c r="L62" s="204"/>
      <c r="M62" s="404"/>
      <c r="N62" s="403">
        <f>SUM(L62:M62)</f>
        <v>0</v>
      </c>
      <c r="O62" s="405"/>
      <c r="P62" s="406"/>
      <c r="Q62" s="407">
        <f>SUM(O62:P62)</f>
        <v>0</v>
      </c>
    </row>
    <row r="63" spans="1:17" ht="16.5" thickBot="1" thickTop="1">
      <c r="A63" s="174"/>
      <c r="B63" s="175" t="s">
        <v>594</v>
      </c>
      <c r="C63" s="204"/>
      <c r="D63" s="402"/>
      <c r="E63" s="403">
        <f>SUM(C63:D63)</f>
        <v>0</v>
      </c>
      <c r="F63" s="204"/>
      <c r="G63" s="404"/>
      <c r="H63" s="403">
        <f>SUM(F63:G63)</f>
        <v>0</v>
      </c>
      <c r="I63" s="204"/>
      <c r="J63" s="404"/>
      <c r="K63" s="403">
        <f>SUM(I63:J63)</f>
        <v>0</v>
      </c>
      <c r="L63" s="204"/>
      <c r="M63" s="404"/>
      <c r="N63" s="403">
        <f>SUM(L63:M63)</f>
        <v>0</v>
      </c>
      <c r="O63" s="405"/>
      <c r="P63" s="406"/>
      <c r="Q63" s="407">
        <f>SUM(O63:P63)</f>
        <v>0</v>
      </c>
    </row>
    <row r="64" ht="16.5" thickTop="1">
      <c r="A64" s="408"/>
    </row>
    <row r="65" ht="15.75">
      <c r="A65" s="408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17" width="16.625" style="94" customWidth="1"/>
    <col min="18" max="18" width="14.125" style="168" customWidth="1"/>
    <col min="19" max="20" width="9.375" style="168" customWidth="1"/>
  </cols>
  <sheetData>
    <row r="1" spans="1:17" ht="10.5" customHeight="1">
      <c r="A1" s="293"/>
      <c r="B1" s="294"/>
      <c r="C1" s="294"/>
      <c r="D1" s="294"/>
      <c r="E1" s="294"/>
      <c r="F1" s="294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866" t="s">
        <v>881</v>
      </c>
    </row>
    <row r="2" spans="1:17" ht="12.75" customHeight="1">
      <c r="A2" s="293"/>
      <c r="B2" s="294"/>
      <c r="C2" s="294"/>
      <c r="D2" s="294"/>
      <c r="E2" s="294"/>
      <c r="F2" s="294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866" t="s">
        <v>93</v>
      </c>
    </row>
    <row r="3" spans="1:17" ht="15">
      <c r="A3" s="293"/>
      <c r="B3" s="294"/>
      <c r="C3" s="294"/>
      <c r="D3" s="294"/>
      <c r="E3" s="294"/>
      <c r="F3" s="294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867" t="s">
        <v>145</v>
      </c>
    </row>
    <row r="4" spans="1:20" s="15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  <c r="R4" s="876"/>
      <c r="S4" s="876"/>
      <c r="T4" s="876"/>
    </row>
    <row r="5" spans="1:20" s="15" customFormat="1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878"/>
      <c r="S5" s="878"/>
      <c r="T5" s="878"/>
    </row>
    <row r="6" spans="1:17" ht="29.25" customHeight="1" thickBot="1">
      <c r="A6" s="293"/>
      <c r="B6" s="294"/>
      <c r="C6" s="294"/>
      <c r="D6" s="294"/>
      <c r="E6" s="294"/>
      <c r="F6" s="294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879" t="s">
        <v>134</v>
      </c>
    </row>
    <row r="7" spans="1:20" s="94" customFormat="1" ht="30" customHeight="1">
      <c r="A7" s="229" t="s">
        <v>124</v>
      </c>
      <c r="B7" s="93" t="s">
        <v>125</v>
      </c>
      <c r="C7" s="1902" t="s">
        <v>753</v>
      </c>
      <c r="D7" s="1903"/>
      <c r="E7" s="1904"/>
      <c r="F7" s="99" t="s">
        <v>146</v>
      </c>
      <c r="G7" s="230"/>
      <c r="H7" s="231"/>
      <c r="I7" s="1298" t="s">
        <v>340</v>
      </c>
      <c r="J7" s="1299"/>
      <c r="K7" s="1300"/>
      <c r="L7" s="1933" t="s">
        <v>68</v>
      </c>
      <c r="M7" s="1934"/>
      <c r="N7" s="1935"/>
      <c r="O7" s="55" t="s">
        <v>147</v>
      </c>
      <c r="P7" s="14"/>
      <c r="Q7" s="54"/>
      <c r="R7" s="168"/>
      <c r="S7" s="168"/>
      <c r="T7" s="168"/>
    </row>
    <row r="8" spans="1:29" s="25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  <c r="R8" s="886"/>
      <c r="S8" s="886"/>
      <c r="T8" s="886"/>
      <c r="U8" s="65"/>
      <c r="V8" s="65"/>
      <c r="W8" s="65"/>
      <c r="X8" s="65"/>
      <c r="Y8" s="65"/>
      <c r="Z8" s="65"/>
      <c r="AA8" s="65"/>
      <c r="AB8" s="65"/>
      <c r="AC8" s="65"/>
    </row>
    <row r="9" spans="1:29" s="35" customFormat="1" ht="13.5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1">
        <v>3</v>
      </c>
      <c r="G9" s="412">
        <v>4</v>
      </c>
      <c r="H9" s="414">
        <v>5</v>
      </c>
      <c r="I9" s="411">
        <v>6</v>
      </c>
      <c r="J9" s="412">
        <v>7</v>
      </c>
      <c r="K9" s="887">
        <v>8</v>
      </c>
      <c r="L9" s="888">
        <v>9</v>
      </c>
      <c r="M9" s="412">
        <v>10</v>
      </c>
      <c r="N9" s="414">
        <v>11</v>
      </c>
      <c r="O9" s="411">
        <v>12</v>
      </c>
      <c r="P9" s="412">
        <v>13</v>
      </c>
      <c r="Q9" s="414">
        <v>14</v>
      </c>
      <c r="R9" s="347"/>
      <c r="S9" s="347"/>
      <c r="T9" s="347"/>
      <c r="U9" s="31"/>
      <c r="V9" s="31"/>
      <c r="W9" s="31"/>
      <c r="X9" s="31"/>
      <c r="Y9" s="31"/>
      <c r="Z9" s="31"/>
      <c r="AA9" s="31"/>
      <c r="AB9" s="31"/>
      <c r="AC9" s="31"/>
    </row>
    <row r="10" spans="1:17" ht="18.75" thickBot="1">
      <c r="A10" s="370"/>
      <c r="B10" s="415" t="s">
        <v>129</v>
      </c>
      <c r="C10" s="371"/>
      <c r="D10" s="372"/>
      <c r="E10" s="417"/>
      <c r="F10" s="371"/>
      <c r="G10" s="372"/>
      <c r="H10" s="417"/>
      <c r="I10" s="374"/>
      <c r="J10" s="375"/>
      <c r="K10" s="889"/>
      <c r="L10" s="890"/>
      <c r="M10" s="375"/>
      <c r="N10" s="373"/>
      <c r="O10" s="374"/>
      <c r="P10" s="375"/>
      <c r="Q10" s="373"/>
    </row>
    <row r="11" spans="1:20" ht="16.5" thickBot="1">
      <c r="A11" s="303">
        <v>1</v>
      </c>
      <c r="B11" s="295" t="s">
        <v>113</v>
      </c>
      <c r="C11" s="304"/>
      <c r="D11" s="304"/>
      <c r="E11" s="348">
        <f>SUM(C11:D11)</f>
        <v>0</v>
      </c>
      <c r="F11" s="304"/>
      <c r="G11" s="304"/>
      <c r="H11" s="348">
        <f>SUM(F11:G11)</f>
        <v>0</v>
      </c>
      <c r="I11" s="309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'!O11+hivatal6!C11+hivatal6!F11+hivatal6!I11+hivatal6!L11+hivatal6!O11+hivatal7!F11+C11</f>
        <v>263919</v>
      </c>
      <c r="J11" s="304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'!P11+hivatal6!D11+hivatal6!G11+hivatal6!J11+hivatal6!M11+hivatal6!P11+hivatal7!G11+D11</f>
        <v>-5523</v>
      </c>
      <c r="K11" s="310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'!Q11+hivatal6!E11+hivatal6!H11+hivatal6!K11+hivatal6!N11+hivatal6!Q11+hivatal7!H11+E11</f>
        <v>258396</v>
      </c>
      <c r="L11" s="306"/>
      <c r="M11" s="304"/>
      <c r="N11" s="348">
        <f aca="true" t="shared" si="0" ref="N11:N16">SUM(L11:M11)</f>
        <v>0</v>
      </c>
      <c r="O11" s="309"/>
      <c r="P11" s="304"/>
      <c r="Q11" s="348"/>
      <c r="R11" s="891">
        <f>SUM(O11:P11)</f>
        <v>0</v>
      </c>
      <c r="S11" s="331"/>
      <c r="T11" s="331"/>
    </row>
    <row r="12" spans="1:20" s="28" customFormat="1" ht="16.5" thickBot="1">
      <c r="A12" s="307">
        <v>2</v>
      </c>
      <c r="B12" s="295" t="s">
        <v>202</v>
      </c>
      <c r="C12" s="306"/>
      <c r="D12" s="304"/>
      <c r="E12" s="348">
        <f>SUM(C12:D12)</f>
        <v>0</v>
      </c>
      <c r="F12" s="306"/>
      <c r="G12" s="304"/>
      <c r="H12" s="348">
        <f>SUM(F12:G12)</f>
        <v>0</v>
      </c>
      <c r="I12" s="309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'!O12+hivatal6!C12+hivatal6!F12+hivatal6!I12+hivatal6!L12+hivatal6!O12+hivatal7!F12+C12</f>
        <v>53113</v>
      </c>
      <c r="J12" s="304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'!P12+hivatal6!D12+hivatal6!G12+hivatal6!J12+hivatal6!M12+hivatal6!P12+hivatal7!G12+D12</f>
        <v>1448</v>
      </c>
      <c r="K12" s="310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'!Q12+hivatal6!E12+hivatal6!H12+hivatal6!K12+hivatal6!N12+hivatal6!Q12+hivatal7!H12+E12</f>
        <v>54561</v>
      </c>
      <c r="L12" s="306"/>
      <c r="M12" s="304"/>
      <c r="N12" s="348">
        <f t="shared" si="0"/>
        <v>0</v>
      </c>
      <c r="O12" s="306"/>
      <c r="P12" s="304"/>
      <c r="Q12" s="348"/>
      <c r="R12" s="891"/>
      <c r="S12" s="331"/>
      <c r="T12" s="892">
        <f>SUM(R12:S12)</f>
        <v>0</v>
      </c>
    </row>
    <row r="13" spans="1:20" s="15" customFormat="1" ht="16.5" thickBot="1">
      <c r="A13" s="307">
        <v>3</v>
      </c>
      <c r="B13" s="295" t="s">
        <v>116</v>
      </c>
      <c r="C13" s="306">
        <v>109628</v>
      </c>
      <c r="D13" s="304"/>
      <c r="E13" s="348">
        <f>SUM(C13:D13)</f>
        <v>109628</v>
      </c>
      <c r="F13" s="306"/>
      <c r="G13" s="304"/>
      <c r="H13" s="348">
        <f>SUM(F13:G13)</f>
        <v>0</v>
      </c>
      <c r="I13" s="309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'!O13+hivatal6!C13+hivatal6!F13+hivatal6!I13+hivatal6!L13+hivatal6!O13+hivatal7!F13+C13</f>
        <v>3433837</v>
      </c>
      <c r="J13" s="304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'!P13+hivatal6!D13+hivatal6!G13+hivatal6!J13+hivatal6!M13+hivatal6!P13+hivatal7!G13+D13</f>
        <v>260731</v>
      </c>
      <c r="K13" s="310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'!Q13+hivatal6!E13+hivatal6!H13+hivatal6!K13+hivatal6!N13+hivatal6!Q13+hivatal7!H13+E13</f>
        <v>3694568</v>
      </c>
      <c r="L13" s="306"/>
      <c r="M13" s="304"/>
      <c r="N13" s="348">
        <f t="shared" si="0"/>
        <v>0</v>
      </c>
      <c r="O13" s="309"/>
      <c r="P13" s="304"/>
      <c r="Q13" s="348"/>
      <c r="R13" s="891">
        <f aca="true" t="shared" si="1" ref="R13:R21">SUM(O13:P13)</f>
        <v>0</v>
      </c>
      <c r="S13" s="331"/>
      <c r="T13" s="331"/>
    </row>
    <row r="14" spans="1:20" s="15" customFormat="1" ht="16.5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10">
        <f>SUM(F14:G14)</f>
        <v>0</v>
      </c>
      <c r="I14" s="281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'!O14+hivatal6!C14+hivatal6!F14+hivatal6!I14+hivatal6!L14+hivatal6!O14+hivatal7!F14+C14</f>
        <v>91423</v>
      </c>
      <c r="J14" s="284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'!P14+hivatal6!D14+hivatal6!G14+hivatal6!J14+hivatal6!M14+hivatal6!P14+hivatal7!G14+D14</f>
        <v>54</v>
      </c>
      <c r="K14" s="282">
        <f>hivatal1!E14+hivatal1!H14+hivatal1!K14+hivatal1!N14+hivatal1!Q14+hivatal2!E14+hivatal2!H14+hivatal2!K14+hivatal2!N14+hivatal2!Q14+hivatal3!E14+hivatal3!H14+hivatal3!K14+hivatal3!N14+hivatal3!Q14+hivatal4!E14+hivatal4!H14+hivatal4!K14+hivatal4!N14+hivatal4!Q14+'hivatal5 '!E14+'hivatal5 '!H14+'hivatal5 '!K14+'hivatal5 '!N14+'hivatal5 '!Q14+hivatal6!E14+hivatal6!H14+hivatal6!K14+hivatal6!N14+hivatal6!Q14+hivatal7!H14+E14</f>
        <v>91477</v>
      </c>
      <c r="L14" s="306"/>
      <c r="M14" s="306"/>
      <c r="N14" s="310">
        <f t="shared" si="0"/>
        <v>0</v>
      </c>
      <c r="O14" s="309"/>
      <c r="P14" s="306"/>
      <c r="Q14" s="310"/>
      <c r="R14" s="323"/>
      <c r="S14" s="323"/>
      <c r="T14" s="323"/>
    </row>
    <row r="15" spans="1:18" ht="15">
      <c r="A15" s="163" t="s">
        <v>98</v>
      </c>
      <c r="B15" s="152" t="s">
        <v>370</v>
      </c>
      <c r="C15" s="224"/>
      <c r="D15" s="224"/>
      <c r="E15" s="379">
        <f aca="true" t="shared" si="2" ref="E15:E22">C15+D15</f>
        <v>0</v>
      </c>
      <c r="F15" s="224"/>
      <c r="G15" s="224"/>
      <c r="H15" s="379">
        <f aca="true" t="shared" si="3" ref="H15:H22">F15+G15</f>
        <v>0</v>
      </c>
      <c r="I15" s="226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'!O15+hivatal6!C15+hivatal6!F15+hivatal6!I15+hivatal6!L15+hivatal6!O15+hivatal7!F15+C15</f>
        <v>141742</v>
      </c>
      <c r="J15" s="224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'!P15+hivatal6!D15+hivatal6!G15+hivatal6!J15+hivatal6!M15+hivatal6!P15+hivatal7!G15+D15</f>
        <v>4484</v>
      </c>
      <c r="K15" s="227">
        <f>hivatal1!E15+hivatal1!H15+hivatal1!K15+hivatal1!N15+hivatal1!Q15+hivatal2!E15+hivatal2!H15+hivatal2!K15+hivatal2!N15+hivatal2!Q15+hivatal3!E15+hivatal3!H15+hivatal3!K15+hivatal3!N15+hivatal3!Q15+hivatal4!E15+hivatal4!H15+hivatal4!K15+hivatal4!N15+hivatal4!Q15+'hivatal5 '!E15+'hivatal5 '!H15+'hivatal5 '!K15+'hivatal5 '!N15+'hivatal5 '!Q15+hivatal6!E15+hivatal6!H15+hivatal6!K15+hivatal6!N15+hivatal6!Q15+hivatal7!H15+E15</f>
        <v>146226</v>
      </c>
      <c r="L15" s="238"/>
      <c r="M15" s="224"/>
      <c r="N15" s="379">
        <f t="shared" si="0"/>
        <v>0</v>
      </c>
      <c r="O15" s="226"/>
      <c r="P15" s="224"/>
      <c r="Q15" s="379"/>
      <c r="R15" s="891">
        <f t="shared" si="1"/>
        <v>0</v>
      </c>
    </row>
    <row r="16" spans="1:18" ht="15">
      <c r="A16" s="160" t="s">
        <v>99</v>
      </c>
      <c r="B16" s="156" t="s">
        <v>554</v>
      </c>
      <c r="C16" s="146"/>
      <c r="D16" s="146"/>
      <c r="E16" s="379">
        <f t="shared" si="2"/>
        <v>0</v>
      </c>
      <c r="F16" s="146"/>
      <c r="G16" s="146"/>
      <c r="H16" s="379">
        <f t="shared" si="3"/>
        <v>0</v>
      </c>
      <c r="I16" s="226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'!O16+hivatal6!C16+hivatal6!F16+hivatal6!I16+hivatal6!L16+hivatal6!O16+hivatal7!F16+C16</f>
        <v>0</v>
      </c>
      <c r="J16" s="224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'!P16+hivatal6!D16+hivatal6!G16+hivatal6!J16+hivatal6!M16+hivatal6!P16+hivatal7!G16+D16</f>
        <v>0</v>
      </c>
      <c r="K16" s="227">
        <f>hivatal1!E16+hivatal1!H16+hivatal1!K16+hivatal1!N16+hivatal1!Q16+hivatal2!E16+hivatal2!H16+hivatal2!K16+hivatal2!N16+hivatal2!Q16+hivatal3!E16+hivatal3!H16+hivatal3!K16+hivatal3!N16+hivatal3!Q16+hivatal4!E16+hivatal4!H16+hivatal4!K16+hivatal4!N16+hivatal4!Q16+'hivatal5 '!E16+'hivatal5 '!H16+'hivatal5 '!K16+'hivatal5 '!N16+'hivatal5 '!Q16+hivatal6!E16+hivatal6!H16+hivatal6!K16+hivatal6!N16+hivatal6!Q16+hivatal7!H16+E16</f>
        <v>0</v>
      </c>
      <c r="L16" s="148"/>
      <c r="M16" s="146"/>
      <c r="N16" s="379">
        <f t="shared" si="0"/>
        <v>0</v>
      </c>
      <c r="O16" s="150"/>
      <c r="P16" s="146"/>
      <c r="Q16" s="379"/>
      <c r="R16" s="891">
        <f>SUM(O16:P16)</f>
        <v>0</v>
      </c>
    </row>
    <row r="17" spans="1:18" ht="15">
      <c r="A17" s="160" t="s">
        <v>100</v>
      </c>
      <c r="B17" s="156" t="s">
        <v>555</v>
      </c>
      <c r="C17" s="146"/>
      <c r="D17" s="146"/>
      <c r="E17" s="379">
        <f t="shared" si="2"/>
        <v>0</v>
      </c>
      <c r="F17" s="146"/>
      <c r="G17" s="146"/>
      <c r="H17" s="379">
        <f t="shared" si="3"/>
        <v>0</v>
      </c>
      <c r="I17" s="226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'!O17+hivatal6!C17+hivatal6!F17+hivatal6!I17+hivatal6!L17+hivatal6!O17+hivatal7!F17+C17</f>
        <v>0</v>
      </c>
      <c r="J17" s="224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'!P17+hivatal6!D17+hivatal6!G17+hivatal6!J17+hivatal6!M17+hivatal6!P17+hivatal7!G17+D17</f>
        <v>0</v>
      </c>
      <c r="K17" s="227">
        <f>hivatal1!E17+hivatal1!H17+hivatal1!K17+hivatal1!N17+hivatal1!Q17+hivatal2!E17+hivatal2!H17+hivatal2!K17+hivatal2!N17+hivatal2!Q17+hivatal3!E17+hivatal3!H17+hivatal3!K17+hivatal3!N17+hivatal3!Q17+hivatal4!E17+hivatal4!H17+hivatal4!K17+hivatal4!N17+hivatal4!Q17+'hivatal5 '!E17+'hivatal5 '!H17+'hivatal5 '!K17+'hivatal5 '!N17+'hivatal5 '!Q17+hivatal6!E17+hivatal6!H17+hivatal6!K17+hivatal6!N17+hivatal6!Q17+hivatal7!H17+E17</f>
        <v>0</v>
      </c>
      <c r="L17" s="148"/>
      <c r="M17" s="146"/>
      <c r="N17" s="379">
        <f aca="true" t="shared" si="4" ref="N17:N22">SUM(L17:M17)</f>
        <v>0</v>
      </c>
      <c r="O17" s="150"/>
      <c r="P17" s="146"/>
      <c r="Q17" s="379"/>
      <c r="R17" s="891">
        <f t="shared" si="1"/>
        <v>0</v>
      </c>
    </row>
    <row r="18" spans="1:18" ht="15">
      <c r="A18" s="160" t="s">
        <v>101</v>
      </c>
      <c r="B18" s="156" t="s">
        <v>371</v>
      </c>
      <c r="C18" s="146"/>
      <c r="D18" s="146"/>
      <c r="E18" s="379">
        <f t="shared" si="2"/>
        <v>0</v>
      </c>
      <c r="F18" s="146"/>
      <c r="G18" s="146"/>
      <c r="H18" s="379">
        <f t="shared" si="3"/>
        <v>0</v>
      </c>
      <c r="I18" s="226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'!O18+hivatal6!C18+hivatal6!F18+hivatal6!I18+hivatal6!L18+hivatal6!O18+hivatal7!F18+C18</f>
        <v>37653</v>
      </c>
      <c r="J18" s="224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'!P18+hivatal6!D18+hivatal6!G18+hivatal6!J18+hivatal6!M18+hivatal6!P18+hivatal7!G18+D18</f>
        <v>1595</v>
      </c>
      <c r="K18" s="227">
        <f>hivatal1!E18+hivatal1!H18+hivatal1!K18+hivatal1!N18+hivatal1!Q18+hivatal2!E18+hivatal2!H18+hivatal2!K18+hivatal2!N18+hivatal2!Q18+hivatal3!E18+hivatal3!H18+hivatal3!K18+hivatal3!N18+hivatal3!Q18+hivatal4!E18+hivatal4!H18+hivatal4!K18+hivatal4!N18+hivatal4!Q18+'hivatal5 '!E18+'hivatal5 '!H18+'hivatal5 '!K18+'hivatal5 '!N18+'hivatal5 '!Q18+hivatal6!E18+hivatal6!H18+hivatal6!K18+hivatal6!N18+hivatal6!Q18+hivatal7!H18+E18</f>
        <v>39248</v>
      </c>
      <c r="L18" s="148"/>
      <c r="M18" s="146"/>
      <c r="N18" s="379">
        <f t="shared" si="4"/>
        <v>0</v>
      </c>
      <c r="O18" s="236"/>
      <c r="P18" s="158"/>
      <c r="Q18" s="379"/>
      <c r="R18" s="891">
        <f t="shared" si="1"/>
        <v>0</v>
      </c>
    </row>
    <row r="19" spans="1:18" ht="15">
      <c r="A19" s="155" t="s">
        <v>192</v>
      </c>
      <c r="B19" s="156" t="s">
        <v>556</v>
      </c>
      <c r="C19" s="148"/>
      <c r="D19" s="146"/>
      <c r="E19" s="379">
        <f t="shared" si="2"/>
        <v>0</v>
      </c>
      <c r="F19" s="148"/>
      <c r="G19" s="146"/>
      <c r="H19" s="379">
        <f t="shared" si="3"/>
        <v>0</v>
      </c>
      <c r="I19" s="226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'!O19+hivatal6!C19+hivatal6!F19+hivatal6!I19+hivatal6!L19+hivatal6!O19+hivatal7!F19+C19</f>
        <v>10000</v>
      </c>
      <c r="J19" s="224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'!P19+hivatal6!D19+hivatal6!G19+hivatal6!J19+hivatal6!M19+hivatal6!P19+hivatal7!G19+D19</f>
        <v>0</v>
      </c>
      <c r="K19" s="227">
        <f>hivatal1!E19+hivatal1!H19+hivatal1!K19+hivatal1!N19+hivatal1!Q19+hivatal2!E19+hivatal2!H19+hivatal2!K19+hivatal2!N19+hivatal2!Q19+hivatal3!E19+hivatal3!H19+hivatal3!K19+hivatal3!N19+hivatal3!Q19+hivatal4!E19+hivatal4!H19+hivatal4!K19+hivatal4!N19+hivatal4!Q19+'hivatal5 '!E19+'hivatal5 '!H19+'hivatal5 '!K19+'hivatal5 '!N19+'hivatal5 '!Q19+hivatal6!E19+hivatal6!H19+hivatal6!K19+hivatal6!N19+hivatal6!Q19+hivatal7!H19+E19</f>
        <v>10000</v>
      </c>
      <c r="L19" s="148"/>
      <c r="M19" s="146"/>
      <c r="N19" s="379">
        <f>SUM(L19:M19)</f>
        <v>0</v>
      </c>
      <c r="O19" s="150"/>
      <c r="P19" s="146"/>
      <c r="Q19" s="379"/>
      <c r="R19" s="891">
        <f>SUM(O19:P19)</f>
        <v>0</v>
      </c>
    </row>
    <row r="20" spans="1:18" ht="15">
      <c r="A20" s="155" t="s">
        <v>327</v>
      </c>
      <c r="B20" s="156" t="s">
        <v>557</v>
      </c>
      <c r="C20" s="148"/>
      <c r="D20" s="146"/>
      <c r="E20" s="379">
        <f t="shared" si="2"/>
        <v>0</v>
      </c>
      <c r="F20" s="148"/>
      <c r="G20" s="146"/>
      <c r="H20" s="379">
        <f t="shared" si="3"/>
        <v>0</v>
      </c>
      <c r="I20" s="226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'!O20+hivatal6!C20+hivatal6!F20+hivatal6!I20+hivatal6!L20+hivatal6!O20+hivatal7!F20+C20</f>
        <v>0</v>
      </c>
      <c r="J20" s="224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'!P20+hivatal6!D20+hivatal6!G20+hivatal6!J20+hivatal6!M20+hivatal6!P20+hivatal7!G20+D20</f>
        <v>0</v>
      </c>
      <c r="K20" s="227">
        <f>hivatal1!E20+hivatal1!H20+hivatal1!K20+hivatal1!N20+hivatal1!Q20+hivatal2!E20+hivatal2!H20+hivatal2!K20+hivatal2!N20+hivatal2!Q20+hivatal3!E20+hivatal3!H20+hivatal3!K20+hivatal3!N20+hivatal3!Q20+hivatal4!E20+hivatal4!H20+hivatal4!K20+hivatal4!N20+hivatal4!Q20+'hivatal5 '!E20+'hivatal5 '!H20+'hivatal5 '!K20+'hivatal5 '!N20+'hivatal5 '!Q20+hivatal6!E20+hivatal6!H20+hivatal6!K20+hivatal6!N20+hivatal6!Q20+hivatal7!H20+E20</f>
        <v>0</v>
      </c>
      <c r="L20" s="148"/>
      <c r="M20" s="146"/>
      <c r="N20" s="379">
        <f t="shared" si="4"/>
        <v>0</v>
      </c>
      <c r="O20" s="150"/>
      <c r="P20" s="146"/>
      <c r="Q20" s="379"/>
      <c r="R20" s="891">
        <f t="shared" si="1"/>
        <v>0</v>
      </c>
    </row>
    <row r="21" spans="1:18" ht="15">
      <c r="A21" s="155" t="s">
        <v>328</v>
      </c>
      <c r="B21" s="156" t="s">
        <v>372</v>
      </c>
      <c r="C21" s="238">
        <v>500</v>
      </c>
      <c r="D21" s="224"/>
      <c r="E21" s="379">
        <f t="shared" si="2"/>
        <v>500</v>
      </c>
      <c r="F21" s="238"/>
      <c r="G21" s="224"/>
      <c r="H21" s="379">
        <f t="shared" si="3"/>
        <v>0</v>
      </c>
      <c r="I21" s="226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'!O21+hivatal6!C21+hivatal6!F21+hivatal6!I21+hivatal6!L21+hivatal6!O21+hivatal7!F21+C21</f>
        <v>166851</v>
      </c>
      <c r="J21" s="224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'!P21+hivatal6!D21+hivatal6!G21+hivatal6!J21+hivatal6!M21+hivatal6!P21+hivatal7!G21+D21</f>
        <v>-4100</v>
      </c>
      <c r="K21" s="227">
        <f>hivatal1!E21+hivatal1!H21+hivatal1!K21+hivatal1!N21+hivatal1!Q21+hivatal2!E21+hivatal2!H21+hivatal2!K21+hivatal2!N21+hivatal2!Q21+hivatal3!E21+hivatal3!H21+hivatal3!K21+hivatal3!N21+hivatal3!Q21+hivatal4!E21+hivatal4!H21+hivatal4!K21+hivatal4!N21+hivatal4!Q21+'hivatal5 '!E21+'hivatal5 '!H21+'hivatal5 '!K21+'hivatal5 '!N21+'hivatal5 '!Q21+hivatal6!E21+hivatal6!H21+hivatal6!K21+hivatal6!N21+hivatal6!Q21+hivatal7!H21+E21</f>
        <v>162751</v>
      </c>
      <c r="L21" s="238"/>
      <c r="M21" s="224"/>
      <c r="N21" s="379">
        <f t="shared" si="4"/>
        <v>0</v>
      </c>
      <c r="O21" s="226"/>
      <c r="P21" s="224"/>
      <c r="Q21" s="379"/>
      <c r="R21" s="891">
        <f t="shared" si="1"/>
        <v>0</v>
      </c>
    </row>
    <row r="22" spans="1:18" ht="15" customHeight="1" thickBot="1">
      <c r="A22" s="16" t="s">
        <v>69</v>
      </c>
      <c r="B22" s="893" t="s">
        <v>373</v>
      </c>
      <c r="C22" s="157"/>
      <c r="D22" s="157"/>
      <c r="E22" s="379">
        <f t="shared" si="2"/>
        <v>0</v>
      </c>
      <c r="F22" s="157">
        <f>+tartalék!D39</f>
        <v>1669092</v>
      </c>
      <c r="G22" s="157">
        <f>tartalék!E39</f>
        <v>-1445785</v>
      </c>
      <c r="H22" s="379">
        <f t="shared" si="3"/>
        <v>223307</v>
      </c>
      <c r="I22" s="226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'!O22+hivatal6!C22+hivatal6!F22+hivatal6!I22+hivatal6!L22+hivatal6!O22+hivatal7!F22+C22</f>
        <v>1669092</v>
      </c>
      <c r="J22" s="224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'!P22+hivatal6!D22+hivatal6!G22+hivatal6!J22+hivatal6!M22+hivatal6!P22+hivatal7!G22+D22</f>
        <v>-1445785</v>
      </c>
      <c r="K22" s="227">
        <f>hivatal1!E22+hivatal1!H22+hivatal1!K22+hivatal1!N22+hivatal1!Q22+hivatal2!E22+hivatal2!H22+hivatal2!K22+hivatal2!N22+hivatal2!Q22+hivatal3!E22+hivatal3!H22+hivatal3!K22+hivatal3!N22+hivatal3!Q22+hivatal4!E22+hivatal4!H22+hivatal4!K22+hivatal4!N22+hivatal4!Q22+'hivatal5 '!E22+'hivatal5 '!H22+'hivatal5 '!K22+'hivatal5 '!N22+'hivatal5 '!Q22+hivatal6!E22+hivatal6!H22+hivatal6!K22+hivatal6!N22+hivatal6!Q22+hivatal7!H22+E22</f>
        <v>223307</v>
      </c>
      <c r="L22" s="157"/>
      <c r="M22" s="158"/>
      <c r="N22" s="379">
        <f t="shared" si="4"/>
        <v>0</v>
      </c>
      <c r="O22" s="236"/>
      <c r="P22" s="158"/>
      <c r="Q22" s="379"/>
      <c r="R22" s="891"/>
    </row>
    <row r="23" spans="1:20" s="15" customFormat="1" ht="16.5" thickBot="1">
      <c r="A23" s="307">
        <v>5</v>
      </c>
      <c r="B23" s="295" t="s">
        <v>171</v>
      </c>
      <c r="C23" s="309">
        <f>SUM(C15:C22)</f>
        <v>500</v>
      </c>
      <c r="D23" s="306">
        <f>SUM(D15:D22)</f>
        <v>0</v>
      </c>
      <c r="E23" s="310">
        <f>SUM(E15:E22)</f>
        <v>500</v>
      </c>
      <c r="F23" s="309">
        <f aca="true" t="shared" si="5" ref="F23:S23">SUM(F15:F22)</f>
        <v>1669092</v>
      </c>
      <c r="G23" s="306">
        <f t="shared" si="5"/>
        <v>-1445785</v>
      </c>
      <c r="H23" s="310">
        <f t="shared" si="5"/>
        <v>223307</v>
      </c>
      <c r="I23" s="306">
        <f t="shared" si="5"/>
        <v>2025338</v>
      </c>
      <c r="J23" s="306">
        <f t="shared" si="5"/>
        <v>-1443806</v>
      </c>
      <c r="K23" s="320">
        <f t="shared" si="5"/>
        <v>581532</v>
      </c>
      <c r="L23" s="309">
        <f t="shared" si="5"/>
        <v>0</v>
      </c>
      <c r="M23" s="306">
        <f t="shared" si="5"/>
        <v>0</v>
      </c>
      <c r="N23" s="310">
        <f t="shared" si="5"/>
        <v>0</v>
      </c>
      <c r="O23" s="309"/>
      <c r="P23" s="306"/>
      <c r="Q23" s="310"/>
      <c r="R23" s="323">
        <f t="shared" si="5"/>
        <v>0</v>
      </c>
      <c r="S23" s="323">
        <f t="shared" si="5"/>
        <v>0</v>
      </c>
      <c r="T23" s="323"/>
    </row>
    <row r="24" spans="1:20" ht="16.5" thickBot="1">
      <c r="A24" s="303">
        <v>6</v>
      </c>
      <c r="B24" s="295" t="s">
        <v>174</v>
      </c>
      <c r="C24" s="304">
        <v>1048</v>
      </c>
      <c r="D24" s="304"/>
      <c r="E24" s="348">
        <f aca="true" t="shared" si="6" ref="E24:E30">SUM(C24:D24)</f>
        <v>1048</v>
      </c>
      <c r="F24" s="304"/>
      <c r="G24" s="304"/>
      <c r="H24" s="348">
        <f aca="true" t="shared" si="7" ref="H24:H30">SUM(F24:G24)</f>
        <v>0</v>
      </c>
      <c r="I24" s="281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'!O24+hivatal6!C24+hivatal6!F24+hivatal6!I24+hivatal6!L24+hivatal6!O24+hivatal7!F24+C24</f>
        <v>3862060</v>
      </c>
      <c r="J24" s="284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'!P24+hivatal6!D24+hivatal6!G24+hivatal6!J24+hivatal6!M24+hivatal6!P24+hivatal7!G24+D24</f>
        <v>14397</v>
      </c>
      <c r="K24" s="282">
        <f>hivatal1!E24+hivatal1!H24+hivatal1!K24+hivatal1!N24+hivatal1!Q24+hivatal2!E24+hivatal2!H24+hivatal2!K24+hivatal2!N24+hivatal2!Q24+hivatal3!E24+hivatal3!H24+hivatal3!K24+hivatal3!N24+hivatal3!Q24+hivatal4!E24+hivatal4!H24+hivatal4!K24+hivatal4!N24+hivatal4!Q24+'hivatal5 '!E24+'hivatal5 '!H24+'hivatal5 '!K24+'hivatal5 '!N24+'hivatal5 '!Q24+hivatal6!E24+hivatal6!H24+hivatal6!K24+hivatal6!N24+hivatal6!Q24+hivatal7!H24+E24</f>
        <v>3876457</v>
      </c>
      <c r="L24" s="306"/>
      <c r="M24" s="304"/>
      <c r="N24" s="348">
        <f aca="true" t="shared" si="8" ref="N24:N33">SUM(L24:M24)</f>
        <v>0</v>
      </c>
      <c r="O24" s="309"/>
      <c r="P24" s="304"/>
      <c r="Q24" s="348"/>
      <c r="R24" s="891">
        <f aca="true" t="shared" si="9" ref="R24:R34">SUM(O24:P24)</f>
        <v>0</v>
      </c>
      <c r="S24" s="331"/>
      <c r="T24" s="331"/>
    </row>
    <row r="25" spans="1:20" s="15" customFormat="1" ht="16.5" thickBot="1">
      <c r="A25" s="303">
        <v>7</v>
      </c>
      <c r="B25" s="295" t="s">
        <v>421</v>
      </c>
      <c r="C25" s="304"/>
      <c r="D25" s="304"/>
      <c r="E25" s="348">
        <f t="shared" si="6"/>
        <v>0</v>
      </c>
      <c r="F25" s="304"/>
      <c r="G25" s="304"/>
      <c r="H25" s="348">
        <f t="shared" si="7"/>
        <v>0</v>
      </c>
      <c r="I25" s="281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'!O25+hivatal6!C25+hivatal6!F25+hivatal6!I25+hivatal6!L25+hivatal6!O25+hivatal7!F25+C25</f>
        <v>543442</v>
      </c>
      <c r="J25" s="284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'!P25+hivatal6!D25+hivatal6!G25+hivatal6!J25+hivatal6!M25+hivatal6!P25+hivatal7!G25+D25</f>
        <v>75905</v>
      </c>
      <c r="K25" s="282">
        <f>hivatal1!E25+hivatal1!H25+hivatal1!K25+hivatal1!N25+hivatal1!Q25+hivatal2!E25+hivatal2!H25+hivatal2!K25+hivatal2!N25+hivatal2!Q25+hivatal3!E25+hivatal3!H25+hivatal3!K25+hivatal3!N25+hivatal3!Q25+hivatal4!E25+hivatal4!H25+hivatal4!K25+hivatal4!N25+hivatal4!Q25+'hivatal5 '!E25+'hivatal5 '!H25+'hivatal5 '!K25+'hivatal5 '!N25+'hivatal5 '!Q25+hivatal6!E25+hivatal6!H25+hivatal6!K25+hivatal6!N25+hivatal6!Q25+hivatal7!H25+E25</f>
        <v>619347</v>
      </c>
      <c r="L25" s="306"/>
      <c r="M25" s="304"/>
      <c r="N25" s="348">
        <f t="shared" si="8"/>
        <v>0</v>
      </c>
      <c r="O25" s="309"/>
      <c r="P25" s="304"/>
      <c r="Q25" s="348"/>
      <c r="R25" s="891">
        <f t="shared" si="9"/>
        <v>0</v>
      </c>
      <c r="S25" s="331"/>
      <c r="T25" s="331"/>
    </row>
    <row r="26" spans="1:18" ht="15">
      <c r="A26" s="163" t="s">
        <v>98</v>
      </c>
      <c r="B26" s="156" t="s">
        <v>560</v>
      </c>
      <c r="C26" s="224"/>
      <c r="D26" s="224"/>
      <c r="E26" s="379">
        <f t="shared" si="6"/>
        <v>0</v>
      </c>
      <c r="F26" s="224"/>
      <c r="G26" s="224"/>
      <c r="H26" s="379">
        <f t="shared" si="7"/>
        <v>0</v>
      </c>
      <c r="I26" s="226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'!O26+hivatal6!C26+hivatal6!F26+hivatal6!I26+hivatal6!L26+hivatal6!O26+hivatal7!F26+C26</f>
        <v>0</v>
      </c>
      <c r="J26" s="224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'!P26+hivatal6!D26+hivatal6!G26+hivatal6!J26+hivatal6!M26+hivatal6!P26+hivatal7!G26+D26</f>
        <v>0</v>
      </c>
      <c r="K26" s="227">
        <f>hivatal1!E26+hivatal1!H26+hivatal1!K26+hivatal1!N26+hivatal1!Q26+hivatal2!E26+hivatal2!H26+hivatal2!K26+hivatal2!N26+hivatal2!Q26+hivatal3!E26+hivatal3!H26+hivatal3!K26+hivatal3!N26+hivatal3!Q26+hivatal4!E26+hivatal4!H26+hivatal4!K26+hivatal4!N26+hivatal4!Q26+'hivatal5 '!E26+'hivatal5 '!H26+'hivatal5 '!K26+'hivatal5 '!N26+'hivatal5 '!Q26+hivatal6!E26+hivatal6!H26+hivatal6!K26+hivatal6!N26+hivatal6!Q26+hivatal7!H26+E26</f>
        <v>0</v>
      </c>
      <c r="L26" s="238"/>
      <c r="M26" s="224"/>
      <c r="N26" s="379">
        <f t="shared" si="8"/>
        <v>0</v>
      </c>
      <c r="O26" s="226"/>
      <c r="P26" s="224"/>
      <c r="Q26" s="379"/>
      <c r="R26" s="891">
        <f t="shared" si="9"/>
        <v>0</v>
      </c>
    </row>
    <row r="27" spans="1:18" ht="15">
      <c r="A27" s="163" t="s">
        <v>99</v>
      </c>
      <c r="B27" s="156" t="s">
        <v>558</v>
      </c>
      <c r="C27" s="224"/>
      <c r="D27" s="224"/>
      <c r="E27" s="379">
        <f t="shared" si="6"/>
        <v>0</v>
      </c>
      <c r="F27" s="224"/>
      <c r="G27" s="224"/>
      <c r="H27" s="379">
        <f t="shared" si="7"/>
        <v>0</v>
      </c>
      <c r="I27" s="226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'!O27+hivatal6!C27+hivatal6!F27+hivatal6!I27+hivatal6!L27+hivatal6!O27+hivatal7!F27+C27</f>
        <v>0</v>
      </c>
      <c r="J27" s="224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'!P27+hivatal6!D27+hivatal6!G27+hivatal6!J27+hivatal6!M27+hivatal6!P27+hivatal7!G27+D27</f>
        <v>0</v>
      </c>
      <c r="K27" s="227">
        <f>hivatal1!E27+hivatal1!H27+hivatal1!K27+hivatal1!N27+hivatal1!Q27+hivatal2!E27+hivatal2!H27+hivatal2!K27+hivatal2!N27+hivatal2!Q27+hivatal3!E27+hivatal3!H27+hivatal3!K27+hivatal3!N27+hivatal3!Q27+hivatal4!E27+hivatal4!H27+hivatal4!K27+hivatal4!N27+hivatal4!Q27+'hivatal5 '!E27+'hivatal5 '!H27+'hivatal5 '!K27+'hivatal5 '!N27+'hivatal5 '!Q27+hivatal6!E27+hivatal6!H27+hivatal6!K27+hivatal6!N27+hivatal6!Q27+hivatal7!H27+E27</f>
        <v>0</v>
      </c>
      <c r="L27" s="238"/>
      <c r="M27" s="224"/>
      <c r="N27" s="379">
        <f t="shared" si="8"/>
        <v>0</v>
      </c>
      <c r="O27" s="226"/>
      <c r="P27" s="224"/>
      <c r="Q27" s="379"/>
      <c r="R27" s="891">
        <f t="shared" si="9"/>
        <v>0</v>
      </c>
    </row>
    <row r="28" spans="1:18" ht="15">
      <c r="A28" s="163" t="s">
        <v>100</v>
      </c>
      <c r="B28" s="156" t="s">
        <v>374</v>
      </c>
      <c r="C28" s="224"/>
      <c r="D28" s="224"/>
      <c r="E28" s="379">
        <f t="shared" si="6"/>
        <v>0</v>
      </c>
      <c r="F28" s="224"/>
      <c r="G28" s="224"/>
      <c r="H28" s="379">
        <f t="shared" si="7"/>
        <v>0</v>
      </c>
      <c r="I28" s="226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'!O28+hivatal6!C28+hivatal6!F28+hivatal6!I28+hivatal6!L28+hivatal6!O28+hivatal7!F28+C28</f>
        <v>1165</v>
      </c>
      <c r="J28" s="224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'!P28+hivatal6!D28+hivatal6!G28+hivatal6!J28+hivatal6!M28+hivatal6!P28+hivatal7!G28+D28</f>
        <v>0</v>
      </c>
      <c r="K28" s="227">
        <f>hivatal1!E28+hivatal1!H28+hivatal1!K28+hivatal1!N28+hivatal1!Q28+hivatal2!E28+hivatal2!H28+hivatal2!K28+hivatal2!N28+hivatal2!Q28+hivatal3!E28+hivatal3!H28+hivatal3!K28+hivatal3!N28+hivatal3!Q28+hivatal4!E28+hivatal4!H28+hivatal4!K28+hivatal4!N28+hivatal4!Q28+'hivatal5 '!E28+'hivatal5 '!H28+'hivatal5 '!K28+'hivatal5 '!N28+'hivatal5 '!Q28+hivatal6!E28+hivatal6!H28+hivatal6!K28+hivatal6!N28+hivatal6!Q28+hivatal7!H28+E28</f>
        <v>1165</v>
      </c>
      <c r="L28" s="238"/>
      <c r="M28" s="224"/>
      <c r="N28" s="379">
        <f t="shared" si="8"/>
        <v>0</v>
      </c>
      <c r="O28" s="1069"/>
      <c r="P28" s="146"/>
      <c r="Q28" s="227"/>
      <c r="R28" s="891">
        <f t="shared" si="9"/>
        <v>0</v>
      </c>
    </row>
    <row r="29" spans="1:18" ht="15">
      <c r="A29" s="163" t="s">
        <v>101</v>
      </c>
      <c r="B29" s="156" t="s">
        <v>559</v>
      </c>
      <c r="C29" s="296"/>
      <c r="D29" s="146"/>
      <c r="E29" s="227">
        <f t="shared" si="6"/>
        <v>0</v>
      </c>
      <c r="F29" s="296"/>
      <c r="G29" s="146"/>
      <c r="H29" s="227">
        <f t="shared" si="7"/>
        <v>0</v>
      </c>
      <c r="I29" s="1069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'!O29+hivatal6!C29+hivatal6!F29+hivatal6!I29+hivatal6!L29+hivatal6!O29+hivatal7!F29+C29</f>
        <v>12859</v>
      </c>
      <c r="J29" s="146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'!P29+hivatal6!D29+hivatal6!G29+hivatal6!J29+hivatal6!M29+hivatal6!P29+hivatal7!G29+D29</f>
        <v>459</v>
      </c>
      <c r="K29" s="227">
        <f>hivatal1!E29+hivatal1!H29+hivatal1!K29+hivatal1!N29+hivatal1!Q29+hivatal2!E29+hivatal2!H29+hivatal2!K29+hivatal2!N29+hivatal2!Q29+hivatal3!E29+hivatal3!H29+hivatal3!K29+hivatal3!N29+hivatal3!Q29+hivatal4!E29+hivatal4!H29+hivatal4!K29+hivatal4!N29+hivatal4!Q29+'hivatal5 '!E29+'hivatal5 '!H29+'hivatal5 '!K29+'hivatal5 '!N29+'hivatal5 '!Q29+hivatal6!E29+hivatal6!H29+hivatal6!K29+hivatal6!N29+hivatal6!Q29+hivatal7!H29+E29</f>
        <v>13318</v>
      </c>
      <c r="L29" s="861"/>
      <c r="M29" s="146"/>
      <c r="N29" s="227">
        <f t="shared" si="8"/>
        <v>0</v>
      </c>
      <c r="O29" s="1069"/>
      <c r="P29" s="224"/>
      <c r="Q29" s="227"/>
      <c r="R29" s="891">
        <f t="shared" si="9"/>
        <v>0</v>
      </c>
    </row>
    <row r="30" spans="1:18" ht="15.75" thickBot="1">
      <c r="A30" s="325" t="s">
        <v>192</v>
      </c>
      <c r="B30" s="156" t="s">
        <v>375</v>
      </c>
      <c r="C30" s="319"/>
      <c r="D30" s="311"/>
      <c r="E30" s="227">
        <f t="shared" si="6"/>
        <v>0</v>
      </c>
      <c r="F30" s="319"/>
      <c r="G30" s="311"/>
      <c r="H30" s="227">
        <f t="shared" si="7"/>
        <v>0</v>
      </c>
      <c r="I30" s="1070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'!O30+hivatal6!C30+hivatal6!F30+hivatal6!I30+hivatal6!L30+hivatal6!O30+hivatal7!F30+C30</f>
        <v>85894</v>
      </c>
      <c r="J30" s="311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'!P30+hivatal6!D30+hivatal6!G30+hivatal6!J30+hivatal6!M30+hivatal6!P30+hivatal7!G30+D30</f>
        <v>728</v>
      </c>
      <c r="K30" s="314">
        <f>hivatal1!E30+hivatal1!H30+hivatal1!K30+hivatal1!N30+hivatal1!Q30+hivatal2!E30+hivatal2!H30+hivatal2!K30+hivatal2!N30+hivatal2!Q30+hivatal3!E30+hivatal3!H30+hivatal3!K30+hivatal3!N30+hivatal3!Q30+hivatal4!E30+hivatal4!H30+hivatal4!K30+hivatal4!N30+hivatal4!Q30+'hivatal5 '!E30+'hivatal5 '!H30+'hivatal5 '!K30+'hivatal5 '!N30+'hivatal5 '!Q30+hivatal6!E30+hivatal6!H30+hivatal6!K30+hivatal6!N30+hivatal6!Q30+hivatal7!H30+E30</f>
        <v>86622</v>
      </c>
      <c r="L30" s="164"/>
      <c r="M30" s="311"/>
      <c r="N30" s="314">
        <f t="shared" si="8"/>
        <v>0</v>
      </c>
      <c r="O30" s="1070"/>
      <c r="P30" s="311"/>
      <c r="Q30" s="314"/>
      <c r="R30" s="891">
        <f t="shared" si="9"/>
        <v>0</v>
      </c>
    </row>
    <row r="31" spans="1:20" s="15" customFormat="1" ht="16.5" thickBot="1">
      <c r="A31" s="303">
        <v>8</v>
      </c>
      <c r="B31" s="295" t="s">
        <v>173</v>
      </c>
      <c r="C31" s="308">
        <f>SUM(C26:C30)</f>
        <v>0</v>
      </c>
      <c r="D31" s="304">
        <f>SUM(D27:D30)</f>
        <v>0</v>
      </c>
      <c r="E31" s="306">
        <f>SUM(E27:E30)</f>
        <v>0</v>
      </c>
      <c r="F31" s="308">
        <f>SUM(F26:F30)</f>
        <v>0</v>
      </c>
      <c r="G31" s="304">
        <f>SUM(G27:G30)</f>
        <v>0</v>
      </c>
      <c r="H31" s="306">
        <f>SUM(H27:H30)</f>
        <v>0</v>
      </c>
      <c r="I31" s="1089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'!O31+hivatal6!C31+hivatal6!F31+hivatal6!I31+hivatal6!L31+hivatal6!O31+hivatal7!F31</f>
        <v>99918</v>
      </c>
      <c r="J31" s="284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'!P31+hivatal6!D31+hivatal6!G31+hivatal6!J31+hivatal6!M31+hivatal6!P31+hivatal7!G31</f>
        <v>1187</v>
      </c>
      <c r="K31" s="282">
        <f>I31+J31</f>
        <v>101105</v>
      </c>
      <c r="L31" s="320"/>
      <c r="M31" s="304"/>
      <c r="N31" s="310">
        <f t="shared" si="8"/>
        <v>0</v>
      </c>
      <c r="O31" s="337"/>
      <c r="P31" s="304"/>
      <c r="Q31" s="310"/>
      <c r="R31" s="891">
        <f t="shared" si="9"/>
        <v>0</v>
      </c>
      <c r="S31" s="331"/>
      <c r="T31" s="331"/>
    </row>
    <row r="32" spans="1:20" ht="16.5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1089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'!O32+hivatal6!C32+hivatal6!F32+hivatal6!I32+hivatal6!L32+hivatal6!O32+hivatal7!F32+C32</f>
        <v>72111</v>
      </c>
      <c r="J32" s="284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'!P32+hivatal6!D32+hivatal6!G32+hivatal6!J32+hivatal6!M32+hivatal6!P32+hivatal7!G32+D32</f>
        <v>114695</v>
      </c>
      <c r="K32" s="282">
        <f>hivatal1!E32+hivatal1!H32+hivatal1!K32+hivatal1!N32+hivatal1!Q32+hivatal2!E32+hivatal2!H32+hivatal2!K32+hivatal2!N32+hivatal2!Q32+hivatal3!E32+hivatal3!H32+hivatal3!K32+hivatal3!N32+hivatal3!Q32+hivatal4!E32+hivatal4!H32+hivatal4!K32+hivatal4!N32+hivatal4!Q32+'hivatal5 '!E32+'hivatal5 '!H32+'hivatal5 '!K32+'hivatal5 '!N32+'hivatal5 '!Q32+hivatal6!E32+hivatal6!H32+hivatal6!K32+hivatal6!N32+hivatal6!Q32+hivatal7!H32+E32</f>
        <v>186806</v>
      </c>
      <c r="L32" s="320"/>
      <c r="M32" s="304"/>
      <c r="N32" s="310">
        <f t="shared" si="8"/>
        <v>0</v>
      </c>
      <c r="O32" s="337"/>
      <c r="P32" s="304"/>
      <c r="Q32" s="310"/>
      <c r="R32" s="891">
        <f t="shared" si="9"/>
        <v>0</v>
      </c>
      <c r="S32" s="331"/>
      <c r="T32" s="331"/>
    </row>
    <row r="33" spans="1:20" s="34" customFormat="1" ht="16.5" thickBot="1">
      <c r="A33" s="357">
        <v>10</v>
      </c>
      <c r="B33" s="358"/>
      <c r="C33" s="908"/>
      <c r="D33" s="359"/>
      <c r="E33" s="1101">
        <f>SUM(C33:D33)</f>
        <v>0</v>
      </c>
      <c r="F33" s="908"/>
      <c r="G33" s="359"/>
      <c r="H33" s="1101">
        <f>SUM(F33:G33)</f>
        <v>0</v>
      </c>
      <c r="I33" s="1091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'!O33+hivatal6!C33+hivatal6!F33+hivatal6!I33+hivatal6!L33+hivatal6!O33+hivatal7!F33+C33</f>
        <v>0</v>
      </c>
      <c r="J33" s="360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'!P33+hivatal6!D33+hivatal6!G33+hivatal6!J33+hivatal6!M33+hivatal6!P33+hivatal7!G33+D33</f>
        <v>0</v>
      </c>
      <c r="K33" s="361">
        <f>hivatal1!E33+hivatal1!H33+hivatal1!K33+hivatal1!N33+hivatal1!Q33+hivatal2!E33+hivatal2!H33+hivatal2!K33+hivatal2!N33+hivatal2!Q33+hivatal3!E33+hivatal3!H33+hivatal3!K33+hivatal3!N33+hivatal3!Q33+hivatal4!E33+hivatal4!H33+hivatal4!K33+hivatal4!N33+hivatal4!Q33+'hivatal5 '!E33+'hivatal5 '!H33+'hivatal5 '!K33+'hivatal5 '!N33+'hivatal5 '!Q33+hivatal6!E33+hivatal6!H33+hivatal6!K33+hivatal6!N33+hivatal6!Q33+hivatal7!H33+E33</f>
        <v>0</v>
      </c>
      <c r="L33" s="287"/>
      <c r="M33" s="359"/>
      <c r="N33" s="1101">
        <f t="shared" si="8"/>
        <v>0</v>
      </c>
      <c r="O33" s="1085"/>
      <c r="P33" s="365"/>
      <c r="Q33" s="366"/>
      <c r="R33" s="891">
        <f t="shared" si="9"/>
        <v>0</v>
      </c>
      <c r="S33" s="418"/>
      <c r="T33" s="418"/>
    </row>
    <row r="34" spans="1:20" s="37" customFormat="1" ht="17.25" thickBot="1" thickTop="1">
      <c r="A34" s="333" t="s">
        <v>108</v>
      </c>
      <c r="B34" s="356" t="s">
        <v>180</v>
      </c>
      <c r="C34" s="355">
        <f>C11+C12+C13+C23+C14+C31+C25+C24+C32+C33</f>
        <v>111176</v>
      </c>
      <c r="D34" s="334">
        <f>D11+D12+D13+D23+D14+D31+D25+D24+D32+D33</f>
        <v>0</v>
      </c>
      <c r="E34" s="746">
        <f>E11+E12+E13+E23+E14+E31+E25+E24+E32+E33</f>
        <v>111176</v>
      </c>
      <c r="F34" s="355">
        <f aca="true" t="shared" si="10" ref="F34:Q34">F11+F12+F13+F23+F14+F31+F25+F24+F32+F33</f>
        <v>1669092</v>
      </c>
      <c r="G34" s="334">
        <f t="shared" si="10"/>
        <v>-1445785</v>
      </c>
      <c r="H34" s="746">
        <f t="shared" si="10"/>
        <v>223307</v>
      </c>
      <c r="I34" s="355">
        <f t="shared" si="10"/>
        <v>10445161</v>
      </c>
      <c r="J34" s="334">
        <f t="shared" si="10"/>
        <v>-980912</v>
      </c>
      <c r="K34" s="746">
        <f t="shared" si="10"/>
        <v>9464249</v>
      </c>
      <c r="L34" s="355">
        <f t="shared" si="10"/>
        <v>0</v>
      </c>
      <c r="M34" s="334">
        <f t="shared" si="10"/>
        <v>0</v>
      </c>
      <c r="N34" s="746">
        <f t="shared" si="10"/>
        <v>0</v>
      </c>
      <c r="O34" s="355">
        <f t="shared" si="10"/>
        <v>0</v>
      </c>
      <c r="P34" s="334">
        <f t="shared" si="10"/>
        <v>0</v>
      </c>
      <c r="Q34" s="364">
        <f t="shared" si="10"/>
        <v>0</v>
      </c>
      <c r="R34" s="891">
        <f t="shared" si="9"/>
        <v>0</v>
      </c>
      <c r="S34" s="422"/>
      <c r="T34" s="422"/>
    </row>
    <row r="35" spans="1:17" ht="17.25" thickBot="1" thickTop="1">
      <c r="A35" s="151"/>
      <c r="B35" s="336" t="s">
        <v>131</v>
      </c>
      <c r="C35" s="1071"/>
      <c r="D35" s="292"/>
      <c r="E35" s="1102"/>
      <c r="F35" s="1071"/>
      <c r="G35" s="292"/>
      <c r="H35" s="1102"/>
      <c r="I35" s="1086"/>
      <c r="J35" s="363"/>
      <c r="K35" s="894"/>
      <c r="L35" s="862"/>
      <c r="M35" s="292"/>
      <c r="N35" s="1102"/>
      <c r="O35" s="1086"/>
      <c r="P35" s="363"/>
      <c r="Q35" s="894"/>
    </row>
    <row r="36" spans="1:20" s="730" customFormat="1" ht="15">
      <c r="A36" s="737" t="s">
        <v>98</v>
      </c>
      <c r="B36" s="738" t="s">
        <v>376</v>
      </c>
      <c r="C36" s="1079"/>
      <c r="D36" s="739"/>
      <c r="E36" s="744"/>
      <c r="F36" s="1079"/>
      <c r="G36" s="739"/>
      <c r="H36" s="744"/>
      <c r="I36" s="1079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'!O36+hivatal6!C36+hivatal6!F36+hivatal6!I36+hivatal6!L36+hivatal6!O36+hivatal7!F36+C36</f>
        <v>0</v>
      </c>
      <c r="J36" s="739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'!P36+hivatal6!D36+hivatal6!G36+hivatal6!J36+hivatal6!M36+hivatal6!P36+hivatal7!G36+D36</f>
        <v>0</v>
      </c>
      <c r="K36" s="744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'!Q36+hivatal6!E36+hivatal6!H36+hivatal6!K36+hivatal6!N36+hivatal6!Q36+hivatal7!H36+E36</f>
        <v>0</v>
      </c>
      <c r="L36" s="743">
        <v>1979577</v>
      </c>
      <c r="M36" s="739">
        <v>12749</v>
      </c>
      <c r="N36" s="744">
        <f>SUM(L36:M36)</f>
        <v>1992326</v>
      </c>
      <c r="O36" s="1079"/>
      <c r="P36" s="739"/>
      <c r="Q36" s="744"/>
      <c r="R36" s="895">
        <f>SUM(O36:P36)</f>
        <v>0</v>
      </c>
      <c r="S36" s="731"/>
      <c r="T36" s="731"/>
    </row>
    <row r="37" spans="1:20" s="730" customFormat="1" ht="15">
      <c r="A37" s="160" t="s">
        <v>99</v>
      </c>
      <c r="B37" s="156" t="s">
        <v>235</v>
      </c>
      <c r="C37" s="880"/>
      <c r="D37" s="146"/>
      <c r="E37" s="169"/>
      <c r="F37" s="880"/>
      <c r="G37" s="146"/>
      <c r="H37" s="169"/>
      <c r="I37" s="880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'!O37+hivatal6!C37+hivatal6!F37+hivatal6!I37+hivatal6!L37+hivatal6!O37+hivatal7!F37+C37</f>
        <v>20693</v>
      </c>
      <c r="J37" s="146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'!P37+hivatal6!D37+hivatal6!G37+hivatal6!J37+hivatal6!M37+hivatal6!P37+hivatal7!G37+D37</f>
        <v>0</v>
      </c>
      <c r="K37" s="169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'!Q37+hivatal6!E37+hivatal6!H37+hivatal6!K37+hivatal6!N37+hivatal6!Q37+hivatal7!H37+E37</f>
        <v>20693</v>
      </c>
      <c r="L37" s="859"/>
      <c r="M37" s="146"/>
      <c r="N37" s="169">
        <f>SUM(L37:M37)</f>
        <v>0</v>
      </c>
      <c r="O37" s="880"/>
      <c r="P37" s="146"/>
      <c r="Q37" s="169"/>
      <c r="R37" s="896">
        <f>SUM(O37:P37)</f>
        <v>0</v>
      </c>
      <c r="S37" s="897"/>
      <c r="T37" s="745"/>
    </row>
    <row r="38" spans="1:20" s="730" customFormat="1" ht="15">
      <c r="A38" s="325" t="s">
        <v>100</v>
      </c>
      <c r="B38" s="149" t="s">
        <v>377</v>
      </c>
      <c r="C38" s="1070"/>
      <c r="D38" s="311"/>
      <c r="E38" s="314"/>
      <c r="F38" s="1070"/>
      <c r="G38" s="311"/>
      <c r="H38" s="314"/>
      <c r="I38" s="1070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'!O38+hivatal6!C38+hivatal6!F38+hivatal6!I38+hivatal6!L38+hivatal6!O38+hivatal7!F38+C38</f>
        <v>0</v>
      </c>
      <c r="J38" s="311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'!P38+hivatal6!D38+hivatal6!G38+hivatal6!J38+hivatal6!M38+hivatal6!P38+hivatal7!G38+D38</f>
        <v>0</v>
      </c>
      <c r="K38" s="314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'!Q38+hivatal6!E38+hivatal6!H38+hivatal6!K38+hivatal6!N38+hivatal6!Q38+hivatal7!H38+E38</f>
        <v>0</v>
      </c>
      <c r="L38" s="164"/>
      <c r="M38" s="311"/>
      <c r="N38" s="314">
        <f aca="true" t="shared" si="11" ref="N38:N44">SUM(L38:M38)</f>
        <v>0</v>
      </c>
      <c r="O38" s="1070"/>
      <c r="P38" s="311"/>
      <c r="Q38" s="314"/>
      <c r="R38" s="728"/>
      <c r="S38" s="728"/>
      <c r="T38" s="728"/>
    </row>
    <row r="39" spans="1:20" s="730" customFormat="1" ht="15.75" thickBot="1">
      <c r="A39" s="161" t="s">
        <v>101</v>
      </c>
      <c r="B39" s="162" t="s">
        <v>381</v>
      </c>
      <c r="C39" s="881"/>
      <c r="D39" s="158"/>
      <c r="E39" s="237"/>
      <c r="F39" s="881"/>
      <c r="G39" s="158"/>
      <c r="H39" s="237"/>
      <c r="I39" s="881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'!O39+hivatal6!C39+hivatal6!F39+hivatal6!I39+hivatal6!L39+hivatal6!O39+hivatal7!F39+C39</f>
        <v>128877</v>
      </c>
      <c r="J39" s="158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'!P39+hivatal6!D39+hivatal6!G39+hivatal6!J39+hivatal6!M39+hivatal6!P39+hivatal7!G39+D39</f>
        <v>7707</v>
      </c>
      <c r="K39" s="237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'!Q39+hivatal6!E39+hivatal6!H39+hivatal6!K39+hivatal6!N39+hivatal6!Q39+hivatal7!H39+E39</f>
        <v>136584</v>
      </c>
      <c r="L39" s="860">
        <v>161101</v>
      </c>
      <c r="M39" s="158">
        <v>12928</v>
      </c>
      <c r="N39" s="237">
        <f t="shared" si="11"/>
        <v>174029</v>
      </c>
      <c r="O39" s="881"/>
      <c r="P39" s="158"/>
      <c r="Q39" s="237"/>
      <c r="R39" s="728"/>
      <c r="S39" s="728"/>
      <c r="T39" s="728"/>
    </row>
    <row r="40" spans="1:20" s="15" customFormat="1" ht="16.5" thickBot="1">
      <c r="A40" s="303">
        <v>1</v>
      </c>
      <c r="B40" s="295" t="s">
        <v>177</v>
      </c>
      <c r="C40" s="337">
        <f>SUM(C36:C39)</f>
        <v>0</v>
      </c>
      <c r="D40" s="304">
        <f>SUM(D36:D39)</f>
        <v>0</v>
      </c>
      <c r="E40" s="310">
        <f>SUM(E36:E39)</f>
        <v>0</v>
      </c>
      <c r="F40" s="337">
        <f aca="true" t="shared" si="12" ref="F40:N40">SUM(F36:F39)</f>
        <v>0</v>
      </c>
      <c r="G40" s="304">
        <f t="shared" si="12"/>
        <v>0</v>
      </c>
      <c r="H40" s="310">
        <f t="shared" si="12"/>
        <v>0</v>
      </c>
      <c r="I40" s="337">
        <f t="shared" si="12"/>
        <v>149570</v>
      </c>
      <c r="J40" s="304">
        <f t="shared" si="12"/>
        <v>7707</v>
      </c>
      <c r="K40" s="310">
        <f t="shared" si="12"/>
        <v>157277</v>
      </c>
      <c r="L40" s="337">
        <f t="shared" si="12"/>
        <v>2140678</v>
      </c>
      <c r="M40" s="304">
        <f t="shared" si="12"/>
        <v>25677</v>
      </c>
      <c r="N40" s="310">
        <f t="shared" si="12"/>
        <v>2166355</v>
      </c>
      <c r="O40" s="337"/>
      <c r="P40" s="304"/>
      <c r="Q40" s="310"/>
      <c r="R40" s="208"/>
      <c r="S40" s="208"/>
      <c r="T40" s="208"/>
    </row>
    <row r="41" spans="1:20" ht="15">
      <c r="A41" s="163" t="s">
        <v>98</v>
      </c>
      <c r="B41" s="152" t="s">
        <v>403</v>
      </c>
      <c r="C41" s="1069"/>
      <c r="D41" s="224"/>
      <c r="E41" s="227"/>
      <c r="F41" s="1069"/>
      <c r="G41" s="224"/>
      <c r="H41" s="227"/>
      <c r="I41" s="1069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'!O41+hivatal6!C41+hivatal6!F41+hivatal6!I41+hivatal6!L41+hivatal6!O41+hivatal7!F41+C41</f>
        <v>0</v>
      </c>
      <c r="J41" s="224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'!P41+hivatal6!D41+hivatal6!G41+hivatal6!J41+hivatal6!M41+hivatal6!P41+hivatal7!G41+D41</f>
        <v>0</v>
      </c>
      <c r="K41" s="227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'!Q41+hivatal6!E41+hivatal6!H41+hivatal6!K41+hivatal6!N41+hivatal6!Q41+hivatal7!H41+E41</f>
        <v>0</v>
      </c>
      <c r="L41" s="861"/>
      <c r="M41" s="224"/>
      <c r="N41" s="227">
        <f t="shared" si="11"/>
        <v>0</v>
      </c>
      <c r="O41" s="1069"/>
      <c r="P41" s="224"/>
      <c r="Q41" s="227"/>
      <c r="R41" s="94"/>
      <c r="S41" s="94"/>
      <c r="T41" s="94"/>
    </row>
    <row r="42" spans="1:20" ht="15">
      <c r="A42" s="160" t="s">
        <v>99</v>
      </c>
      <c r="B42" s="156" t="s">
        <v>378</v>
      </c>
      <c r="C42" s="880"/>
      <c r="D42" s="146"/>
      <c r="E42" s="169"/>
      <c r="F42" s="880"/>
      <c r="G42" s="146"/>
      <c r="H42" s="169"/>
      <c r="I42" s="1069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'!O42+hivatal6!C42+hivatal6!F42+hivatal6!I42+hivatal6!L42+hivatal6!O42+hivatal7!F42+C42</f>
        <v>0</v>
      </c>
      <c r="J42" s="224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'!P42+hivatal6!D42+hivatal6!G42+hivatal6!J42+hivatal6!M42+hivatal6!P42+hivatal7!G42+D42</f>
        <v>0</v>
      </c>
      <c r="K42" s="227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'!Q42+hivatal6!E42+hivatal6!H42+hivatal6!K42+hivatal6!N42+hivatal6!Q42+hivatal7!H42+E42</f>
        <v>0</v>
      </c>
      <c r="L42" s="859">
        <v>1613000</v>
      </c>
      <c r="M42" s="146">
        <v>26217</v>
      </c>
      <c r="N42" s="169">
        <f>SUM(L42:M42)</f>
        <v>1639217</v>
      </c>
      <c r="O42" s="880"/>
      <c r="P42" s="146"/>
      <c r="Q42" s="169"/>
      <c r="R42" s="94"/>
      <c r="S42" s="94"/>
      <c r="T42" s="94"/>
    </row>
    <row r="43" spans="1:20" ht="15">
      <c r="A43" s="160" t="s">
        <v>100</v>
      </c>
      <c r="B43" s="156" t="s">
        <v>379</v>
      </c>
      <c r="C43" s="880"/>
      <c r="D43" s="146"/>
      <c r="E43" s="169"/>
      <c r="F43" s="880"/>
      <c r="G43" s="146"/>
      <c r="H43" s="169"/>
      <c r="I43" s="1069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'!O43+hivatal6!C43+hivatal6!F43+hivatal6!I43+hivatal6!L43+hivatal6!O43+hivatal7!F43+C43</f>
        <v>0</v>
      </c>
      <c r="J43" s="224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'!P43+hivatal6!D43+hivatal6!G43+hivatal6!J43+hivatal6!M43+hivatal6!P43+hivatal7!G43+D43</f>
        <v>0</v>
      </c>
      <c r="K43" s="227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'!Q43+hivatal6!E43+hivatal6!H43+hivatal6!K43+hivatal6!N43+hivatal6!Q43+hivatal7!H43+E43</f>
        <v>0</v>
      </c>
      <c r="L43" s="859">
        <v>4868450</v>
      </c>
      <c r="M43" s="146">
        <v>-889066</v>
      </c>
      <c r="N43" s="169">
        <f>SUM(L43:M43)</f>
        <v>3979384</v>
      </c>
      <c r="O43" s="880"/>
      <c r="P43" s="146"/>
      <c r="Q43" s="169"/>
      <c r="R43" s="94"/>
      <c r="S43" s="94"/>
      <c r="T43" s="94"/>
    </row>
    <row r="44" spans="1:20" ht="15.75" thickBot="1">
      <c r="A44" s="161" t="s">
        <v>101</v>
      </c>
      <c r="B44" s="162" t="s">
        <v>175</v>
      </c>
      <c r="C44" s="881"/>
      <c r="D44" s="158"/>
      <c r="E44" s="237"/>
      <c r="F44" s="881"/>
      <c r="G44" s="158"/>
      <c r="H44" s="237"/>
      <c r="I44" s="1070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'!O44+hivatal6!C44+hivatal6!F44+hivatal6!I44+hivatal6!L44+hivatal6!O44+hivatal7!F44+C44</f>
        <v>8943</v>
      </c>
      <c r="J44" s="311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'!P44+hivatal6!D44+hivatal6!G44+hivatal6!J44+hivatal6!M44+hivatal6!P44+hivatal7!G44+D44</f>
        <v>1833</v>
      </c>
      <c r="K44" s="314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'!Q44+hivatal6!E44+hivatal6!H44+hivatal6!K44+hivatal6!N44+hivatal6!Q44+hivatal7!H44+E44</f>
        <v>10776</v>
      </c>
      <c r="L44" s="860">
        <v>24782</v>
      </c>
      <c r="M44" s="158">
        <v>70</v>
      </c>
      <c r="N44" s="237">
        <f t="shared" si="11"/>
        <v>24852</v>
      </c>
      <c r="O44" s="881"/>
      <c r="P44" s="158"/>
      <c r="Q44" s="237"/>
      <c r="R44" s="94"/>
      <c r="S44" s="94"/>
      <c r="T44" s="94"/>
    </row>
    <row r="45" spans="1:20" s="15" customFormat="1" ht="16.5" thickBot="1">
      <c r="A45" s="303">
        <v>2</v>
      </c>
      <c r="B45" s="295" t="s">
        <v>176</v>
      </c>
      <c r="C45" s="337">
        <f>SUM(C41:C44)</f>
        <v>0</v>
      </c>
      <c r="D45" s="304">
        <f>SUM(D41:D44)</f>
        <v>0</v>
      </c>
      <c r="E45" s="320">
        <f>SUM(E41:E44)</f>
        <v>0</v>
      </c>
      <c r="F45" s="337">
        <f>SUM(F41:F44)</f>
        <v>0</v>
      </c>
      <c r="G45" s="304">
        <f aca="true" t="shared" si="13" ref="G45:N45">SUM(G41:G44)</f>
        <v>0</v>
      </c>
      <c r="H45" s="320">
        <f t="shared" si="13"/>
        <v>0</v>
      </c>
      <c r="I45" s="337">
        <f>SUM(I41:I44)</f>
        <v>8943</v>
      </c>
      <c r="J45" s="304">
        <f t="shared" si="13"/>
        <v>1833</v>
      </c>
      <c r="K45" s="320">
        <f t="shared" si="13"/>
        <v>10776</v>
      </c>
      <c r="L45" s="337">
        <f t="shared" si="13"/>
        <v>6506232</v>
      </c>
      <c r="M45" s="304">
        <f t="shared" si="13"/>
        <v>-862779</v>
      </c>
      <c r="N45" s="320">
        <f t="shared" si="13"/>
        <v>5643453</v>
      </c>
      <c r="O45" s="337"/>
      <c r="P45" s="304"/>
      <c r="Q45" s="310"/>
      <c r="R45" s="208"/>
      <c r="S45" s="208"/>
      <c r="T45" s="208"/>
    </row>
    <row r="46" spans="1:20" s="15" customFormat="1" ht="16.5" thickBot="1">
      <c r="A46" s="303">
        <v>3</v>
      </c>
      <c r="B46" s="295" t="s">
        <v>254</v>
      </c>
      <c r="C46" s="337">
        <v>5807</v>
      </c>
      <c r="D46" s="304">
        <v>4804</v>
      </c>
      <c r="E46" s="310">
        <f>SUM(C46:D46)</f>
        <v>10611</v>
      </c>
      <c r="F46" s="337"/>
      <c r="G46" s="304"/>
      <c r="H46" s="310">
        <f>SUM(F46:G46)</f>
        <v>0</v>
      </c>
      <c r="I46" s="337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'!O46+hivatal6!C46+hivatal6!F46+hivatal6!I46+hivatal6!L46+hivatal6!O46+hivatal7!F46+C46</f>
        <v>879145</v>
      </c>
      <c r="J46" s="304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'!P46+hivatal6!D46+hivatal6!G46+hivatal6!J46+hivatal6!M46+hivatal6!P46+hivatal7!G46+D46</f>
        <v>-83129</v>
      </c>
      <c r="K46" s="310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'!Q46+hivatal6!E46+hivatal6!H46+hivatal6!K46+hivatal6!N46+hivatal6!Q46+hivatal7!H46+E46</f>
        <v>796016</v>
      </c>
      <c r="L46" s="337"/>
      <c r="M46" s="304"/>
      <c r="N46" s="310">
        <f>SUM(L46:M46)</f>
        <v>0</v>
      </c>
      <c r="O46" s="337"/>
      <c r="P46" s="304"/>
      <c r="Q46" s="310"/>
      <c r="R46" s="208"/>
      <c r="S46" s="208"/>
      <c r="T46" s="208"/>
    </row>
    <row r="47" spans="1:20" s="15" customFormat="1" ht="16.5" thickBot="1">
      <c r="A47" s="303">
        <v>4</v>
      </c>
      <c r="B47" s="295" t="s">
        <v>275</v>
      </c>
      <c r="C47" s="337">
        <v>7199</v>
      </c>
      <c r="D47" s="304">
        <v>165</v>
      </c>
      <c r="E47" s="310">
        <f>SUM(C47:D47)</f>
        <v>7364</v>
      </c>
      <c r="F47" s="337"/>
      <c r="G47" s="304"/>
      <c r="H47" s="310">
        <f>SUM(F47:G47)</f>
        <v>0</v>
      </c>
      <c r="I47" s="1140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'!O47+hivatal6!C47+hivatal6!F47+hivatal6!I47+hivatal6!L47+hivatal6!O47+hivatal7!F47+C47</f>
        <v>17566</v>
      </c>
      <c r="J47" s="771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'!P47+hivatal6!D47+hivatal6!G47+hivatal6!J47+hivatal6!M47+hivatal6!P47+hivatal7!G47+D47</f>
        <v>351</v>
      </c>
      <c r="K47" s="898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'!Q47+hivatal6!E47+hivatal6!H47+hivatal6!K47+hivatal6!N47+hivatal6!Q47+hivatal7!H47+E47</f>
        <v>17917</v>
      </c>
      <c r="L47" s="337"/>
      <c r="M47" s="304"/>
      <c r="N47" s="310">
        <f>SUM(L47:M47)</f>
        <v>0</v>
      </c>
      <c r="O47" s="337"/>
      <c r="P47" s="304"/>
      <c r="Q47" s="310"/>
      <c r="R47" s="208"/>
      <c r="S47" s="208"/>
      <c r="T47" s="208"/>
    </row>
    <row r="48" spans="1:20" s="730" customFormat="1" ht="15">
      <c r="A48" s="163" t="s">
        <v>98</v>
      </c>
      <c r="B48" s="149" t="s">
        <v>281</v>
      </c>
      <c r="C48" s="1069"/>
      <c r="D48" s="224"/>
      <c r="E48" s="227"/>
      <c r="F48" s="1069"/>
      <c r="G48" s="224"/>
      <c r="H48" s="227"/>
      <c r="I48" s="1069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'!O48+hivatal6!C48+hivatal6!F48+hivatal6!I48+hivatal6!L48+hivatal6!O48+hivatal7!F48+C48</f>
        <v>300000</v>
      </c>
      <c r="J48" s="224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'!P48+hivatal6!D48+hivatal6!G48+hivatal6!J48+hivatal6!M48+hivatal6!P48+hivatal7!G48+D48</f>
        <v>1082</v>
      </c>
      <c r="K48" s="227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'!Q48+hivatal6!E48+hivatal6!H48+hivatal6!K48+hivatal6!N48+hivatal6!Q48+hivatal7!H48+E48</f>
        <v>301082</v>
      </c>
      <c r="L48" s="861"/>
      <c r="M48" s="224">
        <v>1825</v>
      </c>
      <c r="N48" s="227">
        <f aca="true" t="shared" si="14" ref="N48:N55">SUM(L48:M48)</f>
        <v>1825</v>
      </c>
      <c r="O48" s="1069"/>
      <c r="P48" s="224"/>
      <c r="Q48" s="227"/>
      <c r="R48" s="728"/>
      <c r="S48" s="728"/>
      <c r="T48" s="728"/>
    </row>
    <row r="49" spans="1:20" ht="15">
      <c r="A49" s="161" t="s">
        <v>99</v>
      </c>
      <c r="B49" s="324" t="s">
        <v>380</v>
      </c>
      <c r="C49" s="880"/>
      <c r="D49" s="146"/>
      <c r="E49" s="169"/>
      <c r="F49" s="880"/>
      <c r="G49" s="146"/>
      <c r="H49" s="169"/>
      <c r="I49" s="1069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'!O49+hivatal6!C49+hivatal6!F49+hivatal6!I49+hivatal6!L49+hivatal6!O49+hivatal7!F49+C49</f>
        <v>0</v>
      </c>
      <c r="J49" s="224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'!P49+hivatal6!D49+hivatal6!G49+hivatal6!J49+hivatal6!M49+hivatal6!P49+hivatal7!G49+D49</f>
        <v>0</v>
      </c>
      <c r="K49" s="227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'!Q49+hivatal6!E49+hivatal6!H49+hivatal6!K49+hivatal6!N49+hivatal6!Q49+hivatal7!H49+E49</f>
        <v>0</v>
      </c>
      <c r="L49" s="859"/>
      <c r="M49" s="146"/>
      <c r="N49" s="169">
        <f t="shared" si="14"/>
        <v>0</v>
      </c>
      <c r="O49" s="880"/>
      <c r="P49" s="146"/>
      <c r="Q49" s="169"/>
      <c r="R49" s="94"/>
      <c r="S49" s="94"/>
      <c r="T49" s="94"/>
    </row>
    <row r="50" spans="1:20" ht="15.75" thickBot="1">
      <c r="A50" s="161" t="s">
        <v>100</v>
      </c>
      <c r="B50" s="324" t="s">
        <v>413</v>
      </c>
      <c r="C50" s="880"/>
      <c r="D50" s="146"/>
      <c r="E50" s="169"/>
      <c r="F50" s="880"/>
      <c r="G50" s="146"/>
      <c r="H50" s="169"/>
      <c r="I50" s="1069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'!O50+hivatal6!C50+hivatal6!F50+hivatal6!I50+hivatal6!L50+hivatal6!O50+hivatal7!F50+C50</f>
        <v>416473</v>
      </c>
      <c r="J50" s="224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'!P50+hivatal6!D50+hivatal6!G50+hivatal6!J50+hivatal6!M50+hivatal6!P50+hivatal7!G50+D50</f>
        <v>109134</v>
      </c>
      <c r="K50" s="227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'!Q50+hivatal6!E50+hivatal6!H50+hivatal6!K50+hivatal6!N50+hivatal6!Q50+hivatal7!H50+E50</f>
        <v>525607</v>
      </c>
      <c r="L50" s="859"/>
      <c r="M50" s="146"/>
      <c r="N50" s="169">
        <f>SUM(L50:M50)</f>
        <v>0</v>
      </c>
      <c r="O50" s="880"/>
      <c r="P50" s="146"/>
      <c r="Q50" s="169"/>
      <c r="R50" s="94"/>
      <c r="S50" s="94"/>
      <c r="T50" s="94"/>
    </row>
    <row r="51" spans="1:20" s="15" customFormat="1" ht="16.5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10"/>
      <c r="F51" s="337">
        <f>SUM(F48:F50)</f>
        <v>0</v>
      </c>
      <c r="G51" s="304">
        <f>SUM(G48:G50)</f>
        <v>0</v>
      </c>
      <c r="H51" s="310"/>
      <c r="I51" s="337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'!O51+hivatal6!C51+hivatal6!F51+hivatal6!I51+hivatal6!L51+hivatal6!O51+hivatal7!F51</f>
        <v>716473</v>
      </c>
      <c r="J51" s="304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'!P51+hivatal6!D51+hivatal6!G51+hivatal6!J51+hivatal6!M51+hivatal6!P51+hivatal7!G51</f>
        <v>110216</v>
      </c>
      <c r="K51" s="310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'!Q51+hivatal6!E51+hivatal6!H51+hivatal6!K51+hivatal6!N51+hivatal6!Q51+hivatal7!H51</f>
        <v>826689</v>
      </c>
      <c r="L51" s="320">
        <f>SUM(L48:L50)</f>
        <v>0</v>
      </c>
      <c r="M51" s="304">
        <f>SUM(M48:M50)</f>
        <v>1825</v>
      </c>
      <c r="N51" s="310">
        <f t="shared" si="14"/>
        <v>1825</v>
      </c>
      <c r="O51" s="337"/>
      <c r="P51" s="304"/>
      <c r="Q51" s="310"/>
      <c r="R51" s="208"/>
      <c r="S51" s="208"/>
      <c r="T51" s="208"/>
    </row>
    <row r="52" spans="1:20" s="15" customFormat="1" ht="16.5" thickBot="1">
      <c r="A52" s="733">
        <v>6</v>
      </c>
      <c r="B52" s="734" t="s">
        <v>285</v>
      </c>
      <c r="C52" s="1072"/>
      <c r="D52" s="329"/>
      <c r="E52" s="322"/>
      <c r="F52" s="1072"/>
      <c r="G52" s="329"/>
      <c r="H52" s="322"/>
      <c r="I52" s="337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'!O52+hivatal6!C52+hivatal6!F52+hivatal6!I52+hivatal6!L52+hivatal6!O52+hivatal7!F52</f>
        <v>703831</v>
      </c>
      <c r="J52" s="304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'!P52+hivatal6!D52+hivatal6!G52+hivatal6!J52+hivatal6!M52+hivatal6!P52+hivatal7!G52</f>
        <v>-275422</v>
      </c>
      <c r="K52" s="310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'!Q52+hivatal6!E52+hivatal6!H52+hivatal6!K52+hivatal6!N52+hivatal6!Q52+hivatal7!H52</f>
        <v>428409</v>
      </c>
      <c r="L52" s="323"/>
      <c r="M52" s="329"/>
      <c r="N52" s="322">
        <f t="shared" si="14"/>
        <v>0</v>
      </c>
      <c r="O52" s="1078"/>
      <c r="P52" s="329"/>
      <c r="Q52" s="322"/>
      <c r="R52" s="208"/>
      <c r="S52" s="208"/>
      <c r="T52" s="208"/>
    </row>
    <row r="53" spans="1:20" ht="15">
      <c r="A53" s="144" t="s">
        <v>98</v>
      </c>
      <c r="B53" s="145" t="s">
        <v>382</v>
      </c>
      <c r="C53" s="1073"/>
      <c r="D53" s="147"/>
      <c r="E53" s="203"/>
      <c r="F53" s="1073"/>
      <c r="G53" s="147"/>
      <c r="H53" s="203"/>
      <c r="I53" s="1069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'!O53+hivatal6!C53+hivatal6!F53+hivatal6!I53+hivatal6!L53+hivatal6!O53+hivatal7!F53+C53</f>
        <v>2657</v>
      </c>
      <c r="J53" s="224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'!P53+hivatal6!D53+hivatal6!G53+hivatal6!J53+hivatal6!M53+hivatal6!P53+hivatal7!G53+D53</f>
        <v>638</v>
      </c>
      <c r="K53" s="227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'!Q53+hivatal6!E53+hivatal6!H53+hivatal6!K53+hivatal6!N53+hivatal6!Q53+hivatal7!H53+E53</f>
        <v>3295</v>
      </c>
      <c r="L53" s="863">
        <v>89</v>
      </c>
      <c r="M53" s="147">
        <v>5</v>
      </c>
      <c r="N53" s="203">
        <f t="shared" si="14"/>
        <v>94</v>
      </c>
      <c r="O53" s="1073"/>
      <c r="P53" s="147"/>
      <c r="Q53" s="203"/>
      <c r="R53" s="94"/>
      <c r="S53" s="94"/>
      <c r="T53" s="94"/>
    </row>
    <row r="54" spans="1:20" ht="15.75" thickBot="1">
      <c r="A54" s="325" t="s">
        <v>99</v>
      </c>
      <c r="B54" s="149" t="s">
        <v>383</v>
      </c>
      <c r="C54" s="1070"/>
      <c r="D54" s="311"/>
      <c r="E54" s="314"/>
      <c r="F54" s="1070"/>
      <c r="G54" s="311"/>
      <c r="H54" s="314"/>
      <c r="I54" s="1070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'!O54+hivatal6!C54+hivatal6!F54+hivatal6!I54+hivatal6!L54+hivatal6!O54+hivatal7!F54+C54</f>
        <v>0</v>
      </c>
      <c r="J54" s="311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'!P54+hivatal6!D54+hivatal6!G54+hivatal6!J54+hivatal6!M54+hivatal6!P54+hivatal7!G54+D54</f>
        <v>0</v>
      </c>
      <c r="K54" s="314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'!Q54+hivatal6!E54+hivatal6!H54+hivatal6!K54+hivatal6!N54+hivatal6!Q54+hivatal7!H54+E54</f>
        <v>0</v>
      </c>
      <c r="L54" s="164"/>
      <c r="M54" s="311"/>
      <c r="N54" s="314">
        <f t="shared" si="14"/>
        <v>0</v>
      </c>
      <c r="O54" s="1070"/>
      <c r="P54" s="311"/>
      <c r="Q54" s="314"/>
      <c r="R54" s="94"/>
      <c r="S54" s="94"/>
      <c r="T54" s="94"/>
    </row>
    <row r="55" spans="1:20" s="15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/>
      <c r="E55" s="310"/>
      <c r="F55" s="337">
        <f>SUM(F53:F54)</f>
        <v>0</v>
      </c>
      <c r="G55" s="304"/>
      <c r="H55" s="310"/>
      <c r="I55" s="337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'!O55+hivatal6!C55+hivatal6!F55+hivatal6!I55+hivatal6!L55+hivatal6!O55+hivatal7!F55</f>
        <v>2657</v>
      </c>
      <c r="J55" s="304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'!P55+hivatal6!D55+hivatal6!G55+hivatal6!J55+hivatal6!M55+hivatal6!P55+hivatal7!G55</f>
        <v>638</v>
      </c>
      <c r="K55" s="310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'!Q55+hivatal6!E55+hivatal6!H55+hivatal6!K55+hivatal6!N55+hivatal6!Q55+hivatal7!H55</f>
        <v>3295</v>
      </c>
      <c r="L55" s="320">
        <f>SUM(L53:L54)</f>
        <v>89</v>
      </c>
      <c r="M55" s="304">
        <f>SUM(M53:M54)</f>
        <v>5</v>
      </c>
      <c r="N55" s="310">
        <f t="shared" si="14"/>
        <v>94</v>
      </c>
      <c r="O55" s="337"/>
      <c r="P55" s="304"/>
      <c r="Q55" s="310"/>
      <c r="R55" s="159"/>
      <c r="S55" s="159"/>
      <c r="T55" s="159"/>
    </row>
    <row r="56" spans="1:20" s="28" customFormat="1" ht="19.5" customHeight="1" thickBot="1">
      <c r="A56" s="690">
        <v>8</v>
      </c>
      <c r="B56" s="691" t="s">
        <v>46</v>
      </c>
      <c r="C56" s="1105">
        <f>C34-C40-C45-C46-C47-C51-C52-C55-C57-C58-C59</f>
        <v>98170</v>
      </c>
      <c r="D56" s="1106">
        <f>D34-D40-D45-D46-D47-D51-D52-D55-D57-D58-D59</f>
        <v>-4969</v>
      </c>
      <c r="E56" s="1103">
        <f>E34-E40-E45-E46-E47-E51-E52-E55-E57-E58-E59</f>
        <v>93201</v>
      </c>
      <c r="F56" s="1105">
        <f aca="true" t="shared" si="15" ref="F56:K56">F34-F40-F45-F46-F47-F51-F52-F55-F57-F58-F59</f>
        <v>1669092</v>
      </c>
      <c r="G56" s="1106">
        <f t="shared" si="15"/>
        <v>-1445785</v>
      </c>
      <c r="H56" s="1103">
        <f t="shared" si="15"/>
        <v>223307</v>
      </c>
      <c r="I56" s="1105">
        <f t="shared" si="15"/>
        <v>2367335</v>
      </c>
      <c r="J56" s="1106">
        <f t="shared" si="15"/>
        <v>-845201</v>
      </c>
      <c r="K56" s="1103">
        <f t="shared" si="15"/>
        <v>1522134</v>
      </c>
      <c r="L56" s="1105"/>
      <c r="M56" s="1106"/>
      <c r="N56" s="1103"/>
      <c r="O56" s="1128">
        <f>L60*-1</f>
        <v>-8646999</v>
      </c>
      <c r="P56" s="1130">
        <f>M60*-1</f>
        <v>835272</v>
      </c>
      <c r="Q56" s="1118">
        <f>N60*-1</f>
        <v>-7811727</v>
      </c>
      <c r="R56" s="899"/>
      <c r="S56" s="899"/>
      <c r="T56" s="899"/>
    </row>
    <row r="57" spans="1:20" s="15" customFormat="1" ht="15.75">
      <c r="A57" s="326" t="s">
        <v>385</v>
      </c>
      <c r="B57" s="327" t="s">
        <v>184</v>
      </c>
      <c r="C57" s="1075"/>
      <c r="D57" s="317"/>
      <c r="E57" s="1104"/>
      <c r="F57" s="1075"/>
      <c r="G57" s="317"/>
      <c r="H57" s="1104"/>
      <c r="I57" s="1069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'!O57+hivatal6!C57+hivatal6!F57+hivatal6!I57+hivatal6!L57+hivatal6!O57+hivatal7!F57+C57</f>
        <v>4934641</v>
      </c>
      <c r="J57" s="224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'!P57+hivatal6!D57+hivatal6!G57+hivatal6!J57+hivatal6!M57+hivatal6!P57+hivatal7!G57+D57</f>
        <v>-12600</v>
      </c>
      <c r="K57" s="227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'!Q57+hivatal6!E57+hivatal6!H57+hivatal6!K57+hivatal6!N57+hivatal6!Q57+hivatal7!H57+E57</f>
        <v>4922041</v>
      </c>
      <c r="L57" s="864"/>
      <c r="M57" s="317"/>
      <c r="N57" s="1104">
        <f>SUM(L57:M57)</f>
        <v>0</v>
      </c>
      <c r="O57" s="1075"/>
      <c r="P57" s="317"/>
      <c r="Q57" s="1104"/>
      <c r="R57" s="159"/>
      <c r="S57" s="159"/>
      <c r="T57" s="159"/>
    </row>
    <row r="58" spans="1:20" s="15" customFormat="1" ht="15.75">
      <c r="A58" s="326" t="s">
        <v>183</v>
      </c>
      <c r="B58" s="327" t="s">
        <v>384</v>
      </c>
      <c r="C58" s="1075"/>
      <c r="D58" s="317"/>
      <c r="E58" s="1104"/>
      <c r="F58" s="1075"/>
      <c r="G58" s="317"/>
      <c r="H58" s="1104"/>
      <c r="I58" s="150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'!O58+hivatal6!C58+hivatal6!F58+hivatal6!I58+hivatal6!L58+hivatal6!O58+hivatal7!F58+C58</f>
        <v>665000</v>
      </c>
      <c r="J58" s="146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'!P58+hivatal6!D58+hivatal6!G58+hivatal6!J58+hivatal6!M58+hivatal6!P58+hivatal7!G58+D58</f>
        <v>114695</v>
      </c>
      <c r="K58" s="169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'!Q58+hivatal6!E58+hivatal6!H58+hivatal6!K58+hivatal6!N58+hivatal6!Q58+hivatal7!H58+E58</f>
        <v>779695</v>
      </c>
      <c r="L58" s="864"/>
      <c r="M58" s="317"/>
      <c r="N58" s="1104">
        <f>SUM(L58:M58)</f>
        <v>0</v>
      </c>
      <c r="O58" s="316"/>
      <c r="P58" s="317"/>
      <c r="Q58" s="392"/>
      <c r="R58" s="159"/>
      <c r="S58" s="159"/>
      <c r="T58" s="159"/>
    </row>
    <row r="59" spans="1:20" s="15" customFormat="1" ht="16.5" thickBot="1">
      <c r="A59" s="341">
        <v>10</v>
      </c>
      <c r="B59" s="342"/>
      <c r="C59" s="343"/>
      <c r="D59" s="344"/>
      <c r="E59" s="396"/>
      <c r="F59" s="343"/>
      <c r="G59" s="344"/>
      <c r="H59" s="396"/>
      <c r="I59" s="900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'!O59+hivatal6!C59+hivatal6!F59+hivatal6!I59+hivatal6!L59+hivatal6!O59+hivatal7!F59+C59</f>
        <v>0</v>
      </c>
      <c r="J59" s="901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'!P59+hivatal6!D59+hivatal6!G59+hivatal6!J59+hivatal6!M59+hivatal6!P59+hivatal7!G59+D59</f>
        <v>0</v>
      </c>
      <c r="K59" s="902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'!Q59+hivatal6!E59+hivatal6!H59+hivatal6!K59+hivatal6!N59+hivatal6!Q59+hivatal7!H59+E59</f>
        <v>0</v>
      </c>
      <c r="L59" s="346"/>
      <c r="M59" s="344"/>
      <c r="N59" s="397">
        <f>SUM(L59:M59)</f>
        <v>0</v>
      </c>
      <c r="O59" s="343"/>
      <c r="P59" s="344"/>
      <c r="Q59" s="396"/>
      <c r="R59" s="159"/>
      <c r="S59" s="159"/>
      <c r="T59" s="159"/>
    </row>
    <row r="60" spans="1:20" s="34" customFormat="1" ht="17.25" thickBot="1" thickTop="1">
      <c r="A60" s="333" t="s">
        <v>109</v>
      </c>
      <c r="B60" s="335" t="s">
        <v>182</v>
      </c>
      <c r="C60" s="747">
        <f>C40+C45+C46+C47+C51+C52+C55+C56+C57+C58+C59</f>
        <v>111176</v>
      </c>
      <c r="D60" s="748">
        <f>D40+D45+D46+D47+D51+D52+D55+D56+D57+D58+D59</f>
        <v>0</v>
      </c>
      <c r="E60" s="746">
        <f>E40+E45+E46+E47+E51+E52+E55+E56+E57+E58+E59</f>
        <v>111176</v>
      </c>
      <c r="F60" s="747">
        <f>F40+F45+F46+F47+F51+F52+F55+F56+F57+F58+F59</f>
        <v>1669092</v>
      </c>
      <c r="G60" s="748">
        <f aca="true" t="shared" si="16" ref="G60:Q60">G40+G45+G46+G47+G51+G52+G55+G56+G57+G58+G59</f>
        <v>-1445785</v>
      </c>
      <c r="H60" s="746">
        <f t="shared" si="16"/>
        <v>223307</v>
      </c>
      <c r="I60" s="354">
        <f t="shared" si="16"/>
        <v>10445161</v>
      </c>
      <c r="J60" s="334">
        <f t="shared" si="16"/>
        <v>-980912</v>
      </c>
      <c r="K60" s="746">
        <f t="shared" si="16"/>
        <v>9464249</v>
      </c>
      <c r="L60" s="747">
        <f>L40+L45+L46+L47+L51+L52+L55+L56+L57+L58+L59</f>
        <v>8646999</v>
      </c>
      <c r="M60" s="748">
        <f t="shared" si="16"/>
        <v>-835272</v>
      </c>
      <c r="N60" s="746">
        <f>N40+N45+N46+N47+N51+N52+N55+N56+N57+N58+N59</f>
        <v>7811727</v>
      </c>
      <c r="O60" s="354">
        <f>O40+O45+O46+O47+O51+O52+O55+O56+O57+O58+O59</f>
        <v>-8646999</v>
      </c>
      <c r="P60" s="334">
        <f t="shared" si="16"/>
        <v>835272</v>
      </c>
      <c r="Q60" s="364">
        <f t="shared" si="16"/>
        <v>-7811727</v>
      </c>
      <c r="R60" s="159"/>
      <c r="S60" s="159"/>
      <c r="T60" s="159"/>
    </row>
    <row r="61" spans="1:20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33"/>
      <c r="S61" s="233"/>
      <c r="T61" s="233"/>
    </row>
    <row r="62" spans="1:20" ht="16.5" thickBot="1" thickTop="1">
      <c r="A62" s="174"/>
      <c r="B62" s="175" t="s">
        <v>593</v>
      </c>
      <c r="C62" s="204"/>
      <c r="D62" s="402"/>
      <c r="E62" s="403">
        <f>SUM(C62:D62)</f>
        <v>0</v>
      </c>
      <c r="F62" s="204"/>
      <c r="G62" s="402"/>
      <c r="H62" s="403">
        <f>SUM(F62:G62)</f>
        <v>0</v>
      </c>
      <c r="I62" s="1142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'!O62+hivatal6!C62+hivatal6!F62+hivatal6!I62+hivatal6!L62+hivatal6!O62+hivatal7!F62</f>
        <v>40</v>
      </c>
      <c r="J62" s="205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'!P62+hivatal6!D62+hivatal6!G62+hivatal6!J62+hivatal6!M62+hivatal6!P62+hivatal7!G62</f>
        <v>0</v>
      </c>
      <c r="K62" s="1141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'!Q62+hivatal6!E62+hivatal6!H62+hivatal6!K62+hivatal6!N62+hivatal6!Q62+hivatal7!H62</f>
        <v>40</v>
      </c>
      <c r="L62" s="903"/>
      <c r="M62" s="884"/>
      <c r="N62" s="770"/>
      <c r="O62" s="900"/>
      <c r="P62" s="901"/>
      <c r="Q62" s="885"/>
      <c r="R62" s="94"/>
      <c r="S62" s="94"/>
      <c r="T62" s="94"/>
    </row>
    <row r="63" spans="1:20" ht="16.5" thickBot="1" thickTop="1">
      <c r="A63" s="174"/>
      <c r="B63" s="175" t="s">
        <v>594</v>
      </c>
      <c r="C63" s="204"/>
      <c r="D63" s="402"/>
      <c r="E63" s="403">
        <f>SUM(C63:D63)</f>
        <v>0</v>
      </c>
      <c r="F63" s="204"/>
      <c r="G63" s="402"/>
      <c r="H63" s="403">
        <f>SUM(F63:G63)</f>
        <v>0</v>
      </c>
      <c r="I63" s="1142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'!O63+hivatal6!C63+hivatal6!F63+hivatal6!I63+hivatal6!L63+hivatal6!O63+hivatal7!F63</f>
        <v>10</v>
      </c>
      <c r="J63" s="205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'!P63+hivatal6!D63+hivatal6!G63+hivatal6!J63+hivatal6!M63+hivatal6!P63+hivatal7!G63</f>
        <v>0</v>
      </c>
      <c r="K63" s="912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'!Q63+hivatal6!E63+hivatal6!H63+hivatal6!K63+hivatal6!N63+hivatal6!Q63+hivatal7!H63</f>
        <v>10</v>
      </c>
      <c r="L63" s="903"/>
      <c r="M63" s="884"/>
      <c r="N63" s="770"/>
      <c r="O63" s="900"/>
      <c r="P63" s="901"/>
      <c r="Q63" s="904"/>
      <c r="R63" s="94"/>
      <c r="S63" s="94"/>
      <c r="T63" s="94"/>
    </row>
    <row r="64" spans="1:20" ht="16.5" thickTop="1">
      <c r="A64" s="408"/>
      <c r="K64" s="111"/>
      <c r="R64" s="94"/>
      <c r="S64" s="94"/>
      <c r="T64" s="94"/>
    </row>
    <row r="65" ht="15.75">
      <c r="A65" s="408"/>
    </row>
  </sheetData>
  <sheetProtection/>
  <mergeCells count="4">
    <mergeCell ref="L7:N7"/>
    <mergeCell ref="C7:E7"/>
    <mergeCell ref="A4:Q4"/>
    <mergeCell ref="A5:Q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K1" sqref="K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3" width="16.625" style="94" customWidth="1"/>
    <col min="4" max="4" width="15.50390625" style="94" customWidth="1"/>
    <col min="5" max="5" width="19.00390625" style="94" customWidth="1"/>
    <col min="6" max="6" width="17.375" style="94" customWidth="1"/>
    <col min="7" max="7" width="17.00390625" style="94" customWidth="1"/>
    <col min="8" max="8" width="17.50390625" style="94" customWidth="1"/>
    <col min="9" max="11" width="16.625" style="347" customWidth="1"/>
    <col min="12" max="12" width="16.625" style="928" customWidth="1"/>
    <col min="13" max="13" width="15.00390625" style="928" customWidth="1"/>
    <col min="14" max="14" width="16.625" style="928" customWidth="1"/>
    <col min="15" max="15" width="13.125" style="347" customWidth="1"/>
    <col min="16" max="17" width="9.375" style="347" customWidth="1"/>
  </cols>
  <sheetData>
    <row r="1" spans="1:13" ht="10.5" customHeight="1">
      <c r="A1" s="293"/>
      <c r="B1" s="294"/>
      <c r="C1" s="294"/>
      <c r="D1" s="376"/>
      <c r="E1" s="376"/>
      <c r="F1" s="376"/>
      <c r="G1" s="376"/>
      <c r="H1" s="376"/>
      <c r="K1" s="866" t="s">
        <v>881</v>
      </c>
      <c r="L1" s="927"/>
      <c r="M1" s="927"/>
    </row>
    <row r="2" spans="1:13" ht="10.5" customHeight="1">
      <c r="A2" s="293"/>
      <c r="B2" s="294"/>
      <c r="C2" s="294"/>
      <c r="D2" s="376"/>
      <c r="E2" s="376"/>
      <c r="F2" s="376"/>
      <c r="G2" s="376"/>
      <c r="H2" s="376"/>
      <c r="K2" s="866" t="s">
        <v>93</v>
      </c>
      <c r="L2" s="927"/>
      <c r="M2" s="927"/>
    </row>
    <row r="3" spans="1:13" ht="15">
      <c r="A3" s="293"/>
      <c r="B3" s="294"/>
      <c r="C3" s="294"/>
      <c r="D3" s="376"/>
      <c r="E3" s="376"/>
      <c r="F3" s="376"/>
      <c r="G3" s="376"/>
      <c r="H3" s="376"/>
      <c r="K3" s="867" t="s">
        <v>148</v>
      </c>
      <c r="L3" s="927"/>
      <c r="M3" s="927"/>
    </row>
    <row r="4" spans="1:17" s="15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929"/>
      <c r="M4" s="929"/>
      <c r="N4" s="929"/>
      <c r="O4" s="877"/>
      <c r="P4" s="877"/>
      <c r="Q4" s="877"/>
    </row>
    <row r="5" spans="1:17" s="15" customFormat="1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930"/>
      <c r="M5" s="930"/>
      <c r="N5" s="930"/>
      <c r="O5" s="692"/>
      <c r="P5" s="692"/>
      <c r="Q5" s="692"/>
    </row>
    <row r="6" spans="1:14" ht="33" customHeight="1" thickBot="1">
      <c r="A6" s="293"/>
      <c r="B6" s="294"/>
      <c r="C6" s="294"/>
      <c r="D6" s="376"/>
      <c r="E6" s="376"/>
      <c r="F6" s="376"/>
      <c r="G6" s="376"/>
      <c r="H6" s="376"/>
      <c r="K6" s="13" t="s">
        <v>134</v>
      </c>
      <c r="L6" s="927"/>
      <c r="M6" s="927"/>
      <c r="N6" s="931" t="s">
        <v>134</v>
      </c>
    </row>
    <row r="7" spans="1:14" ht="30.75" customHeight="1">
      <c r="A7" s="229" t="s">
        <v>124</v>
      </c>
      <c r="B7" s="93" t="s">
        <v>125</v>
      </c>
      <c r="C7" s="1905" t="s">
        <v>568</v>
      </c>
      <c r="D7" s="1929"/>
      <c r="E7" s="1928"/>
      <c r="F7" s="1905" t="s">
        <v>569</v>
      </c>
      <c r="G7" s="1929"/>
      <c r="H7" s="1928"/>
      <c r="I7" s="1938" t="s">
        <v>65</v>
      </c>
      <c r="J7" s="1939"/>
      <c r="K7" s="1940"/>
      <c r="L7" s="1937"/>
      <c r="M7" s="1937"/>
      <c r="N7" s="1937"/>
    </row>
    <row r="8" spans="1:19" s="31" customFormat="1" ht="24.75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932" t="s">
        <v>89</v>
      </c>
      <c r="M8" s="932" t="s">
        <v>128</v>
      </c>
      <c r="N8" s="932" t="s">
        <v>420</v>
      </c>
      <c r="O8" s="347"/>
      <c r="P8" s="347"/>
      <c r="Q8" s="1936"/>
      <c r="R8" s="1936"/>
      <c r="S8" s="1936"/>
    </row>
    <row r="9" spans="1:17" s="31" customFormat="1" ht="13.5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4">
        <v>8</v>
      </c>
      <c r="I9" s="411">
        <v>9</v>
      </c>
      <c r="J9" s="412">
        <v>10</v>
      </c>
      <c r="K9" s="414">
        <v>11</v>
      </c>
      <c r="L9" s="1189"/>
      <c r="M9" s="1189"/>
      <c r="N9" s="1189"/>
      <c r="O9" s="347"/>
      <c r="P9" s="347"/>
      <c r="Q9" s="347"/>
    </row>
    <row r="10" spans="1:17" s="31" customFormat="1" ht="18.75" thickBot="1">
      <c r="A10" s="370"/>
      <c r="B10" s="415" t="s">
        <v>129</v>
      </c>
      <c r="C10" s="374"/>
      <c r="D10" s="375"/>
      <c r="E10" s="373"/>
      <c r="F10" s="374"/>
      <c r="G10" s="375"/>
      <c r="H10" s="373"/>
      <c r="I10" s="374"/>
      <c r="J10" s="375"/>
      <c r="K10" s="373"/>
      <c r="L10" s="1190"/>
      <c r="M10" s="1190"/>
      <c r="N10" s="1190"/>
      <c r="O10" s="233"/>
      <c r="P10" s="233"/>
      <c r="Q10" s="233"/>
    </row>
    <row r="11" spans="1:17" s="31" customFormat="1" ht="16.5" thickBot="1">
      <c r="A11" s="303">
        <v>1</v>
      </c>
      <c r="B11" s="295" t="s">
        <v>113</v>
      </c>
      <c r="C11" s="309"/>
      <c r="D11" s="304"/>
      <c r="E11" s="348">
        <f>SUM(C11:D11)</f>
        <v>0</v>
      </c>
      <c r="F11" s="304"/>
      <c r="G11" s="304"/>
      <c r="H11" s="348">
        <f>SUM(F11:G11)</f>
        <v>0</v>
      </c>
      <c r="I11" s="309"/>
      <c r="J11" s="304"/>
      <c r="K11" s="348">
        <f aca="true" t="shared" si="0" ref="K11:K16">SUM(I11:J11)</f>
        <v>0</v>
      </c>
      <c r="L11" s="935"/>
      <c r="M11" s="935"/>
      <c r="N11" s="935"/>
      <c r="O11" s="233"/>
      <c r="P11" s="233"/>
      <c r="Q11" s="233"/>
    </row>
    <row r="12" spans="1:17" s="28" customFormat="1" ht="16.5" thickBot="1">
      <c r="A12" s="307">
        <v>2</v>
      </c>
      <c r="B12" s="295" t="s">
        <v>202</v>
      </c>
      <c r="C12" s="306"/>
      <c r="D12" s="304"/>
      <c r="E12" s="348">
        <f>SUM(C12:D12)</f>
        <v>0</v>
      </c>
      <c r="F12" s="306"/>
      <c r="G12" s="304"/>
      <c r="H12" s="348">
        <f>SUM(F12:G12)</f>
        <v>0</v>
      </c>
      <c r="I12" s="309"/>
      <c r="J12" s="304"/>
      <c r="K12" s="348">
        <f t="shared" si="0"/>
        <v>0</v>
      </c>
      <c r="L12" s="933"/>
      <c r="M12" s="933"/>
      <c r="N12" s="933">
        <f>SUM(L12:M12)</f>
        <v>0</v>
      </c>
      <c r="O12" s="268"/>
      <c r="P12" s="268"/>
      <c r="Q12" s="268"/>
    </row>
    <row r="13" spans="1:17" s="15" customFormat="1" ht="16.5" thickBot="1">
      <c r="A13" s="307">
        <v>3</v>
      </c>
      <c r="B13" s="295" t="s">
        <v>116</v>
      </c>
      <c r="C13" s="306">
        <v>6000</v>
      </c>
      <c r="D13" s="304"/>
      <c r="E13" s="348">
        <f>SUM(C13:D13)</f>
        <v>6000</v>
      </c>
      <c r="F13" s="304"/>
      <c r="G13" s="304"/>
      <c r="H13" s="348">
        <f>SUM(F13:G13)</f>
        <v>0</v>
      </c>
      <c r="I13" s="309">
        <v>33534</v>
      </c>
      <c r="J13" s="304">
        <v>4425</v>
      </c>
      <c r="K13" s="348">
        <f t="shared" si="0"/>
        <v>37959</v>
      </c>
      <c r="L13" s="933"/>
      <c r="M13" s="933"/>
      <c r="N13" s="933">
        <f>SUM(L13:M13)</f>
        <v>0</v>
      </c>
      <c r="O13" s="208"/>
      <c r="P13" s="208"/>
      <c r="Q13" s="208"/>
    </row>
    <row r="14" spans="1:17" s="15" customFormat="1" ht="16.5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10">
        <f>SUM(F14:G14)</f>
        <v>0</v>
      </c>
      <c r="I14" s="309"/>
      <c r="J14" s="306"/>
      <c r="K14" s="310">
        <f t="shared" si="0"/>
        <v>0</v>
      </c>
      <c r="L14" s="933"/>
      <c r="M14" s="933"/>
      <c r="N14" s="933">
        <f>SUM(L14:M14)</f>
        <v>0</v>
      </c>
      <c r="O14" s="208"/>
      <c r="P14" s="208"/>
      <c r="Q14" s="208"/>
    </row>
    <row r="15" spans="1:17" ht="15">
      <c r="A15" s="163" t="s">
        <v>98</v>
      </c>
      <c r="B15" s="152" t="s">
        <v>370</v>
      </c>
      <c r="C15" s="224"/>
      <c r="D15" s="224"/>
      <c r="E15" s="379">
        <f>C15+D15</f>
        <v>0</v>
      </c>
      <c r="F15" s="224"/>
      <c r="G15" s="224"/>
      <c r="H15" s="379">
        <f>F15+G15</f>
        <v>0</v>
      </c>
      <c r="I15" s="226"/>
      <c r="J15" s="224"/>
      <c r="K15" s="379">
        <f t="shared" si="0"/>
        <v>0</v>
      </c>
      <c r="L15" s="934"/>
      <c r="M15" s="934"/>
      <c r="N15" s="934">
        <f>SUM(L15:M15)</f>
        <v>0</v>
      </c>
      <c r="O15" s="94"/>
      <c r="P15" s="94"/>
      <c r="Q15" s="94"/>
    </row>
    <row r="16" spans="1:17" ht="15">
      <c r="A16" s="160" t="s">
        <v>99</v>
      </c>
      <c r="B16" s="156" t="s">
        <v>554</v>
      </c>
      <c r="C16" s="146"/>
      <c r="D16" s="146"/>
      <c r="E16" s="379">
        <f>C16+D16</f>
        <v>0</v>
      </c>
      <c r="F16" s="146"/>
      <c r="G16" s="146"/>
      <c r="H16" s="379">
        <f>F16+G16</f>
        <v>0</v>
      </c>
      <c r="I16" s="150"/>
      <c r="J16" s="146"/>
      <c r="K16" s="379">
        <f t="shared" si="0"/>
        <v>0</v>
      </c>
      <c r="L16" s="934"/>
      <c r="M16" s="934"/>
      <c r="N16" s="934">
        <f>SUM(L16:M16)</f>
        <v>0</v>
      </c>
      <c r="O16" s="94"/>
      <c r="P16" s="94"/>
      <c r="Q16" s="94"/>
    </row>
    <row r="17" spans="1:17" ht="15">
      <c r="A17" s="160" t="s">
        <v>100</v>
      </c>
      <c r="B17" s="156" t="s">
        <v>555</v>
      </c>
      <c r="C17" s="146"/>
      <c r="D17" s="146"/>
      <c r="E17" s="379">
        <f aca="true" t="shared" si="1" ref="E17:E22">C17+D17</f>
        <v>0</v>
      </c>
      <c r="F17" s="146"/>
      <c r="G17" s="146"/>
      <c r="H17" s="379">
        <f aca="true" t="shared" si="2" ref="H17:H22">F17+G17</f>
        <v>0</v>
      </c>
      <c r="I17" s="150"/>
      <c r="J17" s="146"/>
      <c r="K17" s="379">
        <f aca="true" t="shared" si="3" ref="K17:K22">SUM(I17:J17)</f>
        <v>0</v>
      </c>
      <c r="L17" s="934"/>
      <c r="M17" s="934"/>
      <c r="N17" s="934">
        <f aca="true" t="shared" si="4" ref="N17:N22">SUM(L17:M17)</f>
        <v>0</v>
      </c>
      <c r="O17" s="94"/>
      <c r="P17" s="94"/>
      <c r="Q17" s="94"/>
    </row>
    <row r="18" spans="1:17" ht="15">
      <c r="A18" s="160" t="s">
        <v>101</v>
      </c>
      <c r="B18" s="156" t="s">
        <v>371</v>
      </c>
      <c r="C18" s="150"/>
      <c r="D18" s="146"/>
      <c r="E18" s="379">
        <f t="shared" si="1"/>
        <v>0</v>
      </c>
      <c r="F18" s="146"/>
      <c r="G18" s="146"/>
      <c r="H18" s="379">
        <f t="shared" si="2"/>
        <v>0</v>
      </c>
      <c r="I18" s="150"/>
      <c r="J18" s="146"/>
      <c r="K18" s="379">
        <f t="shared" si="3"/>
        <v>0</v>
      </c>
      <c r="L18" s="934"/>
      <c r="M18" s="934"/>
      <c r="N18" s="934">
        <f t="shared" si="4"/>
        <v>0</v>
      </c>
      <c r="O18" s="94"/>
      <c r="P18" s="94"/>
      <c r="Q18" s="94"/>
    </row>
    <row r="19" spans="1:17" ht="15">
      <c r="A19" s="155" t="s">
        <v>192</v>
      </c>
      <c r="B19" s="156" t="s">
        <v>556</v>
      </c>
      <c r="C19" s="880"/>
      <c r="D19" s="146"/>
      <c r="E19" s="227">
        <f>C19+D19</f>
        <v>0</v>
      </c>
      <c r="F19" s="146"/>
      <c r="G19" s="146"/>
      <c r="H19" s="379">
        <f>F19+G19</f>
        <v>0</v>
      </c>
      <c r="I19" s="150"/>
      <c r="J19" s="146"/>
      <c r="K19" s="379">
        <f>SUM(I19:J19)</f>
        <v>0</v>
      </c>
      <c r="L19" s="934"/>
      <c r="M19" s="934"/>
      <c r="N19" s="934">
        <f>SUM(L19:M19)</f>
        <v>0</v>
      </c>
      <c r="O19" s="94"/>
      <c r="P19" s="94"/>
      <c r="Q19" s="94"/>
    </row>
    <row r="20" spans="1:17" ht="15">
      <c r="A20" s="155" t="s">
        <v>327</v>
      </c>
      <c r="B20" s="156" t="s">
        <v>557</v>
      </c>
      <c r="C20" s="880"/>
      <c r="D20" s="146"/>
      <c r="E20" s="227">
        <f t="shared" si="1"/>
        <v>0</v>
      </c>
      <c r="F20" s="297"/>
      <c r="G20" s="146"/>
      <c r="H20" s="227">
        <f t="shared" si="2"/>
        <v>0</v>
      </c>
      <c r="I20" s="150"/>
      <c r="J20" s="146"/>
      <c r="K20" s="379">
        <f t="shared" si="3"/>
        <v>0</v>
      </c>
      <c r="L20" s="934"/>
      <c r="M20" s="934"/>
      <c r="N20" s="934">
        <f t="shared" si="4"/>
        <v>0</v>
      </c>
      <c r="O20" s="94"/>
      <c r="P20" s="94"/>
      <c r="Q20" s="94"/>
    </row>
    <row r="21" spans="1:17" ht="15">
      <c r="A21" s="155" t="s">
        <v>328</v>
      </c>
      <c r="B21" s="156" t="s">
        <v>372</v>
      </c>
      <c r="C21" s="861">
        <v>233314</v>
      </c>
      <c r="D21" s="224"/>
      <c r="E21" s="227">
        <f t="shared" si="1"/>
        <v>233314</v>
      </c>
      <c r="F21" s="296">
        <v>319030</v>
      </c>
      <c r="G21" s="224"/>
      <c r="H21" s="227">
        <f t="shared" si="2"/>
        <v>319030</v>
      </c>
      <c r="I21" s="1069">
        <v>103155</v>
      </c>
      <c r="J21" s="146">
        <v>7295</v>
      </c>
      <c r="K21" s="227">
        <f t="shared" si="3"/>
        <v>110450</v>
      </c>
      <c r="L21" s="934"/>
      <c r="M21" s="934"/>
      <c r="N21" s="934">
        <f t="shared" si="4"/>
        <v>0</v>
      </c>
      <c r="O21" s="94"/>
      <c r="P21" s="94"/>
      <c r="Q21" s="94"/>
    </row>
    <row r="22" spans="1:17" ht="15" customHeight="1" thickBot="1">
      <c r="A22" s="16" t="s">
        <v>69</v>
      </c>
      <c r="B22" s="324" t="s">
        <v>373</v>
      </c>
      <c r="C22" s="860"/>
      <c r="D22" s="158"/>
      <c r="E22" s="227">
        <f t="shared" si="1"/>
        <v>0</v>
      </c>
      <c r="F22" s="298"/>
      <c r="G22" s="158"/>
      <c r="H22" s="227">
        <f t="shared" si="2"/>
        <v>0</v>
      </c>
      <c r="I22" s="881"/>
      <c r="J22" s="158"/>
      <c r="K22" s="227">
        <f t="shared" si="3"/>
        <v>0</v>
      </c>
      <c r="L22" s="934"/>
      <c r="M22" s="934"/>
      <c r="N22" s="934">
        <f t="shared" si="4"/>
        <v>0</v>
      </c>
      <c r="O22" s="94"/>
      <c r="P22" s="94"/>
      <c r="Q22" s="94"/>
    </row>
    <row r="23" spans="1:17" s="15" customFormat="1" ht="16.5" thickBot="1">
      <c r="A23" s="307">
        <v>5</v>
      </c>
      <c r="B23" s="295" t="s">
        <v>171</v>
      </c>
      <c r="C23" s="337">
        <f aca="true" t="shared" si="5" ref="C23:N23">SUM(C15:C22)</f>
        <v>233314</v>
      </c>
      <c r="D23" s="304">
        <f t="shared" si="5"/>
        <v>0</v>
      </c>
      <c r="E23" s="310">
        <f t="shared" si="5"/>
        <v>233314</v>
      </c>
      <c r="F23" s="320">
        <f t="shared" si="5"/>
        <v>319030</v>
      </c>
      <c r="G23" s="304">
        <f t="shared" si="5"/>
        <v>0</v>
      </c>
      <c r="H23" s="320">
        <f t="shared" si="5"/>
        <v>319030</v>
      </c>
      <c r="I23" s="337">
        <f t="shared" si="5"/>
        <v>103155</v>
      </c>
      <c r="J23" s="304">
        <f t="shared" si="5"/>
        <v>7295</v>
      </c>
      <c r="K23" s="310">
        <f t="shared" si="5"/>
        <v>110450</v>
      </c>
      <c r="L23" s="933">
        <f t="shared" si="5"/>
        <v>0</v>
      </c>
      <c r="M23" s="933">
        <f t="shared" si="5"/>
        <v>0</v>
      </c>
      <c r="N23" s="933">
        <f t="shared" si="5"/>
        <v>0</v>
      </c>
      <c r="O23" s="208"/>
      <c r="P23" s="208"/>
      <c r="Q23" s="208"/>
    </row>
    <row r="24" spans="1:17" ht="16.5" thickBot="1">
      <c r="A24" s="303">
        <v>6</v>
      </c>
      <c r="B24" s="295" t="s">
        <v>174</v>
      </c>
      <c r="C24" s="308"/>
      <c r="D24" s="304"/>
      <c r="E24" s="310">
        <f aca="true" t="shared" si="6" ref="E24:E30">SUM(C24:D24)</f>
        <v>0</v>
      </c>
      <c r="F24" s="308"/>
      <c r="G24" s="304"/>
      <c r="H24" s="310">
        <f aca="true" t="shared" si="7" ref="H24:H30">SUM(F24:G24)</f>
        <v>0</v>
      </c>
      <c r="I24" s="337"/>
      <c r="J24" s="304"/>
      <c r="K24" s="310">
        <f aca="true" t="shared" si="8" ref="K24:K30">SUM(I24:J24)</f>
        <v>0</v>
      </c>
      <c r="L24" s="933"/>
      <c r="M24" s="933"/>
      <c r="N24" s="933">
        <f aca="true" t="shared" si="9" ref="N24:N30">SUM(L24:M24)</f>
        <v>0</v>
      </c>
      <c r="O24" s="94"/>
      <c r="P24" s="94"/>
      <c r="Q24" s="94"/>
    </row>
    <row r="25" spans="1:17" s="15" customFormat="1" ht="16.5" thickBot="1">
      <c r="A25" s="303">
        <v>7</v>
      </c>
      <c r="B25" s="295" t="s">
        <v>421</v>
      </c>
      <c r="C25" s="308"/>
      <c r="D25" s="304"/>
      <c r="E25" s="310">
        <f t="shared" si="6"/>
        <v>0</v>
      </c>
      <c r="F25" s="308"/>
      <c r="G25" s="304"/>
      <c r="H25" s="310">
        <f t="shared" si="7"/>
        <v>0</v>
      </c>
      <c r="I25" s="337"/>
      <c r="J25" s="304"/>
      <c r="K25" s="310">
        <f t="shared" si="8"/>
        <v>0</v>
      </c>
      <c r="L25" s="933"/>
      <c r="M25" s="933"/>
      <c r="N25" s="933">
        <f t="shared" si="9"/>
        <v>0</v>
      </c>
      <c r="O25" s="208"/>
      <c r="P25" s="208"/>
      <c r="Q25" s="208"/>
    </row>
    <row r="26" spans="1:17" ht="15">
      <c r="A26" s="163" t="s">
        <v>98</v>
      </c>
      <c r="B26" s="156" t="s">
        <v>560</v>
      </c>
      <c r="C26" s="296"/>
      <c r="D26" s="224"/>
      <c r="E26" s="227">
        <f t="shared" si="6"/>
        <v>0</v>
      </c>
      <c r="F26" s="296"/>
      <c r="G26" s="224"/>
      <c r="H26" s="227">
        <f t="shared" si="7"/>
        <v>0</v>
      </c>
      <c r="I26" s="1069"/>
      <c r="J26" s="224"/>
      <c r="K26" s="227">
        <f t="shared" si="8"/>
        <v>0</v>
      </c>
      <c r="L26" s="934"/>
      <c r="M26" s="934"/>
      <c r="N26" s="934">
        <f t="shared" si="9"/>
        <v>0</v>
      </c>
      <c r="O26" s="94"/>
      <c r="P26" s="94"/>
      <c r="Q26" s="94"/>
    </row>
    <row r="27" spans="1:17" ht="15">
      <c r="A27" s="163" t="s">
        <v>99</v>
      </c>
      <c r="B27" s="156" t="s">
        <v>558</v>
      </c>
      <c r="C27" s="296"/>
      <c r="D27" s="224"/>
      <c r="E27" s="227">
        <f t="shared" si="6"/>
        <v>0</v>
      </c>
      <c r="F27" s="296"/>
      <c r="G27" s="224"/>
      <c r="H27" s="227">
        <f t="shared" si="7"/>
        <v>0</v>
      </c>
      <c r="I27" s="1069"/>
      <c r="J27" s="224"/>
      <c r="K27" s="227">
        <f t="shared" si="8"/>
        <v>0</v>
      </c>
      <c r="L27" s="934"/>
      <c r="M27" s="934"/>
      <c r="N27" s="934">
        <f t="shared" si="9"/>
        <v>0</v>
      </c>
      <c r="O27" s="94"/>
      <c r="P27" s="94"/>
      <c r="Q27" s="94"/>
    </row>
    <row r="28" spans="1:17" ht="15">
      <c r="A28" s="163" t="s">
        <v>100</v>
      </c>
      <c r="B28" s="156" t="s">
        <v>374</v>
      </c>
      <c r="C28" s="296">
        <v>6019</v>
      </c>
      <c r="D28" s="224"/>
      <c r="E28" s="227">
        <f t="shared" si="6"/>
        <v>6019</v>
      </c>
      <c r="F28" s="296"/>
      <c r="G28" s="224"/>
      <c r="H28" s="227">
        <f t="shared" si="7"/>
        <v>0</v>
      </c>
      <c r="I28" s="1069"/>
      <c r="J28" s="224"/>
      <c r="K28" s="227">
        <f t="shared" si="8"/>
        <v>0</v>
      </c>
      <c r="L28" s="934"/>
      <c r="M28" s="934"/>
      <c r="N28" s="934">
        <f t="shared" si="9"/>
        <v>0</v>
      </c>
      <c r="O28" s="94"/>
      <c r="P28" s="94"/>
      <c r="Q28" s="94"/>
    </row>
    <row r="29" spans="1:17" ht="15">
      <c r="A29" s="163" t="s">
        <v>101</v>
      </c>
      <c r="B29" s="156" t="s">
        <v>559</v>
      </c>
      <c r="C29" s="296"/>
      <c r="D29" s="224"/>
      <c r="E29" s="227">
        <f t="shared" si="6"/>
        <v>0</v>
      </c>
      <c r="F29" s="296"/>
      <c r="G29" s="224"/>
      <c r="H29" s="227">
        <f t="shared" si="7"/>
        <v>0</v>
      </c>
      <c r="I29" s="1069"/>
      <c r="J29" s="224"/>
      <c r="K29" s="227">
        <f t="shared" si="8"/>
        <v>0</v>
      </c>
      <c r="L29" s="934"/>
      <c r="M29" s="934"/>
      <c r="N29" s="934">
        <f t="shared" si="9"/>
        <v>0</v>
      </c>
      <c r="O29" s="94"/>
      <c r="P29" s="94"/>
      <c r="Q29" s="94"/>
    </row>
    <row r="30" spans="1:17" ht="15.75" thickBot="1">
      <c r="A30" s="325" t="s">
        <v>192</v>
      </c>
      <c r="B30" s="156" t="s">
        <v>375</v>
      </c>
      <c r="C30" s="319">
        <v>370734</v>
      </c>
      <c r="D30" s="311">
        <v>28245</v>
      </c>
      <c r="E30" s="314">
        <f t="shared" si="6"/>
        <v>398979</v>
      </c>
      <c r="F30" s="319"/>
      <c r="G30" s="311"/>
      <c r="H30" s="314">
        <f t="shared" si="7"/>
        <v>0</v>
      </c>
      <c r="I30" s="1070"/>
      <c r="J30" s="311"/>
      <c r="K30" s="314">
        <f t="shared" si="8"/>
        <v>0</v>
      </c>
      <c r="L30" s="934"/>
      <c r="M30" s="934"/>
      <c r="N30" s="934">
        <f t="shared" si="9"/>
        <v>0</v>
      </c>
      <c r="O30" s="94"/>
      <c r="P30" s="94"/>
      <c r="Q30" s="94"/>
    </row>
    <row r="31" spans="1:17" s="15" customFormat="1" ht="16.5" thickBot="1">
      <c r="A31" s="303">
        <v>8</v>
      </c>
      <c r="B31" s="295" t="s">
        <v>173</v>
      </c>
      <c r="C31" s="308">
        <f aca="true" t="shared" si="10" ref="C31:N31">SUM(C26:C30)</f>
        <v>376753</v>
      </c>
      <c r="D31" s="304">
        <f t="shared" si="10"/>
        <v>28245</v>
      </c>
      <c r="E31" s="320">
        <f t="shared" si="10"/>
        <v>404998</v>
      </c>
      <c r="F31" s="337">
        <f t="shared" si="10"/>
        <v>0</v>
      </c>
      <c r="G31" s="304">
        <f t="shared" si="10"/>
        <v>0</v>
      </c>
      <c r="H31" s="310">
        <f t="shared" si="10"/>
        <v>0</v>
      </c>
      <c r="I31" s="337">
        <f t="shared" si="10"/>
        <v>0</v>
      </c>
      <c r="J31" s="304">
        <f t="shared" si="10"/>
        <v>0</v>
      </c>
      <c r="K31" s="310">
        <f t="shared" si="10"/>
        <v>0</v>
      </c>
      <c r="L31" s="933">
        <f t="shared" si="10"/>
        <v>0</v>
      </c>
      <c r="M31" s="933">
        <f t="shared" si="10"/>
        <v>0</v>
      </c>
      <c r="N31" s="933">
        <f t="shared" si="10"/>
        <v>0</v>
      </c>
      <c r="O31" s="208"/>
      <c r="P31" s="208"/>
      <c r="Q31" s="208"/>
    </row>
    <row r="32" spans="1:17" ht="16.5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337"/>
      <c r="J32" s="304"/>
      <c r="K32" s="310">
        <f>SUM(I32:J32)</f>
        <v>0</v>
      </c>
      <c r="L32" s="933"/>
      <c r="M32" s="933"/>
      <c r="N32" s="933">
        <f>SUM(L32:M32)</f>
        <v>0</v>
      </c>
      <c r="O32" s="94"/>
      <c r="P32" s="94"/>
      <c r="Q32" s="94"/>
    </row>
    <row r="33" spans="1:17" s="34" customFormat="1" ht="16.5" thickBot="1">
      <c r="A33" s="357">
        <v>10</v>
      </c>
      <c r="B33" s="358"/>
      <c r="C33" s="165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935"/>
      <c r="M33" s="935"/>
      <c r="N33" s="935">
        <f>SUM(L33:M33)</f>
        <v>0</v>
      </c>
      <c r="O33" s="159"/>
      <c r="P33" s="159"/>
      <c r="Q33" s="159"/>
    </row>
    <row r="34" spans="1:17" s="37" customFormat="1" ht="16.5" customHeight="1" thickBot="1" thickTop="1">
      <c r="A34" s="333" t="s">
        <v>108</v>
      </c>
      <c r="B34" s="356" t="s">
        <v>180</v>
      </c>
      <c r="C34" s="355">
        <f aca="true" t="shared" si="11" ref="C34:K34">C11+C12+C13+C23+C14+C31+C25+C24+C32+C33</f>
        <v>616067</v>
      </c>
      <c r="D34" s="334">
        <f t="shared" si="11"/>
        <v>28245</v>
      </c>
      <c r="E34" s="353">
        <f t="shared" si="11"/>
        <v>644312</v>
      </c>
      <c r="F34" s="355">
        <f t="shared" si="11"/>
        <v>319030</v>
      </c>
      <c r="G34" s="334">
        <f t="shared" si="11"/>
        <v>0</v>
      </c>
      <c r="H34" s="353">
        <f t="shared" si="11"/>
        <v>319030</v>
      </c>
      <c r="I34" s="355">
        <f t="shared" si="11"/>
        <v>136689</v>
      </c>
      <c r="J34" s="334">
        <f t="shared" si="11"/>
        <v>11720</v>
      </c>
      <c r="K34" s="364">
        <f t="shared" si="11"/>
        <v>148409</v>
      </c>
      <c r="L34" s="935"/>
      <c r="M34" s="935"/>
      <c r="N34" s="935"/>
      <c r="O34" s="167"/>
      <c r="P34" s="167"/>
      <c r="Q34" s="167"/>
    </row>
    <row r="35" spans="1:18" ht="17.25" thickBot="1" thickTop="1">
      <c r="A35" s="151"/>
      <c r="B35" s="336" t="s">
        <v>131</v>
      </c>
      <c r="C35" s="909"/>
      <c r="D35" s="292"/>
      <c r="E35" s="1102"/>
      <c r="F35" s="909"/>
      <c r="G35" s="292"/>
      <c r="H35" s="1102"/>
      <c r="I35" s="1071"/>
      <c r="J35" s="292"/>
      <c r="K35" s="1102"/>
      <c r="L35" s="1191"/>
      <c r="M35" s="1191"/>
      <c r="N35" s="1191"/>
      <c r="O35" s="233"/>
      <c r="P35" s="233"/>
      <c r="Q35" s="233"/>
      <c r="R35" s="31"/>
    </row>
    <row r="36" spans="1:17" s="730" customFormat="1" ht="15">
      <c r="A36" s="737" t="s">
        <v>98</v>
      </c>
      <c r="B36" s="738" t="s">
        <v>376</v>
      </c>
      <c r="C36" s="1079"/>
      <c r="D36" s="739"/>
      <c r="E36" s="744">
        <f aca="true" t="shared" si="12" ref="E36:E44">SUM(C36:D36)</f>
        <v>0</v>
      </c>
      <c r="F36" s="1340">
        <v>209030</v>
      </c>
      <c r="G36" s="739"/>
      <c r="H36" s="744">
        <f aca="true" t="shared" si="13" ref="H36:H44">SUM(F36:G36)</f>
        <v>209030</v>
      </c>
      <c r="I36" s="1079"/>
      <c r="J36" s="739"/>
      <c r="K36" s="744">
        <f aca="true" t="shared" si="14" ref="K36:K44">SUM(I36:J36)</f>
        <v>0</v>
      </c>
      <c r="L36" s="934"/>
      <c r="M36" s="934"/>
      <c r="N36" s="934">
        <f aca="true" t="shared" si="15" ref="N36:N44">SUM(L36:M36)</f>
        <v>0</v>
      </c>
      <c r="O36" s="728"/>
      <c r="P36" s="728"/>
      <c r="Q36" s="728"/>
    </row>
    <row r="37" spans="1:17" s="730" customFormat="1" ht="15">
      <c r="A37" s="160" t="s">
        <v>99</v>
      </c>
      <c r="B37" s="156" t="s">
        <v>235</v>
      </c>
      <c r="C37" s="880"/>
      <c r="D37" s="146"/>
      <c r="E37" s="169">
        <f t="shared" si="12"/>
        <v>0</v>
      </c>
      <c r="F37" s="859"/>
      <c r="G37" s="146"/>
      <c r="H37" s="169">
        <f t="shared" si="13"/>
        <v>0</v>
      </c>
      <c r="I37" s="880"/>
      <c r="J37" s="146"/>
      <c r="K37" s="169">
        <f t="shared" si="14"/>
        <v>0</v>
      </c>
      <c r="L37" s="934"/>
      <c r="M37" s="934"/>
      <c r="N37" s="934">
        <f t="shared" si="15"/>
        <v>0</v>
      </c>
      <c r="O37" s="728"/>
      <c r="P37" s="728"/>
      <c r="Q37" s="728"/>
    </row>
    <row r="38" spans="1:17" s="730" customFormat="1" ht="15">
      <c r="A38" s="325" t="s">
        <v>100</v>
      </c>
      <c r="B38" s="149" t="s">
        <v>377</v>
      </c>
      <c r="C38" s="1070"/>
      <c r="D38" s="311"/>
      <c r="E38" s="314">
        <f t="shared" si="12"/>
        <v>0</v>
      </c>
      <c r="F38" s="164"/>
      <c r="G38" s="311"/>
      <c r="H38" s="314">
        <f t="shared" si="13"/>
        <v>0</v>
      </c>
      <c r="I38" s="1070"/>
      <c r="J38" s="311"/>
      <c r="K38" s="314">
        <f t="shared" si="14"/>
        <v>0</v>
      </c>
      <c r="L38" s="934"/>
      <c r="M38" s="934"/>
      <c r="N38" s="934">
        <f t="shared" si="15"/>
        <v>0</v>
      </c>
      <c r="O38" s="728"/>
      <c r="P38" s="728"/>
      <c r="Q38" s="728"/>
    </row>
    <row r="39" spans="1:17" s="730" customFormat="1" ht="15.75" thickBot="1">
      <c r="A39" s="161" t="s">
        <v>101</v>
      </c>
      <c r="B39" s="162" t="s">
        <v>381</v>
      </c>
      <c r="C39" s="881"/>
      <c r="D39" s="158"/>
      <c r="E39" s="237">
        <f t="shared" si="12"/>
        <v>0</v>
      </c>
      <c r="F39" s="860"/>
      <c r="G39" s="158"/>
      <c r="H39" s="237">
        <f t="shared" si="13"/>
        <v>0</v>
      </c>
      <c r="I39" s="881"/>
      <c r="J39" s="158"/>
      <c r="K39" s="237">
        <f t="shared" si="14"/>
        <v>0</v>
      </c>
      <c r="L39" s="934"/>
      <c r="M39" s="934"/>
      <c r="N39" s="934">
        <f t="shared" si="15"/>
        <v>0</v>
      </c>
      <c r="O39" s="728"/>
      <c r="P39" s="728"/>
      <c r="Q39" s="728"/>
    </row>
    <row r="40" spans="1:17" s="15" customFormat="1" ht="16.5" thickBot="1">
      <c r="A40" s="303">
        <v>1</v>
      </c>
      <c r="B40" s="295" t="s">
        <v>177</v>
      </c>
      <c r="C40" s="337">
        <f aca="true" t="shared" si="16" ref="C40:N40">SUM(C36:C39)</f>
        <v>0</v>
      </c>
      <c r="D40" s="304">
        <f t="shared" si="16"/>
        <v>0</v>
      </c>
      <c r="E40" s="310">
        <f t="shared" si="16"/>
        <v>0</v>
      </c>
      <c r="F40" s="337">
        <f t="shared" si="16"/>
        <v>209030</v>
      </c>
      <c r="G40" s="304">
        <f t="shared" si="16"/>
        <v>0</v>
      </c>
      <c r="H40" s="310">
        <f t="shared" si="16"/>
        <v>209030</v>
      </c>
      <c r="I40" s="337">
        <f t="shared" si="16"/>
        <v>0</v>
      </c>
      <c r="J40" s="304">
        <f t="shared" si="16"/>
        <v>0</v>
      </c>
      <c r="K40" s="310">
        <f t="shared" si="16"/>
        <v>0</v>
      </c>
      <c r="L40" s="933">
        <f t="shared" si="16"/>
        <v>0</v>
      </c>
      <c r="M40" s="933">
        <f t="shared" si="16"/>
        <v>0</v>
      </c>
      <c r="N40" s="933">
        <f t="shared" si="16"/>
        <v>0</v>
      </c>
      <c r="O40" s="208"/>
      <c r="P40" s="208"/>
      <c r="Q40" s="208"/>
    </row>
    <row r="41" spans="1:17" ht="15">
      <c r="A41" s="163" t="s">
        <v>98</v>
      </c>
      <c r="B41" s="152" t="s">
        <v>403</v>
      </c>
      <c r="C41" s="1069"/>
      <c r="D41" s="224"/>
      <c r="E41" s="227">
        <f t="shared" si="12"/>
        <v>0</v>
      </c>
      <c r="F41" s="861"/>
      <c r="G41" s="224"/>
      <c r="H41" s="227">
        <f t="shared" si="13"/>
        <v>0</v>
      </c>
      <c r="I41" s="1069"/>
      <c r="J41" s="224"/>
      <c r="K41" s="227">
        <f t="shared" si="14"/>
        <v>0</v>
      </c>
      <c r="L41" s="934"/>
      <c r="M41" s="934"/>
      <c r="N41" s="934">
        <f t="shared" si="15"/>
        <v>0</v>
      </c>
      <c r="O41" s="94"/>
      <c r="P41" s="94"/>
      <c r="Q41" s="94"/>
    </row>
    <row r="42" spans="1:17" ht="15">
      <c r="A42" s="160" t="s">
        <v>99</v>
      </c>
      <c r="B42" s="156" t="s">
        <v>378</v>
      </c>
      <c r="C42" s="880"/>
      <c r="D42" s="146"/>
      <c r="E42" s="169">
        <f t="shared" si="12"/>
        <v>0</v>
      </c>
      <c r="F42" s="859"/>
      <c r="G42" s="146"/>
      <c r="H42" s="169">
        <f t="shared" si="13"/>
        <v>0</v>
      </c>
      <c r="I42" s="880"/>
      <c r="J42" s="146"/>
      <c r="K42" s="169">
        <f t="shared" si="14"/>
        <v>0</v>
      </c>
      <c r="L42" s="934"/>
      <c r="M42" s="934"/>
      <c r="N42" s="934">
        <f t="shared" si="15"/>
        <v>0</v>
      </c>
      <c r="O42" s="94"/>
      <c r="P42" s="94"/>
      <c r="Q42" s="94"/>
    </row>
    <row r="43" spans="1:17" ht="15">
      <c r="A43" s="160" t="s">
        <v>100</v>
      </c>
      <c r="B43" s="156" t="s">
        <v>379</v>
      </c>
      <c r="C43" s="880"/>
      <c r="D43" s="146"/>
      <c r="E43" s="169">
        <f t="shared" si="12"/>
        <v>0</v>
      </c>
      <c r="F43" s="859"/>
      <c r="G43" s="146"/>
      <c r="H43" s="169">
        <f t="shared" si="13"/>
        <v>0</v>
      </c>
      <c r="I43" s="880"/>
      <c r="J43" s="146"/>
      <c r="K43" s="169">
        <f t="shared" si="14"/>
        <v>0</v>
      </c>
      <c r="L43" s="934"/>
      <c r="M43" s="934"/>
      <c r="N43" s="934">
        <f t="shared" si="15"/>
        <v>0</v>
      </c>
      <c r="O43" s="94"/>
      <c r="P43" s="94"/>
      <c r="Q43" s="94"/>
    </row>
    <row r="44" spans="1:17" ht="15.75" thickBot="1">
      <c r="A44" s="161" t="s">
        <v>101</v>
      </c>
      <c r="B44" s="162" t="s">
        <v>175</v>
      </c>
      <c r="C44" s="881"/>
      <c r="D44" s="158"/>
      <c r="E44" s="237">
        <f t="shared" si="12"/>
        <v>0</v>
      </c>
      <c r="F44" s="860"/>
      <c r="G44" s="158"/>
      <c r="H44" s="237">
        <f t="shared" si="13"/>
        <v>0</v>
      </c>
      <c r="I44" s="881"/>
      <c r="J44" s="158"/>
      <c r="K44" s="237">
        <f t="shared" si="14"/>
        <v>0</v>
      </c>
      <c r="L44" s="934"/>
      <c r="M44" s="934"/>
      <c r="N44" s="934">
        <f t="shared" si="15"/>
        <v>0</v>
      </c>
      <c r="O44" s="94"/>
      <c r="P44" s="94"/>
      <c r="Q44" s="94"/>
    </row>
    <row r="45" spans="1:17" s="936" customFormat="1" ht="16.5" thickBot="1">
      <c r="A45" s="303">
        <v>2</v>
      </c>
      <c r="B45" s="295" t="s">
        <v>176</v>
      </c>
      <c r="C45" s="337">
        <f>SUM(C41:C44)</f>
        <v>0</v>
      </c>
      <c r="D45" s="304">
        <f aca="true" t="shared" si="17" ref="D45:N45">SUM(D41:D44)</f>
        <v>0</v>
      </c>
      <c r="E45" s="320">
        <f t="shared" si="17"/>
        <v>0</v>
      </c>
      <c r="F45" s="337">
        <f t="shared" si="17"/>
        <v>0</v>
      </c>
      <c r="G45" s="304">
        <f t="shared" si="17"/>
        <v>0</v>
      </c>
      <c r="H45" s="320">
        <f t="shared" si="17"/>
        <v>0</v>
      </c>
      <c r="I45" s="337">
        <f t="shared" si="17"/>
        <v>0</v>
      </c>
      <c r="J45" s="304">
        <f t="shared" si="17"/>
        <v>0</v>
      </c>
      <c r="K45" s="310">
        <f t="shared" si="17"/>
        <v>0</v>
      </c>
      <c r="L45" s="933">
        <f t="shared" si="17"/>
        <v>0</v>
      </c>
      <c r="M45" s="933">
        <f t="shared" si="17"/>
        <v>0</v>
      </c>
      <c r="N45" s="933">
        <f t="shared" si="17"/>
        <v>0</v>
      </c>
      <c r="O45" s="273"/>
      <c r="P45" s="273"/>
      <c r="Q45" s="273"/>
    </row>
    <row r="46" spans="1:17" s="936" customFormat="1" ht="16.5" thickBot="1">
      <c r="A46" s="303">
        <v>3</v>
      </c>
      <c r="B46" s="295" t="s">
        <v>254</v>
      </c>
      <c r="C46" s="337"/>
      <c r="D46" s="304"/>
      <c r="E46" s="306">
        <f>SUM(C46:D46)</f>
        <v>0</v>
      </c>
      <c r="F46" s="337"/>
      <c r="G46" s="304"/>
      <c r="H46" s="306">
        <f>SUM(F46:G46)</f>
        <v>0</v>
      </c>
      <c r="I46" s="337"/>
      <c r="J46" s="304"/>
      <c r="K46" s="310">
        <f>SUM(I46:J46)</f>
        <v>0</v>
      </c>
      <c r="L46" s="933"/>
      <c r="M46" s="933"/>
      <c r="N46" s="933">
        <f>SUM(L46:M46)</f>
        <v>0</v>
      </c>
      <c r="O46" s="273"/>
      <c r="P46" s="273"/>
      <c r="Q46" s="273"/>
    </row>
    <row r="47" spans="1:17" s="937" customFormat="1" ht="16.5" thickBot="1">
      <c r="A47" s="303">
        <v>4</v>
      </c>
      <c r="B47" s="295" t="s">
        <v>275</v>
      </c>
      <c r="C47" s="337">
        <v>2197</v>
      </c>
      <c r="D47" s="304"/>
      <c r="E47" s="306">
        <f>SUM(C47:D47)</f>
        <v>2197</v>
      </c>
      <c r="F47" s="337"/>
      <c r="G47" s="304"/>
      <c r="H47" s="306">
        <f>SUM(F47:G47)</f>
        <v>0</v>
      </c>
      <c r="I47" s="337"/>
      <c r="J47" s="304"/>
      <c r="K47" s="310">
        <f>SUM(I47:J47)</f>
        <v>0</v>
      </c>
      <c r="L47" s="933"/>
      <c r="M47" s="933"/>
      <c r="N47" s="933">
        <f>SUM(L47:M47)</f>
        <v>0</v>
      </c>
      <c r="O47" s="521"/>
      <c r="P47" s="521"/>
      <c r="Q47" s="521"/>
    </row>
    <row r="48" spans="1:17" s="730" customFormat="1" ht="1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934"/>
      <c r="M48" s="934"/>
      <c r="N48" s="934">
        <f>SUM(L48:M48)</f>
        <v>0</v>
      </c>
      <c r="O48" s="728"/>
      <c r="P48" s="728"/>
      <c r="Q48" s="728"/>
    </row>
    <row r="49" spans="1:17" ht="1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934"/>
      <c r="M49" s="934"/>
      <c r="N49" s="934">
        <f>SUM(L49:M49)</f>
        <v>0</v>
      </c>
      <c r="O49" s="94"/>
      <c r="P49" s="94"/>
      <c r="Q49" s="94"/>
    </row>
    <row r="50" spans="1:17" ht="15.75" thickBot="1">
      <c r="A50" s="161" t="s">
        <v>100</v>
      </c>
      <c r="B50" s="324" t="s">
        <v>413</v>
      </c>
      <c r="C50" s="880">
        <v>350000</v>
      </c>
      <c r="D50" s="146"/>
      <c r="E50" s="169">
        <f>SUM(C50:D50)</f>
        <v>350000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934"/>
      <c r="M50" s="934"/>
      <c r="N50" s="934">
        <f>SUM(L50:M50)</f>
        <v>0</v>
      </c>
      <c r="O50" s="94"/>
      <c r="P50" s="94"/>
      <c r="Q50" s="94"/>
    </row>
    <row r="51" spans="1:17" s="15" customFormat="1" ht="16.5" thickBot="1">
      <c r="A51" s="303">
        <v>5</v>
      </c>
      <c r="B51" s="427" t="s">
        <v>178</v>
      </c>
      <c r="C51" s="337">
        <f>SUM(C48:C50)</f>
        <v>350000</v>
      </c>
      <c r="D51" s="304">
        <f>SUM(D48:D50)</f>
        <v>0</v>
      </c>
      <c r="E51" s="306">
        <f aca="true" t="shared" si="18" ref="E51:N51">SUM(E48:E50)</f>
        <v>350000</v>
      </c>
      <c r="F51" s="337">
        <f t="shared" si="18"/>
        <v>0</v>
      </c>
      <c r="G51" s="304">
        <f t="shared" si="18"/>
        <v>0</v>
      </c>
      <c r="H51" s="306">
        <f t="shared" si="18"/>
        <v>0</v>
      </c>
      <c r="I51" s="337">
        <f t="shared" si="18"/>
        <v>0</v>
      </c>
      <c r="J51" s="304">
        <f t="shared" si="18"/>
        <v>0</v>
      </c>
      <c r="K51" s="310">
        <f t="shared" si="18"/>
        <v>0</v>
      </c>
      <c r="L51" s="933">
        <f t="shared" si="18"/>
        <v>0</v>
      </c>
      <c r="M51" s="933">
        <f t="shared" si="18"/>
        <v>0</v>
      </c>
      <c r="N51" s="933">
        <f t="shared" si="18"/>
        <v>0</v>
      </c>
      <c r="O51" s="208"/>
      <c r="P51" s="208"/>
      <c r="Q51" s="208"/>
    </row>
    <row r="52" spans="1:17" s="15" customFormat="1" ht="16.5" thickBot="1">
      <c r="A52" s="733">
        <v>6</v>
      </c>
      <c r="B52" s="735" t="s">
        <v>285</v>
      </c>
      <c r="C52" s="1072"/>
      <c r="D52" s="329"/>
      <c r="E52" s="322">
        <f>SUM(C52:D52)</f>
        <v>0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933"/>
      <c r="M52" s="933"/>
      <c r="N52" s="933">
        <f>SUM(L52:M52)</f>
        <v>0</v>
      </c>
      <c r="O52" s="208"/>
      <c r="P52" s="208"/>
      <c r="Q52" s="208"/>
    </row>
    <row r="53" spans="1:17" ht="15">
      <c r="A53" s="144" t="s">
        <v>98</v>
      </c>
      <c r="B53" s="429" t="s">
        <v>382</v>
      </c>
      <c r="C53" s="1073"/>
      <c r="D53" s="147"/>
      <c r="E53" s="203">
        <f>SUM(C53:D53)</f>
        <v>0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934"/>
      <c r="M53" s="934"/>
      <c r="N53" s="934">
        <f>SUM(L53:M53)</f>
        <v>0</v>
      </c>
      <c r="O53" s="94"/>
      <c r="P53" s="94"/>
      <c r="Q53" s="94"/>
    </row>
    <row r="54" spans="1:17" ht="15.75" thickBot="1">
      <c r="A54" s="325" t="s">
        <v>99</v>
      </c>
      <c r="B54" s="428" t="s">
        <v>383</v>
      </c>
      <c r="C54" s="1070">
        <v>7947</v>
      </c>
      <c r="D54" s="311"/>
      <c r="E54" s="314">
        <f>SUM(C54:D54)</f>
        <v>7947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934"/>
      <c r="M54" s="934"/>
      <c r="N54" s="934">
        <f>SUM(L54:M54)</f>
        <v>0</v>
      </c>
      <c r="O54" s="94"/>
      <c r="P54" s="94"/>
      <c r="Q54" s="94"/>
    </row>
    <row r="55" spans="1:17" s="15" customFormat="1" ht="17.25" customHeight="1" thickBot="1">
      <c r="A55" s="303">
        <v>7</v>
      </c>
      <c r="B55" s="427" t="s">
        <v>181</v>
      </c>
      <c r="C55" s="337">
        <f>SUM(C53:C54)</f>
        <v>7947</v>
      </c>
      <c r="D55" s="304">
        <f aca="true" t="shared" si="19" ref="D55:N55">SUM(D53:D54)</f>
        <v>0</v>
      </c>
      <c r="E55" s="306">
        <f t="shared" si="19"/>
        <v>7947</v>
      </c>
      <c r="F55" s="337">
        <f t="shared" si="19"/>
        <v>0</v>
      </c>
      <c r="G55" s="304">
        <f t="shared" si="19"/>
        <v>0</v>
      </c>
      <c r="H55" s="306">
        <f t="shared" si="19"/>
        <v>0</v>
      </c>
      <c r="I55" s="337">
        <f t="shared" si="19"/>
        <v>0</v>
      </c>
      <c r="J55" s="304">
        <f t="shared" si="19"/>
        <v>0</v>
      </c>
      <c r="K55" s="310">
        <f t="shared" si="19"/>
        <v>0</v>
      </c>
      <c r="L55" s="933">
        <f t="shared" si="19"/>
        <v>0</v>
      </c>
      <c r="M55" s="933">
        <f t="shared" si="19"/>
        <v>0</v>
      </c>
      <c r="N55" s="933">
        <f t="shared" si="19"/>
        <v>0</v>
      </c>
      <c r="O55" s="208"/>
      <c r="P55" s="208"/>
      <c r="Q55" s="208"/>
    </row>
    <row r="56" spans="1:17" s="28" customFormat="1" ht="19.5" customHeight="1" thickBot="1">
      <c r="A56" s="690">
        <v>8</v>
      </c>
      <c r="B56" s="691" t="s">
        <v>46</v>
      </c>
      <c r="C56" s="1105">
        <f>C34-C40-C45-C46-C47-C51-C52-C55-C57-C58-C59</f>
        <v>255923</v>
      </c>
      <c r="D56" s="1106">
        <f>D34-D40-D45-D46-D47-D51-D52-D55-D57-D58-D59</f>
        <v>28245</v>
      </c>
      <c r="E56" s="1103">
        <f aca="true" t="shared" si="20" ref="E56:N56">E34-E40-E45-E46-E47-E51-E52-E55-E57-E58-E59</f>
        <v>284168</v>
      </c>
      <c r="F56" s="1105">
        <f t="shared" si="20"/>
        <v>110000</v>
      </c>
      <c r="G56" s="1106">
        <f t="shared" si="20"/>
        <v>0</v>
      </c>
      <c r="H56" s="1103">
        <f t="shared" si="20"/>
        <v>110000</v>
      </c>
      <c r="I56" s="1105">
        <f t="shared" si="20"/>
        <v>136689</v>
      </c>
      <c r="J56" s="1106">
        <f t="shared" si="20"/>
        <v>11720</v>
      </c>
      <c r="K56" s="1143">
        <f t="shared" si="20"/>
        <v>148409</v>
      </c>
      <c r="L56" s="935">
        <f t="shared" si="20"/>
        <v>0</v>
      </c>
      <c r="M56" s="935">
        <f t="shared" si="20"/>
        <v>0</v>
      </c>
      <c r="N56" s="935">
        <f t="shared" si="20"/>
        <v>0</v>
      </c>
      <c r="O56" s="268"/>
      <c r="P56" s="268"/>
      <c r="Q56" s="268"/>
    </row>
    <row r="57" spans="1:17" s="15" customFormat="1" ht="15.75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935"/>
      <c r="M57" s="935"/>
      <c r="N57" s="935">
        <f>SUM(L57:M57)</f>
        <v>0</v>
      </c>
      <c r="O57" s="208"/>
      <c r="P57" s="208"/>
      <c r="Q57" s="208"/>
    </row>
    <row r="58" spans="1:17" s="15" customFormat="1" ht="15.75">
      <c r="A58" s="326" t="s">
        <v>183</v>
      </c>
      <c r="B58" s="327" t="s">
        <v>384</v>
      </c>
      <c r="C58" s="1075"/>
      <c r="D58" s="317"/>
      <c r="E58" s="1104">
        <f>SUM(C58:D58)</f>
        <v>0</v>
      </c>
      <c r="F58" s="321"/>
      <c r="G58" s="317"/>
      <c r="H58" s="392">
        <f>SUM(F58:G58)</f>
        <v>0</v>
      </c>
      <c r="I58" s="316"/>
      <c r="J58" s="317"/>
      <c r="K58" s="392">
        <f>SUM(I58:J58)</f>
        <v>0</v>
      </c>
      <c r="L58" s="935"/>
      <c r="M58" s="935"/>
      <c r="N58" s="935">
        <f>SUM(L58:M58)</f>
        <v>0</v>
      </c>
      <c r="O58" s="208"/>
      <c r="P58" s="208"/>
      <c r="Q58" s="208"/>
    </row>
    <row r="59" spans="1:18" s="15" customFormat="1" ht="16.5" thickBot="1">
      <c r="A59" s="341">
        <v>10</v>
      </c>
      <c r="B59" s="342"/>
      <c r="C59" s="343"/>
      <c r="D59" s="344"/>
      <c r="E59" s="397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935"/>
      <c r="M59" s="935"/>
      <c r="N59" s="935">
        <f>SUM(L59:M59)</f>
        <v>0</v>
      </c>
      <c r="O59" s="159"/>
      <c r="P59" s="159"/>
      <c r="Q59" s="159"/>
      <c r="R59" s="34"/>
    </row>
    <row r="60" spans="1:17" s="34" customFormat="1" ht="17.25" thickBot="1" thickTop="1">
      <c r="A60" s="333" t="s">
        <v>109</v>
      </c>
      <c r="B60" s="335" t="s">
        <v>182</v>
      </c>
      <c r="C60" s="747">
        <f>C40+C45+C46+C47+C51+C52+C55+C56+C57+C58+C59</f>
        <v>616067</v>
      </c>
      <c r="D60" s="748">
        <f aca="true" t="shared" si="21" ref="D60:N60">D40+D45+D46+D47+D51+D52+D55+D56+D57+D58+D59</f>
        <v>28245</v>
      </c>
      <c r="E60" s="746">
        <f t="shared" si="21"/>
        <v>644312</v>
      </c>
      <c r="F60" s="354">
        <f t="shared" si="21"/>
        <v>319030</v>
      </c>
      <c r="G60" s="334">
        <f t="shared" si="21"/>
        <v>0</v>
      </c>
      <c r="H60" s="746">
        <f t="shared" si="21"/>
        <v>319030</v>
      </c>
      <c r="I60" s="354">
        <f t="shared" si="21"/>
        <v>136689</v>
      </c>
      <c r="J60" s="334">
        <f t="shared" si="21"/>
        <v>11720</v>
      </c>
      <c r="K60" s="364">
        <f t="shared" si="21"/>
        <v>148409</v>
      </c>
      <c r="L60" s="935">
        <f t="shared" si="21"/>
        <v>0</v>
      </c>
      <c r="M60" s="935">
        <f t="shared" si="21"/>
        <v>0</v>
      </c>
      <c r="N60" s="935">
        <f t="shared" si="21"/>
        <v>0</v>
      </c>
      <c r="O60" s="159"/>
      <c r="P60" s="159"/>
      <c r="Q60" s="159"/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934"/>
      <c r="M61" s="934"/>
      <c r="N61" s="934"/>
      <c r="O61" s="94"/>
      <c r="P61" s="94"/>
      <c r="Q61" s="94"/>
    </row>
    <row r="62" spans="1:17" ht="16.5" thickBot="1" thickTop="1">
      <c r="A62" s="174"/>
      <c r="B62" s="175" t="s">
        <v>593</v>
      </c>
      <c r="C62" s="882"/>
      <c r="D62" s="883"/>
      <c r="E62" s="403">
        <f>SUM(C62:D62)</f>
        <v>0</v>
      </c>
      <c r="F62" s="882"/>
      <c r="G62" s="883"/>
      <c r="H62" s="403">
        <f>SUM(F62:G62)</f>
        <v>0</v>
      </c>
      <c r="I62" s="882"/>
      <c r="J62" s="769"/>
      <c r="K62" s="403">
        <f>SUM(I62:J62)</f>
        <v>0</v>
      </c>
      <c r="L62" s="934"/>
      <c r="M62" s="934"/>
      <c r="N62" s="934">
        <f>SUM(L62:M62)</f>
        <v>0</v>
      </c>
      <c r="O62" s="94"/>
      <c r="P62" s="94"/>
      <c r="Q62" s="94"/>
    </row>
    <row r="63" spans="1:17" ht="16.5" thickBot="1" thickTop="1">
      <c r="A63" s="174"/>
      <c r="B63" s="175" t="s">
        <v>594</v>
      </c>
      <c r="C63" s="882"/>
      <c r="D63" s="883"/>
      <c r="E63" s="403">
        <f>SUM(C63:D63)</f>
        <v>0</v>
      </c>
      <c r="F63" s="882"/>
      <c r="G63" s="883"/>
      <c r="H63" s="403">
        <f>SUM(F63:G63)</f>
        <v>0</v>
      </c>
      <c r="I63" s="882"/>
      <c r="J63" s="769"/>
      <c r="K63" s="403">
        <f>SUM(I63:J63)</f>
        <v>0</v>
      </c>
      <c r="L63" s="934"/>
      <c r="M63" s="934"/>
      <c r="N63" s="934">
        <f>SUM(L63:M63)</f>
        <v>0</v>
      </c>
      <c r="O63" s="94"/>
      <c r="P63" s="94"/>
      <c r="Q63" s="94"/>
    </row>
    <row r="64" spans="1:17" ht="16.5" thickTop="1">
      <c r="A64" s="408"/>
      <c r="O64" s="94"/>
      <c r="P64" s="94"/>
      <c r="Q64" s="94"/>
    </row>
    <row r="65" ht="15.75">
      <c r="A65" s="408"/>
    </row>
    <row r="67" ht="12.75">
      <c r="D67" s="94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K1" sqref="K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6" width="19.375" style="94" customWidth="1"/>
    <col min="7" max="7" width="17.875" style="94" customWidth="1"/>
    <col min="8" max="9" width="19.375" style="94" customWidth="1"/>
    <col min="10" max="10" width="18.00390625" style="94" customWidth="1"/>
    <col min="11" max="11" width="19.375" style="94" customWidth="1"/>
    <col min="12" max="12" width="15.50390625" style="347" customWidth="1"/>
    <col min="13" max="13" width="16.00390625" style="347" customWidth="1"/>
    <col min="14" max="17" width="9.375" style="347" customWidth="1"/>
    <col min="18" max="21" width="9.375" style="26" customWidth="1"/>
  </cols>
  <sheetData>
    <row r="1" spans="1:11" ht="15" customHeight="1">
      <c r="A1" s="293"/>
      <c r="B1" s="294"/>
      <c r="C1" s="294"/>
      <c r="D1" s="376"/>
      <c r="E1" s="376"/>
      <c r="F1" s="294"/>
      <c r="G1" s="376"/>
      <c r="H1" s="376"/>
      <c r="I1" s="376"/>
      <c r="J1" s="376"/>
      <c r="K1" s="866" t="s">
        <v>881</v>
      </c>
    </row>
    <row r="2" spans="1:11" ht="15" customHeight="1">
      <c r="A2" s="293"/>
      <c r="B2" s="294"/>
      <c r="C2" s="294"/>
      <c r="D2" s="376"/>
      <c r="E2" s="376"/>
      <c r="F2" s="294"/>
      <c r="G2" s="376"/>
      <c r="H2" s="376"/>
      <c r="I2" s="376"/>
      <c r="J2" s="376"/>
      <c r="K2" s="866" t="s">
        <v>93</v>
      </c>
    </row>
    <row r="3" spans="1:11" ht="15" customHeight="1">
      <c r="A3" s="293"/>
      <c r="B3" s="294"/>
      <c r="C3" s="294"/>
      <c r="D3" s="376"/>
      <c r="E3" s="376"/>
      <c r="F3" s="294"/>
      <c r="G3" s="376"/>
      <c r="H3" s="376"/>
      <c r="I3" s="376"/>
      <c r="J3" s="376"/>
      <c r="K3" s="867" t="s">
        <v>149</v>
      </c>
    </row>
    <row r="4" spans="1:21" s="15" customFormat="1" ht="20.25" customHeight="1">
      <c r="A4" s="868" t="s">
        <v>573</v>
      </c>
      <c r="B4" s="868"/>
      <c r="C4" s="868"/>
      <c r="D4" s="874"/>
      <c r="E4" s="874"/>
      <c r="F4" s="868"/>
      <c r="G4" s="874"/>
      <c r="H4" s="874"/>
      <c r="I4" s="874"/>
      <c r="J4" s="874"/>
      <c r="K4" s="874"/>
      <c r="L4" s="418"/>
      <c r="M4" s="418"/>
      <c r="N4" s="418"/>
      <c r="O4" s="418"/>
      <c r="P4" s="418"/>
      <c r="Q4" s="418"/>
      <c r="R4" s="362"/>
      <c r="S4" s="362"/>
      <c r="T4" s="362"/>
      <c r="U4" s="362"/>
    </row>
    <row r="5" spans="1:21" s="15" customFormat="1" ht="18" customHeight="1">
      <c r="A5" s="869" t="s">
        <v>584</v>
      </c>
      <c r="B5" s="869"/>
      <c r="C5" s="869"/>
      <c r="D5" s="875"/>
      <c r="E5" s="875"/>
      <c r="F5" s="869"/>
      <c r="G5" s="875"/>
      <c r="H5" s="875"/>
      <c r="I5" s="875"/>
      <c r="J5" s="875"/>
      <c r="K5" s="875"/>
      <c r="L5" s="418"/>
      <c r="M5" s="418"/>
      <c r="N5" s="418"/>
      <c r="O5" s="418"/>
      <c r="P5" s="418"/>
      <c r="Q5" s="418"/>
      <c r="R5" s="362"/>
      <c r="S5" s="362"/>
      <c r="T5" s="362"/>
      <c r="U5" s="362"/>
    </row>
    <row r="6" spans="1:11" ht="15.75" customHeight="1" thickBot="1">
      <c r="A6" s="293"/>
      <c r="B6" s="294"/>
      <c r="C6" s="294"/>
      <c r="D6" s="376"/>
      <c r="E6" s="376"/>
      <c r="F6" s="294"/>
      <c r="G6" s="376"/>
      <c r="H6" s="376"/>
      <c r="I6" s="376"/>
      <c r="J6" s="376"/>
      <c r="K6" s="376"/>
    </row>
    <row r="7" spans="1:12" s="94" customFormat="1" ht="33" customHeight="1">
      <c r="A7" s="229" t="s">
        <v>124</v>
      </c>
      <c r="B7" s="93" t="s">
        <v>125</v>
      </c>
      <c r="C7" s="243" t="s">
        <v>339</v>
      </c>
      <c r="D7" s="244"/>
      <c r="E7" s="245"/>
      <c r="F7" s="96" t="s">
        <v>133</v>
      </c>
      <c r="G7" s="97"/>
      <c r="H7" s="98"/>
      <c r="I7" s="96" t="s">
        <v>67</v>
      </c>
      <c r="J7" s="97"/>
      <c r="K7" s="98"/>
      <c r="L7" s="347"/>
    </row>
    <row r="8" spans="1:12" s="94" customFormat="1" ht="24.75" customHeight="1" thickBot="1">
      <c r="A8" s="240" t="s">
        <v>126</v>
      </c>
      <c r="B8" s="16" t="s">
        <v>127</v>
      </c>
      <c r="C8" s="24" t="s">
        <v>420</v>
      </c>
      <c r="D8" s="23" t="s">
        <v>805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347"/>
    </row>
    <row r="9" spans="1:12" s="233" customFormat="1" ht="14.25" customHeight="1" thickBot="1">
      <c r="A9" s="410">
        <v>1</v>
      </c>
      <c r="B9" s="410">
        <v>2</v>
      </c>
      <c r="C9" s="411">
        <v>3</v>
      </c>
      <c r="D9" s="412">
        <v>5</v>
      </c>
      <c r="E9" s="413">
        <v>5</v>
      </c>
      <c r="F9" s="411">
        <v>6</v>
      </c>
      <c r="G9" s="412">
        <v>7</v>
      </c>
      <c r="H9" s="414">
        <v>8</v>
      </c>
      <c r="I9" s="411">
        <v>9</v>
      </c>
      <c r="J9" s="412">
        <v>10</v>
      </c>
      <c r="K9" s="414">
        <v>11</v>
      </c>
      <c r="L9" s="347"/>
    </row>
    <row r="10" spans="1:12" s="94" customFormat="1" ht="18.75" customHeight="1" thickBot="1">
      <c r="A10" s="370"/>
      <c r="B10" s="415" t="s">
        <v>129</v>
      </c>
      <c r="C10" s="371"/>
      <c r="D10" s="372"/>
      <c r="E10" s="416"/>
      <c r="F10" s="371"/>
      <c r="G10" s="372"/>
      <c r="H10" s="417"/>
      <c r="I10" s="374"/>
      <c r="J10" s="375"/>
      <c r="K10" s="373"/>
      <c r="L10" s="347"/>
    </row>
    <row r="11" spans="1:12" s="94" customFormat="1" ht="15" customHeight="1" thickBot="1">
      <c r="A11" s="303">
        <v>1</v>
      </c>
      <c r="B11" s="295" t="s">
        <v>113</v>
      </c>
      <c r="C11" s="337">
        <f>SUM(hivatal7!I11+hivatal7!L11+hivatal7!O11+hivatal8!C11+hivatal8!F11+hivatal8!I11+hivatal8!L11)</f>
        <v>263919</v>
      </c>
      <c r="D11" s="304">
        <f>SUM(hivatal7!J11+hivatal7!M11+hivatal7!P11+hivatal8!D11+hivatal8!G11+hivatal8!J11+hivatal8!M11)</f>
        <v>-5523</v>
      </c>
      <c r="E11" s="320">
        <f>SUM(C11:D11)</f>
        <v>258396</v>
      </c>
      <c r="F11" s="309">
        <f>'önállóan gazd.'!O11</f>
        <v>3537144</v>
      </c>
      <c r="G11" s="304">
        <f>'önállóan gazd.'!P11</f>
        <v>30128</v>
      </c>
      <c r="H11" s="348">
        <f>'önállóan gazd.'!Q11</f>
        <v>3567272</v>
      </c>
      <c r="I11" s="281">
        <f aca="true" t="shared" si="0" ref="I11:K14">SUM(C11+F11)</f>
        <v>3801063</v>
      </c>
      <c r="J11" s="284">
        <f t="shared" si="0"/>
        <v>24605</v>
      </c>
      <c r="K11" s="1244">
        <f t="shared" si="0"/>
        <v>3825668</v>
      </c>
      <c r="L11" s="347"/>
    </row>
    <row r="12" spans="1:12" s="268" customFormat="1" ht="15" customHeight="1" thickBot="1">
      <c r="A12" s="307">
        <v>2</v>
      </c>
      <c r="B12" s="295" t="s">
        <v>202</v>
      </c>
      <c r="C12" s="337">
        <f>SUM(hivatal7!I12+hivatal7!L12+hivatal7!O12+hivatal8!C12+hivatal8!F12+hivatal8!I12+hivatal8!L12)</f>
        <v>53113</v>
      </c>
      <c r="D12" s="304">
        <f>SUM(hivatal7!J12+hivatal7!M12+hivatal7!P12+hivatal8!D12+hivatal8!G12+hivatal8!J12+hivatal8!M12)</f>
        <v>1448</v>
      </c>
      <c r="E12" s="320">
        <f>SUM(C12:D12)</f>
        <v>54561</v>
      </c>
      <c r="F12" s="309">
        <f>'önállóan gazd.'!O12</f>
        <v>739024</v>
      </c>
      <c r="G12" s="304">
        <f>'önállóan gazd.'!P12</f>
        <v>-36662</v>
      </c>
      <c r="H12" s="348">
        <f>'önállóan gazd.'!Q12</f>
        <v>702362</v>
      </c>
      <c r="I12" s="281">
        <f t="shared" si="0"/>
        <v>792137</v>
      </c>
      <c r="J12" s="284">
        <f t="shared" si="0"/>
        <v>-35214</v>
      </c>
      <c r="K12" s="1244">
        <f t="shared" si="0"/>
        <v>756923</v>
      </c>
      <c r="L12" s="420"/>
    </row>
    <row r="13" spans="1:12" s="208" customFormat="1" ht="15" customHeight="1" thickBot="1">
      <c r="A13" s="307">
        <v>3</v>
      </c>
      <c r="B13" s="295" t="s">
        <v>116</v>
      </c>
      <c r="C13" s="308">
        <f>SUM(hivatal7!I13+hivatal7!L13+hivatal7!O13+hivatal8!C13+hivatal8!F13+hivatal8!I13+hivatal8!L13)</f>
        <v>3473371</v>
      </c>
      <c r="D13" s="304">
        <f>SUM(hivatal7!J13+hivatal7!M13+hivatal7!P13+hivatal8!D13+hivatal8!G13+hivatal8!J13+hivatal8!M13)</f>
        <v>265156</v>
      </c>
      <c r="E13" s="320">
        <f>SUM(C13:D13)</f>
        <v>3738527</v>
      </c>
      <c r="F13" s="309">
        <f>'önállóan gazd.'!O13</f>
        <v>1905780</v>
      </c>
      <c r="G13" s="304">
        <f>'önállóan gazd.'!P13</f>
        <v>-52744</v>
      </c>
      <c r="H13" s="348">
        <f>'önállóan gazd.'!Q13</f>
        <v>1853036</v>
      </c>
      <c r="I13" s="281">
        <f t="shared" si="0"/>
        <v>5379151</v>
      </c>
      <c r="J13" s="284">
        <f t="shared" si="0"/>
        <v>212412</v>
      </c>
      <c r="K13" s="1244">
        <f>SUM(E13+H13)</f>
        <v>5591563</v>
      </c>
      <c r="L13" s="418"/>
    </row>
    <row r="14" spans="1:12" s="208" customFormat="1" ht="15" customHeight="1" thickBot="1">
      <c r="A14" s="307">
        <v>4</v>
      </c>
      <c r="B14" s="295" t="s">
        <v>172</v>
      </c>
      <c r="C14" s="1089">
        <f>SUM(hivatal7!I14+hivatal7!L14+hivatal7!O14+hivatal8!C14+hivatal8!F14+hivatal8!I14+hivatal8!L14)</f>
        <v>91423</v>
      </c>
      <c r="D14" s="284">
        <f>SUM(hivatal7!J14+hivatal7!M14+hivatal7!P14+hivatal8!D14+hivatal8!G14+hivatal8!J14+hivatal8!M14)</f>
        <v>54</v>
      </c>
      <c r="E14" s="282">
        <f aca="true" t="shared" si="1" ref="E14:E20">C14+D14</f>
        <v>91477</v>
      </c>
      <c r="F14" s="281">
        <f>'önállóan gazd.'!O14</f>
        <v>0</v>
      </c>
      <c r="G14" s="284">
        <f>'önállóan gazd.'!P14</f>
        <v>0</v>
      </c>
      <c r="H14" s="305">
        <f>F14+G14</f>
        <v>0</v>
      </c>
      <c r="I14" s="281">
        <f t="shared" si="0"/>
        <v>91423</v>
      </c>
      <c r="J14" s="284">
        <f t="shared" si="0"/>
        <v>54</v>
      </c>
      <c r="K14" s="1244">
        <f t="shared" si="0"/>
        <v>91477</v>
      </c>
      <c r="L14" s="418"/>
    </row>
    <row r="15" spans="1:12" s="94" customFormat="1" ht="15" customHeight="1">
      <c r="A15" s="163" t="s">
        <v>98</v>
      </c>
      <c r="B15" s="152" t="s">
        <v>370</v>
      </c>
      <c r="C15" s="296">
        <f>SUM(hivatal7!I15+hivatal7!L15+hivatal7!O15+hivatal8!C15+hivatal8!F15+hivatal8!I15+hivatal8!L15)</f>
        <v>141742</v>
      </c>
      <c r="D15" s="224">
        <f>SUM(hivatal7!J15+hivatal7!M15+hivatal7!P15+hivatal8!D15+hivatal8!G15+hivatal8!J15+hivatal8!M15)</f>
        <v>4484</v>
      </c>
      <c r="E15" s="861">
        <f t="shared" si="1"/>
        <v>146226</v>
      </c>
      <c r="F15" s="226">
        <f>'önállóan gazd.'!O15</f>
        <v>20693</v>
      </c>
      <c r="G15" s="224">
        <f>'önállóan gazd.'!P15</f>
        <v>0</v>
      </c>
      <c r="H15" s="379">
        <f aca="true" t="shared" si="2" ref="H15:H21">F15+G15</f>
        <v>20693</v>
      </c>
      <c r="I15" s="349">
        <f aca="true" t="shared" si="3" ref="I15:I21">SUM(C15+F15)</f>
        <v>162435</v>
      </c>
      <c r="J15" s="291">
        <f aca="true" t="shared" si="4" ref="J15:J21">SUM(D15+G15)</f>
        <v>4484</v>
      </c>
      <c r="K15" s="1245">
        <f aca="true" t="shared" si="5" ref="K15:K22">SUM(E15+H15)</f>
        <v>166919</v>
      </c>
      <c r="L15" s="347"/>
    </row>
    <row r="16" spans="1:12" s="94" customFormat="1" ht="15" customHeight="1">
      <c r="A16" s="160" t="s">
        <v>99</v>
      </c>
      <c r="B16" s="156" t="s">
        <v>554</v>
      </c>
      <c r="C16" s="296">
        <f>SUM(hivatal7!I16+hivatal7!L16+hivatal7!O16+hivatal8!C16+hivatal8!F16+hivatal8!I16+hivatal8!L16)</f>
        <v>0</v>
      </c>
      <c r="D16" s="224">
        <f>SUM(hivatal7!J16+hivatal7!M16+hivatal7!P16+hivatal8!D16+hivatal8!G16+hivatal8!J16+hivatal8!M16)</f>
        <v>0</v>
      </c>
      <c r="E16" s="861">
        <f t="shared" si="1"/>
        <v>0</v>
      </c>
      <c r="F16" s="226">
        <f>'önállóan gazd.'!O16</f>
        <v>0</v>
      </c>
      <c r="G16" s="224">
        <f>'önállóan gazd.'!P16</f>
        <v>0</v>
      </c>
      <c r="H16" s="379">
        <f>F16+G16</f>
        <v>0</v>
      </c>
      <c r="I16" s="419">
        <f>SUM(C16+F16)</f>
        <v>0</v>
      </c>
      <c r="J16" s="289">
        <f>SUM(D16+G16)</f>
        <v>0</v>
      </c>
      <c r="K16" s="1245">
        <f>SUM(E16+H16)</f>
        <v>0</v>
      </c>
      <c r="L16" s="347"/>
    </row>
    <row r="17" spans="1:12" s="94" customFormat="1" ht="15" customHeight="1">
      <c r="A17" s="160" t="s">
        <v>100</v>
      </c>
      <c r="B17" s="156" t="s">
        <v>555</v>
      </c>
      <c r="C17" s="296">
        <f>SUM(hivatal7!I17+hivatal7!L17+hivatal7!O17+hivatal8!C17+hivatal8!F17+hivatal8!I17+hivatal8!L17)</f>
        <v>0</v>
      </c>
      <c r="D17" s="224">
        <f>SUM(hivatal7!J17+hivatal7!M17+hivatal7!P17+hivatal8!D17+hivatal8!G17+hivatal8!J17+hivatal8!M17)</f>
        <v>0</v>
      </c>
      <c r="E17" s="861">
        <f t="shared" si="1"/>
        <v>0</v>
      </c>
      <c r="F17" s="226">
        <f>'önállóan gazd.'!O17</f>
        <v>0</v>
      </c>
      <c r="G17" s="224">
        <f>'önállóan gazd.'!P17</f>
        <v>0</v>
      </c>
      <c r="H17" s="379">
        <f t="shared" si="2"/>
        <v>0</v>
      </c>
      <c r="I17" s="419">
        <f t="shared" si="3"/>
        <v>0</v>
      </c>
      <c r="J17" s="289">
        <f t="shared" si="4"/>
        <v>0</v>
      </c>
      <c r="K17" s="1245">
        <f t="shared" si="5"/>
        <v>0</v>
      </c>
      <c r="L17" s="347"/>
    </row>
    <row r="18" spans="1:12" s="94" customFormat="1" ht="15" customHeight="1">
      <c r="A18" s="160" t="s">
        <v>101</v>
      </c>
      <c r="B18" s="156" t="s">
        <v>371</v>
      </c>
      <c r="C18" s="296">
        <f>SUM(hivatal7!I18+hivatal7!L18+hivatal7!O18+hivatal8!C18+hivatal8!F18+hivatal8!I18+hivatal8!L18)</f>
        <v>37653</v>
      </c>
      <c r="D18" s="224">
        <f>SUM(hivatal7!J18+hivatal7!M18+hivatal7!P18+hivatal8!D18+hivatal8!G18+hivatal8!J18+hivatal8!M18)</f>
        <v>1595</v>
      </c>
      <c r="E18" s="861">
        <f t="shared" si="1"/>
        <v>39248</v>
      </c>
      <c r="F18" s="226">
        <f>'önállóan gazd.'!O18</f>
        <v>0</v>
      </c>
      <c r="G18" s="224">
        <f>'önállóan gazd.'!P18</f>
        <v>0</v>
      </c>
      <c r="H18" s="379">
        <f t="shared" si="2"/>
        <v>0</v>
      </c>
      <c r="I18" s="419">
        <f t="shared" si="3"/>
        <v>37653</v>
      </c>
      <c r="J18" s="289">
        <f t="shared" si="4"/>
        <v>1595</v>
      </c>
      <c r="K18" s="1245">
        <f t="shared" si="5"/>
        <v>39248</v>
      </c>
      <c r="L18" s="347"/>
    </row>
    <row r="19" spans="1:12" s="94" customFormat="1" ht="15" customHeight="1">
      <c r="A19" s="155" t="s">
        <v>192</v>
      </c>
      <c r="B19" s="156" t="s">
        <v>556</v>
      </c>
      <c r="C19" s="296">
        <f>SUM(hivatal7!I19+hivatal7!L19+hivatal7!O19+hivatal8!C19+hivatal8!F19+hivatal8!I19+hivatal8!L19)</f>
        <v>10000</v>
      </c>
      <c r="D19" s="224">
        <f>SUM(hivatal7!J19+hivatal7!M19+hivatal7!P19+hivatal8!D19+hivatal8!G19+hivatal8!J19+hivatal8!M19)</f>
        <v>0</v>
      </c>
      <c r="E19" s="861">
        <f t="shared" si="1"/>
        <v>10000</v>
      </c>
      <c r="F19" s="226">
        <f>'önállóan gazd.'!O18</f>
        <v>0</v>
      </c>
      <c r="G19" s="224">
        <f>'önállóan gazd.'!P18</f>
        <v>0</v>
      </c>
      <c r="H19" s="379">
        <f>F19+G19</f>
        <v>0</v>
      </c>
      <c r="I19" s="419">
        <f>SUM(C19+F19)</f>
        <v>10000</v>
      </c>
      <c r="J19" s="289">
        <f>SUM(D19+G19)</f>
        <v>0</v>
      </c>
      <c r="K19" s="1245">
        <f>SUM(E19+H19)</f>
        <v>10000</v>
      </c>
      <c r="L19" s="347"/>
    </row>
    <row r="20" spans="1:12" s="94" customFormat="1" ht="15" customHeight="1">
      <c r="A20" s="155" t="s">
        <v>327</v>
      </c>
      <c r="B20" s="156" t="s">
        <v>557</v>
      </c>
      <c r="C20" s="296">
        <f>SUM(hivatal7!I20+hivatal7!L20+hivatal7!O20+hivatal8!C20+hivatal8!F20+hivatal8!I20+hivatal8!L20)</f>
        <v>0</v>
      </c>
      <c r="D20" s="224">
        <f>SUM(hivatal7!J20+hivatal7!M20+hivatal7!P20+hivatal8!D20+hivatal8!G20+hivatal8!J20+hivatal8!M20)</f>
        <v>0</v>
      </c>
      <c r="E20" s="861">
        <f t="shared" si="1"/>
        <v>0</v>
      </c>
      <c r="F20" s="226">
        <f>'önállóan gazd.'!O20</f>
        <v>0</v>
      </c>
      <c r="G20" s="224">
        <f>'önállóan gazd.'!P20</f>
        <v>0</v>
      </c>
      <c r="H20" s="379">
        <f t="shared" si="2"/>
        <v>0</v>
      </c>
      <c r="I20" s="419">
        <f t="shared" si="3"/>
        <v>0</v>
      </c>
      <c r="J20" s="289">
        <f>SUM(D20+G20)</f>
        <v>0</v>
      </c>
      <c r="K20" s="1245">
        <f t="shared" si="5"/>
        <v>0</v>
      </c>
      <c r="L20" s="347"/>
    </row>
    <row r="21" spans="1:12" s="94" customFormat="1" ht="15" customHeight="1">
      <c r="A21" s="155" t="s">
        <v>328</v>
      </c>
      <c r="B21" s="156" t="s">
        <v>372</v>
      </c>
      <c r="C21" s="296">
        <f>SUM(hivatal7!I21+hivatal7!L21+hivatal7!O21+hivatal8!C21+hivatal8!F21+hivatal8!I21+hivatal8!L21)</f>
        <v>822350</v>
      </c>
      <c r="D21" s="224">
        <f>SUM(hivatal7!J21+hivatal7!M21+hivatal7!P21+hivatal8!D21+hivatal8!G21+hivatal8!J21+hivatal8!M21)</f>
        <v>3195</v>
      </c>
      <c r="E21" s="861">
        <f aca="true" t="shared" si="6" ref="E21:E30">C21+D21</f>
        <v>825545</v>
      </c>
      <c r="F21" s="226">
        <f>'önállóan gazd.'!O21</f>
        <v>43</v>
      </c>
      <c r="G21" s="224">
        <f>'önállóan gazd.'!P21</f>
        <v>0</v>
      </c>
      <c r="H21" s="379">
        <f t="shared" si="2"/>
        <v>43</v>
      </c>
      <c r="I21" s="1087">
        <f t="shared" si="3"/>
        <v>822393</v>
      </c>
      <c r="J21" s="289">
        <f t="shared" si="4"/>
        <v>3195</v>
      </c>
      <c r="K21" s="1211">
        <f t="shared" si="5"/>
        <v>825588</v>
      </c>
      <c r="L21" s="347"/>
    </row>
    <row r="22" spans="1:12" s="94" customFormat="1" ht="15" customHeight="1" thickBot="1">
      <c r="A22" s="16" t="s">
        <v>69</v>
      </c>
      <c r="B22" s="324" t="s">
        <v>373</v>
      </c>
      <c r="C22" s="319">
        <f>SUM(hivatal7!I22+hivatal7!L22+hivatal7!O22+hivatal8!C22+hivatal8!F22+hivatal8!I22+hivatal8!L22)</f>
        <v>1669092</v>
      </c>
      <c r="D22" s="311">
        <f>SUM(hivatal7!J22+hivatal7!M22+hivatal7!P22+hivatal8!D22+hivatal8!G22+hivatal8!J22+hivatal8!M22)</f>
        <v>-1445785</v>
      </c>
      <c r="E22" s="164">
        <f t="shared" si="6"/>
        <v>223307</v>
      </c>
      <c r="F22" s="313">
        <f>'önállóan gazd.'!O22</f>
        <v>0</v>
      </c>
      <c r="G22" s="311">
        <f>'önállóan gazd.'!P22</f>
        <v>0</v>
      </c>
      <c r="H22" s="385">
        <f aca="true" t="shared" si="7" ref="H22:H33">F22+G22</f>
        <v>0</v>
      </c>
      <c r="I22" s="1087">
        <f>SUM(C22+F22)</f>
        <v>1669092</v>
      </c>
      <c r="J22" s="291">
        <f>SUM(D22+G22)</f>
        <v>-1445785</v>
      </c>
      <c r="K22" s="1211">
        <f t="shared" si="5"/>
        <v>223307</v>
      </c>
      <c r="L22" s="347"/>
    </row>
    <row r="23" spans="1:12" s="208" customFormat="1" ht="15" customHeight="1" thickBot="1">
      <c r="A23" s="307">
        <v>5</v>
      </c>
      <c r="B23" s="295" t="s">
        <v>171</v>
      </c>
      <c r="C23" s="1089">
        <f>SUM(C15:C22)</f>
        <v>2680837</v>
      </c>
      <c r="D23" s="284">
        <f>SUM(hivatal7!J23+hivatal7!M23+hivatal7!P23+hivatal8!D23+hivatal8!G23+hivatal8!J23+hivatal8!M23)</f>
        <v>-1436511</v>
      </c>
      <c r="E23" s="282">
        <f t="shared" si="6"/>
        <v>1244326</v>
      </c>
      <c r="F23" s="281">
        <f>'önállóan gazd.'!O23</f>
        <v>20736</v>
      </c>
      <c r="G23" s="284">
        <f>'önállóan gazd.'!P23</f>
        <v>0</v>
      </c>
      <c r="H23" s="305">
        <f t="shared" si="7"/>
        <v>20736</v>
      </c>
      <c r="I23" s="337">
        <f>SUM(I15:I22)</f>
        <v>2701573</v>
      </c>
      <c r="J23" s="304">
        <f>SUM(J15:J22)</f>
        <v>-1436511</v>
      </c>
      <c r="K23" s="1111">
        <f>SUM(K15:K22)</f>
        <v>1265062</v>
      </c>
      <c r="L23" s="418"/>
    </row>
    <row r="24" spans="1:12" s="94" customFormat="1" ht="15" customHeight="1" thickBot="1">
      <c r="A24" s="303">
        <v>6</v>
      </c>
      <c r="B24" s="295" t="s">
        <v>174</v>
      </c>
      <c r="C24" s="1089">
        <f>SUM(hivatal7!I24+hivatal7!L24+hivatal7!O24+hivatal8!C24+hivatal8!F24+hivatal8!I24+hivatal8!L24)</f>
        <v>3862060</v>
      </c>
      <c r="D24" s="284">
        <f>SUM(hivatal7!J24+hivatal7!M24+hivatal7!P24+hivatal8!D24+hivatal8!G24+hivatal8!J24+hivatal8!M24)</f>
        <v>14397</v>
      </c>
      <c r="E24" s="282">
        <f>C24+D24</f>
        <v>3876457</v>
      </c>
      <c r="F24" s="281">
        <f>'önállóan gazd.'!O24</f>
        <v>83547</v>
      </c>
      <c r="G24" s="284">
        <f>'önállóan gazd.'!P24</f>
        <v>-949</v>
      </c>
      <c r="H24" s="305">
        <f>F24+G24</f>
        <v>82598</v>
      </c>
      <c r="I24" s="1089">
        <f aca="true" t="shared" si="8" ref="I24:K26">SUM(C24+F24)</f>
        <v>3945607</v>
      </c>
      <c r="J24" s="284">
        <f t="shared" si="8"/>
        <v>13448</v>
      </c>
      <c r="K24" s="1246">
        <f t="shared" si="8"/>
        <v>3959055</v>
      </c>
      <c r="L24" s="347"/>
    </row>
    <row r="25" spans="1:12" s="208" customFormat="1" ht="15" customHeight="1" thickBot="1">
      <c r="A25" s="303">
        <v>7</v>
      </c>
      <c r="B25" s="295" t="s">
        <v>421</v>
      </c>
      <c r="C25" s="1089">
        <f>SUM(hivatal7!I25+hivatal7!L25+hivatal7!O25+hivatal8!C25+hivatal8!F25+hivatal8!I25+hivatal8!L25)</f>
        <v>543442</v>
      </c>
      <c r="D25" s="284">
        <f>SUM(hivatal7!J25+hivatal7!M25+hivatal7!P25+hivatal8!D25+hivatal8!G25+hivatal8!J25+hivatal8!M25)</f>
        <v>75905</v>
      </c>
      <c r="E25" s="282">
        <f>C25+D25</f>
        <v>619347</v>
      </c>
      <c r="F25" s="281">
        <f>'önállóan gazd.'!O25</f>
        <v>18646</v>
      </c>
      <c r="G25" s="284">
        <f>'önállóan gazd.'!P25</f>
        <v>233</v>
      </c>
      <c r="H25" s="305">
        <f>F25+G25</f>
        <v>18879</v>
      </c>
      <c r="I25" s="1089">
        <f t="shared" si="8"/>
        <v>562088</v>
      </c>
      <c r="J25" s="284">
        <f t="shared" si="8"/>
        <v>76138</v>
      </c>
      <c r="K25" s="1246">
        <f t="shared" si="8"/>
        <v>638226</v>
      </c>
      <c r="L25" s="418"/>
    </row>
    <row r="26" spans="1:12" s="94" customFormat="1" ht="15" customHeight="1">
      <c r="A26" s="163" t="s">
        <v>98</v>
      </c>
      <c r="B26" s="156" t="s">
        <v>560</v>
      </c>
      <c r="C26" s="296">
        <f>SUM(hivatal7!I26+hivatal7!L26+hivatal7!O26+hivatal8!C26+hivatal8!F26+hivatal8!I26+hivatal8!L26)</f>
        <v>0</v>
      </c>
      <c r="D26" s="224">
        <f>SUM(hivatal7!J26+hivatal7!M26+hivatal7!P26+hivatal8!D26+hivatal8!G26+hivatal8!J26+hivatal8!M26)</f>
        <v>0</v>
      </c>
      <c r="E26" s="861">
        <f t="shared" si="6"/>
        <v>0</v>
      </c>
      <c r="F26" s="226">
        <f>'önállóan gazd.'!O26</f>
        <v>0</v>
      </c>
      <c r="G26" s="224">
        <f>'önállóan gazd.'!P26</f>
        <v>0</v>
      </c>
      <c r="H26" s="379">
        <f t="shared" si="7"/>
        <v>0</v>
      </c>
      <c r="I26" s="1087">
        <f t="shared" si="8"/>
        <v>0</v>
      </c>
      <c r="J26" s="291">
        <f t="shared" si="8"/>
        <v>0</v>
      </c>
      <c r="K26" s="1211">
        <f t="shared" si="8"/>
        <v>0</v>
      </c>
      <c r="L26" s="347"/>
    </row>
    <row r="27" spans="1:12" s="94" customFormat="1" ht="15" customHeight="1">
      <c r="A27" s="163" t="s">
        <v>99</v>
      </c>
      <c r="B27" s="156" t="s">
        <v>558</v>
      </c>
      <c r="C27" s="296">
        <f>SUM(hivatal7!I27+hivatal7!L27+hivatal7!O27+hivatal8!C27+hivatal8!F27+hivatal8!I27+hivatal8!L27)</f>
        <v>0</v>
      </c>
      <c r="D27" s="224">
        <f>SUM(hivatal7!J27+hivatal7!M27+hivatal7!P27+hivatal8!D27+hivatal8!G27+hivatal8!J27+hivatal8!M27)</f>
        <v>0</v>
      </c>
      <c r="E27" s="861">
        <f t="shared" si="6"/>
        <v>0</v>
      </c>
      <c r="F27" s="226">
        <f>'önállóan gazd.'!O27</f>
        <v>0</v>
      </c>
      <c r="G27" s="224">
        <f>'önállóan gazd.'!P27</f>
        <v>0</v>
      </c>
      <c r="H27" s="379">
        <f t="shared" si="7"/>
        <v>0</v>
      </c>
      <c r="I27" s="1087">
        <f aca="true" t="shared" si="9" ref="I27:K31">SUM(C27+F27)</f>
        <v>0</v>
      </c>
      <c r="J27" s="291">
        <f t="shared" si="9"/>
        <v>0</v>
      </c>
      <c r="K27" s="1211">
        <f t="shared" si="9"/>
        <v>0</v>
      </c>
      <c r="L27" s="347"/>
    </row>
    <row r="28" spans="1:12" s="94" customFormat="1" ht="15" customHeight="1">
      <c r="A28" s="163" t="s">
        <v>100</v>
      </c>
      <c r="B28" s="156" t="s">
        <v>374</v>
      </c>
      <c r="C28" s="296">
        <f>SUM(hivatal7!I28+hivatal7!L28+hivatal7!O28+hivatal8!C28+hivatal8!F28+hivatal8!I28+hivatal8!L28)</f>
        <v>7184</v>
      </c>
      <c r="D28" s="224">
        <f>SUM(hivatal7!J28+hivatal7!M28+hivatal7!P28+hivatal8!D28+hivatal8!G28+hivatal8!J28+hivatal8!M28)</f>
        <v>0</v>
      </c>
      <c r="E28" s="861">
        <f t="shared" si="6"/>
        <v>7184</v>
      </c>
      <c r="F28" s="1069">
        <f>'önállóan gazd.'!O28</f>
        <v>0</v>
      </c>
      <c r="G28" s="146">
        <f>'önállóan gazd.'!P28</f>
        <v>0</v>
      </c>
      <c r="H28" s="227">
        <f t="shared" si="7"/>
        <v>0</v>
      </c>
      <c r="I28" s="1087">
        <f t="shared" si="9"/>
        <v>7184</v>
      </c>
      <c r="J28" s="291">
        <f t="shared" si="9"/>
        <v>0</v>
      </c>
      <c r="K28" s="1211">
        <f t="shared" si="9"/>
        <v>7184</v>
      </c>
      <c r="L28" s="347"/>
    </row>
    <row r="29" spans="1:12" s="94" customFormat="1" ht="15" customHeight="1">
      <c r="A29" s="163" t="s">
        <v>101</v>
      </c>
      <c r="B29" s="156" t="s">
        <v>559</v>
      </c>
      <c r="C29" s="296">
        <f>SUM(hivatal7!I29+hivatal7!L29+hivatal7!O29+hivatal8!C29+hivatal8!F29+hivatal8!I29+hivatal8!L29)</f>
        <v>12859</v>
      </c>
      <c r="D29" s="224">
        <f>SUM(hivatal7!J29+hivatal7!M29+hivatal7!P29+hivatal8!D29+hivatal8!G29+hivatal8!J29+hivatal8!M29)</f>
        <v>459</v>
      </c>
      <c r="E29" s="861">
        <f t="shared" si="6"/>
        <v>13318</v>
      </c>
      <c r="F29" s="1069">
        <f>'önállóan gazd.'!O29</f>
        <v>0</v>
      </c>
      <c r="G29" s="224">
        <f>'önállóan gazd.'!P29</f>
        <v>0</v>
      </c>
      <c r="H29" s="227">
        <f t="shared" si="7"/>
        <v>0</v>
      </c>
      <c r="I29" s="1087">
        <f t="shared" si="9"/>
        <v>12859</v>
      </c>
      <c r="J29" s="291">
        <f t="shared" si="9"/>
        <v>459</v>
      </c>
      <c r="K29" s="1211">
        <f t="shared" si="9"/>
        <v>13318</v>
      </c>
      <c r="L29" s="347"/>
    </row>
    <row r="30" spans="1:12" s="94" customFormat="1" ht="15" customHeight="1" thickBot="1">
      <c r="A30" s="325" t="s">
        <v>192</v>
      </c>
      <c r="B30" s="156" t="s">
        <v>375</v>
      </c>
      <c r="C30" s="319">
        <f>SUM(hivatal7!I30+hivatal7!L30+hivatal7!O30+hivatal8!C30+hivatal8!F30+hivatal8!I30+hivatal8!L30)</f>
        <v>456628</v>
      </c>
      <c r="D30" s="311">
        <f>SUM(hivatal7!J30+hivatal7!M30+hivatal7!P30+hivatal8!D30+hivatal8!G30+hivatal8!J30+hivatal8!M30)</f>
        <v>28973</v>
      </c>
      <c r="E30" s="164">
        <f t="shared" si="6"/>
        <v>485601</v>
      </c>
      <c r="F30" s="1070">
        <f>'önállóan gazd.'!O30</f>
        <v>0</v>
      </c>
      <c r="G30" s="311">
        <f>'önállóan gazd.'!P30</f>
        <v>0</v>
      </c>
      <c r="H30" s="314">
        <f t="shared" si="7"/>
        <v>0</v>
      </c>
      <c r="I30" s="1088">
        <f t="shared" si="9"/>
        <v>456628</v>
      </c>
      <c r="J30" s="318">
        <f t="shared" si="9"/>
        <v>28973</v>
      </c>
      <c r="K30" s="1209">
        <f t="shared" si="9"/>
        <v>485601</v>
      </c>
      <c r="L30" s="347"/>
    </row>
    <row r="31" spans="1:12" s="208" customFormat="1" ht="15" customHeight="1" thickBot="1">
      <c r="A31" s="303">
        <v>8</v>
      </c>
      <c r="B31" s="295" t="s">
        <v>173</v>
      </c>
      <c r="C31" s="1148">
        <f>SUM(hivatal7!I31+hivatal7!L31+hivatal7!O31+hivatal8!C31+hivatal8!F31+hivatal8!I31+hivatal8!L31)</f>
        <v>476671</v>
      </c>
      <c r="D31" s="768">
        <f>SUM(hivatal7!J31+hivatal7!M31+hivatal7!P31+hivatal8!D31+hivatal8!G31+hivatal8!J31+hivatal8!M31)</f>
        <v>29432</v>
      </c>
      <c r="E31" s="1144">
        <f>C31+D31</f>
        <v>506103</v>
      </c>
      <c r="F31" s="1089">
        <f>'önállóan gazd.'!O31</f>
        <v>0</v>
      </c>
      <c r="G31" s="284">
        <f>'önállóan gazd.'!P31</f>
        <v>0</v>
      </c>
      <c r="H31" s="282">
        <f>F31+G31</f>
        <v>0</v>
      </c>
      <c r="I31" s="1089">
        <f t="shared" si="9"/>
        <v>476671</v>
      </c>
      <c r="J31" s="284">
        <f t="shared" si="9"/>
        <v>29432</v>
      </c>
      <c r="K31" s="282">
        <f t="shared" si="9"/>
        <v>506103</v>
      </c>
      <c r="L31" s="418"/>
    </row>
    <row r="32" spans="1:12" s="94" customFormat="1" ht="15" customHeight="1" thickBot="1">
      <c r="A32" s="303">
        <v>9</v>
      </c>
      <c r="B32" s="295" t="s">
        <v>179</v>
      </c>
      <c r="C32" s="1148">
        <f>SUM(hivatal7!I32+hivatal7!L32+hivatal7!O32+hivatal8!C32+hivatal8!F32+hivatal8!I32+hivatal8!L32)</f>
        <v>72111</v>
      </c>
      <c r="D32" s="768">
        <f>SUM(hivatal7!J32+hivatal7!M32+hivatal7!P32+hivatal8!D32+hivatal8!G32+hivatal8!J32+hivatal8!M32)</f>
        <v>114695</v>
      </c>
      <c r="E32" s="1144">
        <f>C32+D32</f>
        <v>186806</v>
      </c>
      <c r="F32" s="1090">
        <f>'önállóan gazd.'!O32</f>
        <v>0</v>
      </c>
      <c r="G32" s="285">
        <f>'önállóan gazd.'!P32</f>
        <v>0</v>
      </c>
      <c r="H32" s="283">
        <f t="shared" si="7"/>
        <v>0</v>
      </c>
      <c r="I32" s="1089">
        <f aca="true" t="shared" si="10" ref="I32:K33">SUM(C32+F32)</f>
        <v>72111</v>
      </c>
      <c r="J32" s="284">
        <f t="shared" si="10"/>
        <v>114695</v>
      </c>
      <c r="K32" s="282">
        <f t="shared" si="10"/>
        <v>186806</v>
      </c>
      <c r="L32" s="347"/>
    </row>
    <row r="33" spans="1:12" s="159" customFormat="1" ht="15.75" customHeight="1" thickBot="1">
      <c r="A33" s="357">
        <v>10</v>
      </c>
      <c r="B33" s="421"/>
      <c r="C33" s="1149">
        <f>SUM(hivatal7!I33+hivatal7!L33+hivatal7!O33+hivatal8!C33+hivatal8!F33+hivatal8!I33+hivatal8!L33)</f>
        <v>0</v>
      </c>
      <c r="D33" s="769">
        <f>SUM(hivatal7!J33+hivatal7!M33+hivatal7!P33+hivatal8!D33+hivatal8!G33+hivatal8!J33+hivatal8!M33)</f>
        <v>0</v>
      </c>
      <c r="E33" s="1145">
        <f>C33+D33</f>
        <v>0</v>
      </c>
      <c r="F33" s="1091">
        <f>'önállóan gazd.'!O33</f>
        <v>0</v>
      </c>
      <c r="G33" s="360">
        <f>'önállóan gazd.'!P33</f>
        <v>0</v>
      </c>
      <c r="H33" s="361">
        <f t="shared" si="7"/>
        <v>0</v>
      </c>
      <c r="I33" s="1085">
        <f t="shared" si="10"/>
        <v>0</v>
      </c>
      <c r="J33" s="365">
        <f t="shared" si="10"/>
        <v>0</v>
      </c>
      <c r="K33" s="366">
        <f t="shared" si="10"/>
        <v>0</v>
      </c>
      <c r="L33" s="418"/>
    </row>
    <row r="34" spans="1:88" s="167" customFormat="1" ht="17.25" thickBot="1" thickTop="1">
      <c r="A34" s="333" t="s">
        <v>108</v>
      </c>
      <c r="B34" s="356" t="s">
        <v>180</v>
      </c>
      <c r="C34" s="355">
        <f aca="true" t="shared" si="11" ref="C34:J34">C11+C12+C13+C23+C14+C31+C25+C24+C32+C33</f>
        <v>11516947</v>
      </c>
      <c r="D34" s="334">
        <f t="shared" si="11"/>
        <v>-940947</v>
      </c>
      <c r="E34" s="746">
        <f t="shared" si="11"/>
        <v>10576000</v>
      </c>
      <c r="F34" s="355">
        <f t="shared" si="11"/>
        <v>6304877</v>
      </c>
      <c r="G34" s="334">
        <f t="shared" si="11"/>
        <v>-59994</v>
      </c>
      <c r="H34" s="746">
        <f t="shared" si="11"/>
        <v>6244883</v>
      </c>
      <c r="I34" s="355">
        <f t="shared" si="11"/>
        <v>17821824</v>
      </c>
      <c r="J34" s="334">
        <f t="shared" si="11"/>
        <v>-1000941</v>
      </c>
      <c r="K34" s="364">
        <f>K11+K12+K13+K23+K14+K31+K25+K24+K32+K33</f>
        <v>16820883</v>
      </c>
      <c r="L34" s="938"/>
      <c r="M34" s="938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</row>
    <row r="35" spans="1:12" s="94" customFormat="1" ht="17.25" thickBot="1" thickTop="1">
      <c r="A35" s="151"/>
      <c r="B35" s="336" t="s">
        <v>131</v>
      </c>
      <c r="C35" s="1086"/>
      <c r="D35" s="363"/>
      <c r="E35" s="1146"/>
      <c r="F35" s="1086"/>
      <c r="G35" s="363"/>
      <c r="H35" s="1146"/>
      <c r="I35" s="1086"/>
      <c r="J35" s="363"/>
      <c r="K35" s="894"/>
      <c r="L35" s="347"/>
    </row>
    <row r="36" spans="1:12" s="728" customFormat="1" ht="15">
      <c r="A36" s="737" t="s">
        <v>98</v>
      </c>
      <c r="B36" s="738" t="s">
        <v>376</v>
      </c>
      <c r="C36" s="740">
        <f>SUM(hivatal7!I36+hivatal7!L36+hivatal7!O36+hivatal8!C36+hivatal8!F36+hivatal8!I36+hivatal8!L36)</f>
        <v>2188607</v>
      </c>
      <c r="D36" s="739">
        <f>SUM(hivatal7!J36+hivatal7!M36+hivatal7!P36+hivatal8!D36+hivatal8!G36+hivatal8!J36+hivatal8!M36)</f>
        <v>12749</v>
      </c>
      <c r="E36" s="743">
        <f>SUM(hivatal7!K36+hivatal7!N36+hivatal7!Q36+hivatal8!E36+hivatal8!H36+hivatal8!K36+hivatal8!N36)</f>
        <v>2201356</v>
      </c>
      <c r="F36" s="1079">
        <f>'önállóan gazd.'!O36</f>
        <v>0</v>
      </c>
      <c r="G36" s="739">
        <f>'önállóan gazd.'!P36</f>
        <v>0</v>
      </c>
      <c r="H36" s="743">
        <f>'önállóan gazd.'!Q36</f>
        <v>0</v>
      </c>
      <c r="I36" s="1152">
        <f aca="true" t="shared" si="12" ref="I36:K39">SUM(C36+F36)</f>
        <v>2188607</v>
      </c>
      <c r="J36" s="1158">
        <f t="shared" si="12"/>
        <v>12749</v>
      </c>
      <c r="K36" s="1247">
        <f t="shared" si="12"/>
        <v>2201356</v>
      </c>
      <c r="L36" s="729"/>
    </row>
    <row r="37" spans="1:12" s="728" customFormat="1" ht="15">
      <c r="A37" s="160" t="s">
        <v>99</v>
      </c>
      <c r="B37" s="156" t="s">
        <v>235</v>
      </c>
      <c r="C37" s="880">
        <f>SUM(hivatal7!I37+hivatal7!L37+hivatal7!O37+hivatal8!C37+hivatal8!F37+hivatal8!I37+hivatal8!L37)</f>
        <v>20693</v>
      </c>
      <c r="D37" s="146">
        <f>SUM(hivatal7!J37+hivatal7!M37+hivatal7!P37+hivatal8!D37+hivatal8!G37+hivatal8!J37+hivatal8!M37)</f>
        <v>0</v>
      </c>
      <c r="E37" s="169">
        <f>SUM(hivatal7!K37+hivatal7!N37+hivatal7!Q37+hivatal8!E37+hivatal8!H37+hivatal8!K37+hivatal8!N37)</f>
        <v>20693</v>
      </c>
      <c r="F37" s="880">
        <f>'önállóan gazd.'!O37</f>
        <v>0</v>
      </c>
      <c r="G37" s="146">
        <f>'önállóan gazd.'!P37</f>
        <v>0</v>
      </c>
      <c r="H37" s="859">
        <f>'önállóan gazd.'!Q37</f>
        <v>0</v>
      </c>
      <c r="I37" s="1153">
        <f t="shared" si="12"/>
        <v>20693</v>
      </c>
      <c r="J37" s="289">
        <f t="shared" si="12"/>
        <v>0</v>
      </c>
      <c r="K37" s="1208">
        <f t="shared" si="12"/>
        <v>20693</v>
      </c>
      <c r="L37" s="729"/>
    </row>
    <row r="38" spans="1:12" s="728" customFormat="1" ht="15">
      <c r="A38" s="325" t="s">
        <v>100</v>
      </c>
      <c r="B38" s="149" t="s">
        <v>377</v>
      </c>
      <c r="C38" s="1070">
        <f>SUM(hivatal7!I38+hivatal7!L38+hivatal7!O38+hivatal8!C38+hivatal8!F38+hivatal8!I38+hivatal8!L38)</f>
        <v>0</v>
      </c>
      <c r="D38" s="311">
        <f>SUM(hivatal7!J38+hivatal7!M38+hivatal7!P38+hivatal8!D38+hivatal8!G38+hivatal8!J38+hivatal8!M38)</f>
        <v>0</v>
      </c>
      <c r="E38" s="314">
        <f>SUM(hivatal7!K38+hivatal7!N38+hivatal7!Q38+hivatal8!E38+hivatal8!H38+hivatal8!K38+hivatal8!N38)</f>
        <v>0</v>
      </c>
      <c r="F38" s="1070">
        <f>'önállóan gazd.'!O38</f>
        <v>0</v>
      </c>
      <c r="G38" s="311">
        <f>'önállóan gazd.'!P38</f>
        <v>0</v>
      </c>
      <c r="H38" s="164">
        <f>'önállóan gazd.'!Q38</f>
        <v>0</v>
      </c>
      <c r="I38" s="1088">
        <f t="shared" si="12"/>
        <v>0</v>
      </c>
      <c r="J38" s="318">
        <f t="shared" si="12"/>
        <v>0</v>
      </c>
      <c r="K38" s="1209">
        <f t="shared" si="12"/>
        <v>0</v>
      </c>
      <c r="L38" s="729"/>
    </row>
    <row r="39" spans="1:12" s="728" customFormat="1" ht="15.75" thickBot="1">
      <c r="A39" s="161" t="s">
        <v>101</v>
      </c>
      <c r="B39" s="162" t="s">
        <v>381</v>
      </c>
      <c r="C39" s="881">
        <f>SUM(hivatal7!I39+hivatal7!L39+hivatal7!O39+hivatal8!C39+hivatal8!F39+hivatal8!I39+hivatal8!L39)</f>
        <v>289978</v>
      </c>
      <c r="D39" s="1683">
        <f>SUM(hivatal7!J39+hivatal7!M39+hivatal7!P39+hivatal8!D39+hivatal8!G39+hivatal8!J39+hivatal8!M39)</f>
        <v>20635</v>
      </c>
      <c r="E39" s="237">
        <f>SUM(hivatal7!K39+hivatal7!N39+hivatal7!Q39+hivatal8!E39+hivatal8!H39+hivatal8!K39+hivatal8!N39)</f>
        <v>310613</v>
      </c>
      <c r="F39" s="881">
        <f>'önállóan gazd.'!O39</f>
        <v>1332</v>
      </c>
      <c r="G39" s="158">
        <f>'önállóan gazd.'!P39</f>
        <v>40360</v>
      </c>
      <c r="H39" s="860">
        <f>'önállóan gazd.'!Q39</f>
        <v>41692</v>
      </c>
      <c r="I39" s="1154">
        <f t="shared" si="12"/>
        <v>291310</v>
      </c>
      <c r="J39" s="290">
        <f t="shared" si="12"/>
        <v>60995</v>
      </c>
      <c r="K39" s="1210">
        <f t="shared" si="12"/>
        <v>352305</v>
      </c>
      <c r="L39" s="729"/>
    </row>
    <row r="40" spans="1:12" s="208" customFormat="1" ht="16.5" thickBot="1">
      <c r="A40" s="303">
        <v>1</v>
      </c>
      <c r="B40" s="295" t="s">
        <v>177</v>
      </c>
      <c r="C40" s="337">
        <f>SUM(C36:C39)</f>
        <v>2499278</v>
      </c>
      <c r="D40" s="304">
        <f aca="true" t="shared" si="13" ref="D40:K40">SUM(D36:D39)</f>
        <v>33384</v>
      </c>
      <c r="E40" s="310">
        <f t="shared" si="13"/>
        <v>2532662</v>
      </c>
      <c r="F40" s="337">
        <f t="shared" si="13"/>
        <v>1332</v>
      </c>
      <c r="G40" s="304">
        <f t="shared" si="13"/>
        <v>40360</v>
      </c>
      <c r="H40" s="310">
        <f t="shared" si="13"/>
        <v>41692</v>
      </c>
      <c r="I40" s="337">
        <f t="shared" si="13"/>
        <v>2500610</v>
      </c>
      <c r="J40" s="304">
        <f t="shared" si="13"/>
        <v>73744</v>
      </c>
      <c r="K40" s="1111">
        <f t="shared" si="13"/>
        <v>2574354</v>
      </c>
      <c r="L40" s="418"/>
    </row>
    <row r="41" spans="1:12" s="94" customFormat="1" ht="15">
      <c r="A41" s="163" t="s">
        <v>98</v>
      </c>
      <c r="B41" s="152" t="s">
        <v>403</v>
      </c>
      <c r="C41" s="1069">
        <f>SUM(hivatal7!I41+hivatal7!L41+hivatal7!O41+hivatal8!C41+hivatal8!F41+hivatal8!I41+hivatal8!L41)</f>
        <v>0</v>
      </c>
      <c r="D41" s="224">
        <f>SUM(hivatal7!J41+hivatal7!M41+hivatal7!P41+hivatal8!D41+hivatal8!G41+hivatal8!J41+hivatal8!M41)</f>
        <v>0</v>
      </c>
      <c r="E41" s="227">
        <f>SUM(hivatal7!K41+hivatal7!N41+hivatal7!Q41+hivatal8!E41+hivatal8!H41+hivatal8!K41+hivatal8!N41)</f>
        <v>0</v>
      </c>
      <c r="F41" s="1069">
        <f>'önállóan gazd.'!O41</f>
        <v>0</v>
      </c>
      <c r="G41" s="224">
        <f>'önállóan gazd.'!P41</f>
        <v>0</v>
      </c>
      <c r="H41" s="861">
        <f>'önállóan gazd.'!Q41</f>
        <v>0</v>
      </c>
      <c r="I41" s="1087">
        <f>SUM(C41+F41)</f>
        <v>0</v>
      </c>
      <c r="J41" s="291">
        <f>SUM(D41+G41)</f>
        <v>0</v>
      </c>
      <c r="K41" s="1211">
        <f>SUM(E41+H41)</f>
        <v>0</v>
      </c>
      <c r="L41" s="347"/>
    </row>
    <row r="42" spans="1:12" s="94" customFormat="1" ht="15">
      <c r="A42" s="160" t="s">
        <v>99</v>
      </c>
      <c r="B42" s="156" t="s">
        <v>378</v>
      </c>
      <c r="C42" s="1069">
        <f>SUM(hivatal7!I42+hivatal7!L42+hivatal7!O42+hivatal8!C42+hivatal8!F42+hivatal8!I42+hivatal8!L42)</f>
        <v>1613000</v>
      </c>
      <c r="D42" s="224">
        <f>SUM(hivatal7!J42+hivatal7!M42+hivatal7!P42+hivatal8!D42+hivatal8!G42+hivatal8!J42+hivatal8!M42)</f>
        <v>26217</v>
      </c>
      <c r="E42" s="227">
        <f>SUM(hivatal7!K42+hivatal7!N42+hivatal7!Q42+hivatal8!E42+hivatal8!H42+hivatal8!K42+hivatal8!N42)</f>
        <v>1639217</v>
      </c>
      <c r="F42" s="880">
        <f>'önállóan gazd.'!O42</f>
        <v>0</v>
      </c>
      <c r="G42" s="146">
        <f>'önállóan gazd.'!P42</f>
        <v>0</v>
      </c>
      <c r="H42" s="859">
        <f>'önállóan gazd.'!Q42</f>
        <v>0</v>
      </c>
      <c r="I42" s="1153">
        <f aca="true" t="shared" si="14" ref="I42:K43">SUM(C42+F42)</f>
        <v>1613000</v>
      </c>
      <c r="J42" s="289">
        <f t="shared" si="14"/>
        <v>26217</v>
      </c>
      <c r="K42" s="1208">
        <f t="shared" si="14"/>
        <v>1639217</v>
      </c>
      <c r="L42" s="347"/>
    </row>
    <row r="43" spans="1:12" s="268" customFormat="1" ht="15">
      <c r="A43" s="160" t="s">
        <v>100</v>
      </c>
      <c r="B43" s="156" t="s">
        <v>379</v>
      </c>
      <c r="C43" s="1069">
        <f>SUM(hivatal7!I43+hivatal7!L43+hivatal7!O43+hivatal8!C43+hivatal8!F43+hivatal8!I43+hivatal8!L43)</f>
        <v>4868450</v>
      </c>
      <c r="D43" s="224">
        <f>SUM(hivatal7!J43+hivatal7!M43+hivatal7!P43+hivatal8!D43+hivatal8!G43+hivatal8!J43+hivatal8!M43)</f>
        <v>-889066</v>
      </c>
      <c r="E43" s="227">
        <f>SUM(hivatal7!K43+hivatal7!N43+hivatal7!Q43+hivatal8!E43+hivatal8!H43+hivatal8!K43+hivatal8!N43)</f>
        <v>3979384</v>
      </c>
      <c r="F43" s="880">
        <f>'önállóan gazd.'!O43</f>
        <v>0</v>
      </c>
      <c r="G43" s="146">
        <f>'önállóan gazd.'!P43</f>
        <v>0</v>
      </c>
      <c r="H43" s="859">
        <f>'önállóan gazd.'!Q43</f>
        <v>0</v>
      </c>
      <c r="I43" s="1153">
        <f t="shared" si="14"/>
        <v>4868450</v>
      </c>
      <c r="J43" s="289">
        <f t="shared" si="14"/>
        <v>-889066</v>
      </c>
      <c r="K43" s="1208">
        <f t="shared" si="14"/>
        <v>3979384</v>
      </c>
      <c r="L43" s="420"/>
    </row>
    <row r="44" spans="1:12" s="94" customFormat="1" ht="15.75" thickBot="1">
      <c r="A44" s="161" t="s">
        <v>101</v>
      </c>
      <c r="B44" s="162" t="s">
        <v>175</v>
      </c>
      <c r="C44" s="1150">
        <f>SUM(hivatal7!I44+hivatal7!L44+hivatal7!O44+hivatal8!C44+hivatal8!F44+hivatal8!I44+hivatal8!L44)</f>
        <v>33725</v>
      </c>
      <c r="D44" s="425">
        <f>SUM(hivatal7!J44+hivatal7!M44+hivatal7!P44+hivatal8!D44+hivatal8!G44+hivatal8!J44+hivatal8!M44)</f>
        <v>1903</v>
      </c>
      <c r="E44" s="1147">
        <f>SUM(hivatal7!K44+hivatal7!N44+hivatal7!Q44+hivatal8!E44+hivatal8!H44+hivatal8!K44+hivatal8!N44)</f>
        <v>35628</v>
      </c>
      <c r="F44" s="881">
        <f>'önállóan gazd.'!O44</f>
        <v>32</v>
      </c>
      <c r="G44" s="158">
        <f>'önállóan gazd.'!P44</f>
        <v>12</v>
      </c>
      <c r="H44" s="860">
        <f>'önállóan gazd.'!Q44</f>
        <v>44</v>
      </c>
      <c r="I44" s="1154">
        <f>SUM(C44+F44)</f>
        <v>33757</v>
      </c>
      <c r="J44" s="290">
        <f>SUM(D44+G44)</f>
        <v>1915</v>
      </c>
      <c r="K44" s="1210">
        <f>SUM(E44+H44)</f>
        <v>35672</v>
      </c>
      <c r="L44" s="347"/>
    </row>
    <row r="45" spans="1:12" s="208" customFormat="1" ht="16.5" thickBot="1">
      <c r="A45" s="303">
        <v>2</v>
      </c>
      <c r="B45" s="295" t="s">
        <v>176</v>
      </c>
      <c r="C45" s="1089">
        <f>SUM(C41:C44)</f>
        <v>6515175</v>
      </c>
      <c r="D45" s="284">
        <f aca="true" t="shared" si="15" ref="D45:K45">SUM(D41:D44)</f>
        <v>-860946</v>
      </c>
      <c r="E45" s="423">
        <f>SUM(E41:E44)</f>
        <v>5654229</v>
      </c>
      <c r="F45" s="1089">
        <f t="shared" si="15"/>
        <v>32</v>
      </c>
      <c r="G45" s="284">
        <f>SUM(G41:G44)</f>
        <v>12</v>
      </c>
      <c r="H45" s="423">
        <f t="shared" si="15"/>
        <v>44</v>
      </c>
      <c r="I45" s="1089">
        <f t="shared" si="15"/>
        <v>6515207</v>
      </c>
      <c r="J45" s="284">
        <f t="shared" si="15"/>
        <v>-860934</v>
      </c>
      <c r="K45" s="1246">
        <f t="shared" si="15"/>
        <v>5654273</v>
      </c>
      <c r="L45" s="418"/>
    </row>
    <row r="46" spans="1:12" s="208" customFormat="1" ht="16.5" thickBot="1">
      <c r="A46" s="303">
        <v>3</v>
      </c>
      <c r="B46" s="295" t="s">
        <v>254</v>
      </c>
      <c r="C46" s="337">
        <f>SUM(hivatal7!I46+hivatal7!L46+hivatal7!O46+hivatal8!C46+hivatal8!F46+hivatal8!I46+hivatal8!L46)</f>
        <v>879145</v>
      </c>
      <c r="D46" s="304">
        <f>SUM(hivatal7!J46+hivatal7!M46+hivatal7!P46+hivatal8!D46+hivatal8!G46+hivatal8!J46+hivatal8!M46)</f>
        <v>-83129</v>
      </c>
      <c r="E46" s="310">
        <f>SUM(hivatal7!K46+hivatal7!N46+hivatal7!Q46+hivatal8!E46+hivatal8!H46+hivatal8!K46+hivatal8!N46)</f>
        <v>796016</v>
      </c>
      <c r="F46" s="1072">
        <f>'önállóan gazd.'!O46</f>
        <v>495752</v>
      </c>
      <c r="G46" s="736">
        <f>'önállóan gazd.'!P46</f>
        <v>-70673</v>
      </c>
      <c r="H46" s="1151">
        <f>'önállóan gazd.'!Q46</f>
        <v>425079</v>
      </c>
      <c r="I46" s="1089">
        <f aca="true" t="shared" si="16" ref="I46:K50">SUM(C46+F46)</f>
        <v>1374897</v>
      </c>
      <c r="J46" s="284">
        <f t="shared" si="16"/>
        <v>-153802</v>
      </c>
      <c r="K46" s="1246">
        <f t="shared" si="16"/>
        <v>1221095</v>
      </c>
      <c r="L46" s="418"/>
    </row>
    <row r="47" spans="1:12" s="208" customFormat="1" ht="16.5" thickBot="1">
      <c r="A47" s="303">
        <v>4</v>
      </c>
      <c r="B47" s="427" t="s">
        <v>275</v>
      </c>
      <c r="C47" s="1140">
        <f>SUM(hivatal7!I47+hivatal7!L47+hivatal7!O47+hivatal8!C47+hivatal8!F47+hivatal8!I47+hivatal8!L47)</f>
        <v>19763</v>
      </c>
      <c r="D47" s="771">
        <f>SUM(hivatal7!J47+hivatal7!M47+hivatal7!P47+hivatal8!D47+hivatal8!G47+hivatal8!J47+hivatal8!M47)</f>
        <v>351</v>
      </c>
      <c r="E47" s="898">
        <f>SUM(hivatal7!K47+hivatal7!N47+hivatal7!Q47+hivatal8!E47+hivatal8!H47+hivatal8!K47+hivatal8!N47)</f>
        <v>20114</v>
      </c>
      <c r="F47" s="337">
        <f>'önállóan gazd.'!O47</f>
        <v>302</v>
      </c>
      <c r="G47" s="304">
        <f>'önállóan gazd.'!P47</f>
        <v>0</v>
      </c>
      <c r="H47" s="310">
        <f>'önállóan gazd.'!Q47</f>
        <v>302</v>
      </c>
      <c r="I47" s="1155">
        <f t="shared" si="16"/>
        <v>20065</v>
      </c>
      <c r="J47" s="332">
        <f t="shared" si="16"/>
        <v>351</v>
      </c>
      <c r="K47" s="1212">
        <f t="shared" si="16"/>
        <v>20416</v>
      </c>
      <c r="L47" s="418"/>
    </row>
    <row r="48" spans="1:12" s="728" customFormat="1" ht="15">
      <c r="A48" s="163" t="s">
        <v>98</v>
      </c>
      <c r="B48" s="428" t="s">
        <v>281</v>
      </c>
      <c r="C48" s="296">
        <f>SUM(hivatal7!I48+hivatal7!L48+hivatal7!O48+hivatal8!C48+hivatal8!F48+hivatal8!I48+hivatal8!L48)</f>
        <v>300000</v>
      </c>
      <c r="D48" s="224">
        <f>SUM(hivatal7!J48+hivatal7!M48+hivatal7!P48+hivatal8!D48+hivatal8!G48+hivatal8!J48+hivatal8!M48)</f>
        <v>2907</v>
      </c>
      <c r="E48" s="238">
        <f>SUM(hivatal7!K48+hivatal7!N48+hivatal7!Q48+hivatal8!E48+hivatal8!H48+hivatal8!K48+hivatal8!N48)</f>
        <v>302907</v>
      </c>
      <c r="F48" s="1069">
        <f>'önállóan gazd.'!O48</f>
        <v>0</v>
      </c>
      <c r="G48" s="224">
        <f>'önállóan gazd.'!P48</f>
        <v>0</v>
      </c>
      <c r="H48" s="861">
        <f>'önállóan gazd.'!Q48</f>
        <v>0</v>
      </c>
      <c r="I48" s="1087">
        <f t="shared" si="16"/>
        <v>300000</v>
      </c>
      <c r="J48" s="291">
        <f t="shared" si="16"/>
        <v>2907</v>
      </c>
      <c r="K48" s="1211">
        <f t="shared" si="16"/>
        <v>302907</v>
      </c>
      <c r="L48" s="729"/>
    </row>
    <row r="49" spans="1:12" s="94" customFormat="1" ht="15">
      <c r="A49" s="161" t="s">
        <v>99</v>
      </c>
      <c r="B49" s="324" t="s">
        <v>380</v>
      </c>
      <c r="C49" s="296">
        <f>SUM(hivatal7!I49+hivatal7!L49+hivatal7!O49+hivatal8!C49+hivatal8!F49+hivatal8!I49+hivatal8!L49)</f>
        <v>0</v>
      </c>
      <c r="D49" s="224">
        <f>SUM(hivatal7!J49+hivatal7!M49+hivatal7!P49+hivatal8!D49+hivatal8!G49+hivatal8!J49+hivatal8!M49)</f>
        <v>0</v>
      </c>
      <c r="E49" s="238">
        <f>SUM(hivatal7!K49+hivatal7!N49+hivatal7!Q49+hivatal8!E49+hivatal8!H49+hivatal8!K49+hivatal8!N49)</f>
        <v>0</v>
      </c>
      <c r="F49" s="880">
        <f>'önállóan gazd.'!O49</f>
        <v>0</v>
      </c>
      <c r="G49" s="146">
        <f>'önállóan gazd.'!P49</f>
        <v>0</v>
      </c>
      <c r="H49" s="859">
        <f>'önállóan gazd.'!Q49</f>
        <v>0</v>
      </c>
      <c r="I49" s="1153">
        <f t="shared" si="16"/>
        <v>0</v>
      </c>
      <c r="J49" s="289">
        <f t="shared" si="16"/>
        <v>0</v>
      </c>
      <c r="K49" s="1208">
        <f t="shared" si="16"/>
        <v>0</v>
      </c>
      <c r="L49" s="347"/>
    </row>
    <row r="50" spans="1:12" s="94" customFormat="1" ht="15.75" thickBot="1">
      <c r="A50" s="161" t="s">
        <v>100</v>
      </c>
      <c r="B50" s="324" t="s">
        <v>413</v>
      </c>
      <c r="C50" s="319">
        <f>SUM(hivatal7!I50+hivatal7!L50+hivatal7!O50+hivatal8!C50+hivatal8!F50+hivatal8!I50+hivatal8!L50)</f>
        <v>766473</v>
      </c>
      <c r="D50" s="311">
        <f>SUM(hivatal7!J50+hivatal7!M50+hivatal7!P50+hivatal8!D50+hivatal8!G50+hivatal8!J50+hivatal8!M50)</f>
        <v>109134</v>
      </c>
      <c r="E50" s="312">
        <f>SUM(hivatal7!K50+hivatal7!N50+hivatal7!Q50+hivatal8!E50+hivatal8!H50+hivatal8!K50+hivatal8!N50)</f>
        <v>875607</v>
      </c>
      <c r="F50" s="881">
        <f>'önállóan gazd.'!O50</f>
        <v>0</v>
      </c>
      <c r="G50" s="158">
        <f>'önállóan gazd.'!P50</f>
        <v>0</v>
      </c>
      <c r="H50" s="860">
        <f>'önállóan gazd.'!Q50</f>
        <v>0</v>
      </c>
      <c r="I50" s="1153">
        <f t="shared" si="16"/>
        <v>766473</v>
      </c>
      <c r="J50" s="289">
        <f t="shared" si="16"/>
        <v>109134</v>
      </c>
      <c r="K50" s="1208">
        <f t="shared" si="16"/>
        <v>875607</v>
      </c>
      <c r="L50" s="347"/>
    </row>
    <row r="51" spans="1:12" s="208" customFormat="1" ht="16.5" thickBot="1">
      <c r="A51" s="303">
        <v>5</v>
      </c>
      <c r="B51" s="427" t="s">
        <v>178</v>
      </c>
      <c r="C51" s="337">
        <f>SUM(C48:C50)</f>
        <v>1066473</v>
      </c>
      <c r="D51" s="304">
        <f>SUM(D48:D50)</f>
        <v>112041</v>
      </c>
      <c r="E51" s="310">
        <f>SUM(hivatal7!K51+hivatal7!N51+hivatal7!Q51+hivatal8!E51+hivatal8!H51+hivatal8!K51+hivatal8!N51)</f>
        <v>1178514</v>
      </c>
      <c r="F51" s="1089">
        <f>'önállóan gazd.'!O51</f>
        <v>0</v>
      </c>
      <c r="G51" s="284">
        <f>'önállóan gazd.'!P51</f>
        <v>0</v>
      </c>
      <c r="H51" s="282">
        <f>'önállóan gazd.'!Q51</f>
        <v>0</v>
      </c>
      <c r="I51" s="1089">
        <f aca="true" t="shared" si="17" ref="I51:K54">SUM(C51+F51)</f>
        <v>1066473</v>
      </c>
      <c r="J51" s="284">
        <f t="shared" si="17"/>
        <v>112041</v>
      </c>
      <c r="K51" s="1246">
        <f t="shared" si="17"/>
        <v>1178514</v>
      </c>
      <c r="L51" s="418"/>
    </row>
    <row r="52" spans="1:12" s="208" customFormat="1" ht="16.5" thickBot="1">
      <c r="A52" s="733">
        <v>6</v>
      </c>
      <c r="B52" s="735" t="s">
        <v>285</v>
      </c>
      <c r="C52" s="337">
        <f>SUM(hivatal7!I52+hivatal7!L52+hivatal7!O52+hivatal8!C52+hivatal8!F52+hivatal8!I52+hivatal8!L52)</f>
        <v>703831</v>
      </c>
      <c r="D52" s="304">
        <f>SUM(hivatal7!J52+hivatal7!M52+hivatal7!P52+hivatal8!D52+hivatal8!G52+hivatal8!J52+hivatal8!M52)</f>
        <v>-275422</v>
      </c>
      <c r="E52" s="310">
        <f>SUM(hivatal7!K52+hivatal7!N52+hivatal7!Q52+hivatal8!E52+hivatal8!H52+hivatal8!K52+hivatal8!N52)</f>
        <v>428409</v>
      </c>
      <c r="F52" s="337">
        <f>'önállóan gazd.'!O52</f>
        <v>1358</v>
      </c>
      <c r="G52" s="304">
        <f>'önállóan gazd.'!P52</f>
        <v>79</v>
      </c>
      <c r="H52" s="310">
        <f>'önállóan gazd.'!Q52</f>
        <v>1437</v>
      </c>
      <c r="I52" s="1090">
        <f t="shared" si="17"/>
        <v>705189</v>
      </c>
      <c r="J52" s="285">
        <f t="shared" si="17"/>
        <v>-275343</v>
      </c>
      <c r="K52" s="1248">
        <f t="shared" si="17"/>
        <v>429846</v>
      </c>
      <c r="L52" s="418"/>
    </row>
    <row r="53" spans="1:12" s="94" customFormat="1" ht="15">
      <c r="A53" s="144" t="s">
        <v>98</v>
      </c>
      <c r="B53" s="429" t="s">
        <v>382</v>
      </c>
      <c r="C53" s="296">
        <f>SUM(hivatal7!I53+hivatal7!L53+hivatal7!O53+hivatal8!C53+hivatal8!F53+hivatal8!I53+hivatal8!L53)</f>
        <v>2746</v>
      </c>
      <c r="D53" s="224">
        <f>SUM(hivatal7!J53+hivatal7!M53+hivatal7!P53+hivatal8!D53+hivatal8!G53+hivatal8!J53+hivatal8!M53)</f>
        <v>643</v>
      </c>
      <c r="E53" s="238">
        <f>SUM(hivatal7!K53+hivatal7!N53+hivatal7!Q53+hivatal8!E53+hivatal8!H53+hivatal8!K53+hivatal8!N53)</f>
        <v>3389</v>
      </c>
      <c r="F53" s="1069">
        <f>'önállóan gazd.'!O53</f>
        <v>0</v>
      </c>
      <c r="G53" s="224">
        <f>'önállóan gazd.'!P53</f>
        <v>0</v>
      </c>
      <c r="H53" s="861">
        <f>'önállóan gazd.'!Q53</f>
        <v>0</v>
      </c>
      <c r="I53" s="1092">
        <f t="shared" si="17"/>
        <v>2746</v>
      </c>
      <c r="J53" s="338">
        <f t="shared" si="17"/>
        <v>643</v>
      </c>
      <c r="K53" s="1213">
        <f t="shared" si="17"/>
        <v>3389</v>
      </c>
      <c r="L53" s="347"/>
    </row>
    <row r="54" spans="1:12" s="94" customFormat="1" ht="15.75" thickBot="1">
      <c r="A54" s="325" t="s">
        <v>99</v>
      </c>
      <c r="B54" s="428" t="s">
        <v>383</v>
      </c>
      <c r="C54" s="319">
        <f>SUM(hivatal7!I54+hivatal7!L54+hivatal7!O54+hivatal8!C54+hivatal8!F54+hivatal8!I54+hivatal8!L54)</f>
        <v>7947</v>
      </c>
      <c r="D54" s="311">
        <f>SUM(hivatal7!J54+hivatal7!M54+hivatal7!P54+hivatal8!D54+hivatal8!G54+hivatal8!J54+hivatal8!M54)</f>
        <v>0</v>
      </c>
      <c r="E54" s="312">
        <f>SUM(hivatal7!K54+hivatal7!N54+hivatal7!Q54+hivatal8!E54+hivatal8!H54+hivatal8!K54+hivatal8!N54)</f>
        <v>7947</v>
      </c>
      <c r="F54" s="881">
        <f>'önállóan gazd.'!O54</f>
        <v>0</v>
      </c>
      <c r="G54" s="158">
        <f>'önállóan gazd.'!P54</f>
        <v>0</v>
      </c>
      <c r="H54" s="860">
        <f>'önállóan gazd.'!Q54</f>
        <v>0</v>
      </c>
      <c r="I54" s="1088">
        <f t="shared" si="17"/>
        <v>7947</v>
      </c>
      <c r="J54" s="318">
        <f t="shared" si="17"/>
        <v>0</v>
      </c>
      <c r="K54" s="1209">
        <f t="shared" si="17"/>
        <v>7947</v>
      </c>
      <c r="L54" s="347"/>
    </row>
    <row r="55" spans="1:12" s="208" customFormat="1" ht="17.25" customHeight="1" thickBot="1">
      <c r="A55" s="303">
        <v>7</v>
      </c>
      <c r="B55" s="427" t="s">
        <v>181</v>
      </c>
      <c r="C55" s="337">
        <f>SUM(C53:C54)</f>
        <v>10693</v>
      </c>
      <c r="D55" s="304">
        <f>SUM(hivatal7!J55+hivatal7!M55+hivatal7!P55+hivatal8!D55+hivatal8!G55+hivatal8!J55+hivatal8!M55)</f>
        <v>643</v>
      </c>
      <c r="E55" s="310">
        <f>SUM(hivatal7!K55+hivatal7!N55+hivatal7!Q55+hivatal8!E55+hivatal8!H55+hivatal8!K55+hivatal8!N55)</f>
        <v>11336</v>
      </c>
      <c r="F55" s="1089">
        <f>'önállóan gazd.'!O55</f>
        <v>0</v>
      </c>
      <c r="G55" s="284">
        <f>'önállóan gazd.'!P55</f>
        <v>0</v>
      </c>
      <c r="H55" s="282">
        <f>'önállóan gazd.'!Q55</f>
        <v>0</v>
      </c>
      <c r="I55" s="1089">
        <f>SUM(C55+F55)</f>
        <v>10693</v>
      </c>
      <c r="J55" s="284">
        <f>SUM(D55+G55)</f>
        <v>643</v>
      </c>
      <c r="K55" s="1246">
        <f>SUM(E55+H55)</f>
        <v>11336</v>
      </c>
      <c r="L55" s="418"/>
    </row>
    <row r="56" spans="1:12" s="268" customFormat="1" ht="19.5" customHeight="1" thickBot="1">
      <c r="A56" s="690">
        <v>8</v>
      </c>
      <c r="B56" s="691" t="s">
        <v>414</v>
      </c>
      <c r="C56" s="1105">
        <f>C34-C40-C45-C46-C47-C51-C52-C55-C57-C58-C59</f>
        <v>-5777052</v>
      </c>
      <c r="D56" s="1106">
        <f>D34-D40-D45-D46-D47-D51-D52-D55-D57-D58-D59</f>
        <v>30036</v>
      </c>
      <c r="E56" s="1103">
        <f aca="true" t="shared" si="18" ref="E56:K56">E34-E40-E45-E46-E47-E51-E52-E55-E57-E58-E59</f>
        <v>-5747016</v>
      </c>
      <c r="F56" s="1105">
        <f t="shared" si="18"/>
        <v>5777052</v>
      </c>
      <c r="G56" s="1106">
        <f t="shared" si="18"/>
        <v>-30036</v>
      </c>
      <c r="H56" s="1103">
        <f t="shared" si="18"/>
        <v>5747016</v>
      </c>
      <c r="I56" s="1128">
        <f t="shared" si="18"/>
        <v>0</v>
      </c>
      <c r="J56" s="1130">
        <f t="shared" si="18"/>
        <v>0</v>
      </c>
      <c r="K56" s="1118">
        <f t="shared" si="18"/>
        <v>0</v>
      </c>
      <c r="L56" s="420"/>
    </row>
    <row r="57" spans="1:13" s="208" customFormat="1" ht="15.75">
      <c r="A57" s="326" t="s">
        <v>385</v>
      </c>
      <c r="B57" s="327" t="s">
        <v>184</v>
      </c>
      <c r="C57" s="296">
        <f>SUM(hivatal7!I57+hivatal7!L57+hivatal7!O57+hivatal8!C57+hivatal8!F57+hivatal8!I57+hivatal8!L57)</f>
        <v>4934641</v>
      </c>
      <c r="D57" s="224">
        <f>SUM(hivatal7!J57+hivatal7!M57+hivatal7!P57+hivatal8!D57+hivatal8!G57+hivatal8!J57+hivatal8!M57)</f>
        <v>-12600</v>
      </c>
      <c r="E57" s="238">
        <f>SUM(hivatal7!K57+hivatal7!N57+hivatal7!Q57+hivatal8!E57+hivatal8!H57+hivatal8!K57+hivatal8!N57)</f>
        <v>4922041</v>
      </c>
      <c r="F57" s="880">
        <f>'önállóan gazd.'!O57</f>
        <v>29049</v>
      </c>
      <c r="G57" s="146">
        <f>'önállóan gazd.'!P57</f>
        <v>264</v>
      </c>
      <c r="H57" s="859">
        <f>'önállóan gazd.'!Q57</f>
        <v>29313</v>
      </c>
      <c r="I57" s="1156">
        <f aca="true" t="shared" si="19" ref="I57:K59">SUM(C57+F57)</f>
        <v>4963690</v>
      </c>
      <c r="J57" s="1159">
        <f t="shared" si="19"/>
        <v>-12336</v>
      </c>
      <c r="K57" s="773">
        <f t="shared" si="19"/>
        <v>4951354</v>
      </c>
      <c r="L57" s="418"/>
      <c r="M57" s="301"/>
    </row>
    <row r="58" spans="1:12" s="208" customFormat="1" ht="15.75">
      <c r="A58" s="326" t="s">
        <v>183</v>
      </c>
      <c r="B58" s="327" t="s">
        <v>384</v>
      </c>
      <c r="C58" s="224">
        <f>SUM(hivatal7!I58+hivatal7!L58+hivatal7!O58+hivatal8!C58+hivatal8!F58+hivatal8!I58+hivatal8!L58)</f>
        <v>665000</v>
      </c>
      <c r="D58" s="224">
        <f>SUM(hivatal7!J58+hivatal7!M58+hivatal7!P58+hivatal8!D58+hivatal8!G58+hivatal8!J58+hivatal8!M58)</f>
        <v>114695</v>
      </c>
      <c r="E58" s="224">
        <f>SUM(hivatal7!K58+hivatal7!N58+hivatal7!Q58+hivatal8!E58+hivatal8!H58+hivatal8!K58+hivatal8!N58)</f>
        <v>779695</v>
      </c>
      <c r="F58" s="880">
        <f>'önállóan gazd.'!O58</f>
        <v>0</v>
      </c>
      <c r="G58" s="146">
        <f>'önállóan gazd.'!P58</f>
        <v>0</v>
      </c>
      <c r="H58" s="859">
        <f>'önállóan gazd.'!Q58</f>
        <v>0</v>
      </c>
      <c r="I58" s="1157">
        <f t="shared" si="19"/>
        <v>665000</v>
      </c>
      <c r="J58" s="286">
        <f t="shared" si="19"/>
        <v>114695</v>
      </c>
      <c r="K58" s="431">
        <f t="shared" si="19"/>
        <v>779695</v>
      </c>
      <c r="L58" s="418"/>
    </row>
    <row r="59" spans="1:12" s="208" customFormat="1" ht="16.5" thickBot="1">
      <c r="A59" s="341">
        <v>10</v>
      </c>
      <c r="B59" s="342"/>
      <c r="C59" s="432">
        <f>SUM(hivatal7!I59+hivatal7!L59+hivatal7!O59+hivatal8!C59+hivatal8!F59+hivatal8!I59+hivatal8!L59)</f>
        <v>0</v>
      </c>
      <c r="D59" s="433">
        <f>SUM(hivatal7!J59+hivatal7!M59+hivatal7!P59+hivatal8!D59+hivatal8!G59+hivatal8!J59+hivatal8!M59)</f>
        <v>0</v>
      </c>
      <c r="E59" s="434">
        <f>SUM(hivatal7!K59+hivatal7!N59+hivatal7!Q59+hivatal8!E59+hivatal8!H59+hivatal8!K59+hivatal8!N59)</f>
        <v>0</v>
      </c>
      <c r="F59" s="150">
        <f>'önállóan gazd.'!O59</f>
        <v>0</v>
      </c>
      <c r="G59" s="146">
        <f>'önállóan gazd.'!P59</f>
        <v>0</v>
      </c>
      <c r="H59" s="297">
        <f>'önállóan gazd.'!Q59</f>
        <v>0</v>
      </c>
      <c r="I59" s="435">
        <f t="shared" si="19"/>
        <v>0</v>
      </c>
      <c r="J59" s="436">
        <f t="shared" si="19"/>
        <v>0</v>
      </c>
      <c r="K59" s="437">
        <f t="shared" si="19"/>
        <v>0</v>
      </c>
      <c r="L59" s="418"/>
    </row>
    <row r="60" spans="1:12" s="159" customFormat="1" ht="17.25" thickBot="1" thickTop="1">
      <c r="A60" s="333" t="s">
        <v>109</v>
      </c>
      <c r="B60" s="335" t="s">
        <v>182</v>
      </c>
      <c r="C60" s="367">
        <f>C40+C45+C46+C47+C51+C52+C55+C56+C57+C58+C59</f>
        <v>11516947</v>
      </c>
      <c r="D60" s="368">
        <f aca="true" t="shared" si="20" ref="D60:J60">D40+D45+D46+D47+D51+D52+D55+D56+D57+D58+D59</f>
        <v>-940947</v>
      </c>
      <c r="E60" s="439">
        <f t="shared" si="20"/>
        <v>10576000</v>
      </c>
      <c r="F60" s="438">
        <f t="shared" si="20"/>
        <v>6304877</v>
      </c>
      <c r="G60" s="749">
        <f t="shared" si="20"/>
        <v>-59994</v>
      </c>
      <c r="H60" s="439">
        <f t="shared" si="20"/>
        <v>6244883</v>
      </c>
      <c r="I60" s="367">
        <f t="shared" si="20"/>
        <v>17821824</v>
      </c>
      <c r="J60" s="368">
        <f t="shared" si="20"/>
        <v>-1000941</v>
      </c>
      <c r="K60" s="750">
        <f>K40+K45+K46+K47+K51+K52+K55+K56+K57+K58+K59</f>
        <v>16820883</v>
      </c>
      <c r="L60" s="418"/>
    </row>
    <row r="61" spans="1:12" s="94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772"/>
      <c r="J61" s="772"/>
      <c r="K61" s="172"/>
      <c r="L61" s="347"/>
    </row>
    <row r="62" spans="1:12" s="94" customFormat="1" ht="17.25" thickBot="1" thickTop="1">
      <c r="A62" s="174"/>
      <c r="B62" s="175" t="s">
        <v>593</v>
      </c>
      <c r="C62" s="1142">
        <f>SUM(hivatal7!I62+hivatal7!L62+hivatal7!O62+hivatal8!C62+hivatal8!F62+hivatal8!I62)</f>
        <v>40</v>
      </c>
      <c r="D62" s="205">
        <f>SUM(hivatal7!J62+hivatal7!M62+hivatal7!P62+hivatal8!D62+hivatal8!G62+hivatal8!J62)</f>
        <v>0</v>
      </c>
      <c r="E62" s="1141">
        <f>SUM(hivatal7!K62+hivatal7!N62+hivatal7!Q62+hivatal8!E62+hivatal8!H62+hivatal8!K62)</f>
        <v>40</v>
      </c>
      <c r="F62" s="440">
        <f>'önállóan gazd.'!O62</f>
        <v>805</v>
      </c>
      <c r="G62" s="441">
        <f>'önállóan gazd.'!P62</f>
        <v>0</v>
      </c>
      <c r="H62" s="442">
        <f>'önállóan gazd.'!Q62</f>
        <v>805</v>
      </c>
      <c r="I62" s="440">
        <f aca="true" t="shared" si="21" ref="I62:K63">SUM(C62+F62)</f>
        <v>845</v>
      </c>
      <c r="J62" s="443">
        <f t="shared" si="21"/>
        <v>0</v>
      </c>
      <c r="K62" s="444">
        <f t="shared" si="21"/>
        <v>845</v>
      </c>
      <c r="L62" s="347"/>
    </row>
    <row r="63" spans="1:12" s="94" customFormat="1" ht="17.25" thickBot="1" thickTop="1">
      <c r="A63" s="174"/>
      <c r="B63" s="175" t="s">
        <v>594</v>
      </c>
      <c r="C63" s="1142">
        <f>SUM(hivatal7!I63+hivatal7!L63+hivatal7!O63+hivatal8!C63+hivatal8!F63+hivatal8!I63)</f>
        <v>10</v>
      </c>
      <c r="D63" s="1783">
        <f>SUM(hivatal7!J63+hivatal7!M63+hivatal7!P63+hivatal8!D63+hivatal8!G63+hivatal8!J63)</f>
        <v>0</v>
      </c>
      <c r="E63" s="1141">
        <f>SUM(hivatal7!K63+hivatal7!N63+hivatal7!Q63+hivatal8!E63+hivatal8!H63+hivatal8!K63)</f>
        <v>10</v>
      </c>
      <c r="F63" s="440">
        <f>'önállóan gazd.'!O63</f>
        <v>0</v>
      </c>
      <c r="G63" s="441">
        <f>'önállóan gazd.'!P63</f>
        <v>0</v>
      </c>
      <c r="H63" s="442">
        <f>'önállóan gazd.'!Q63</f>
        <v>0</v>
      </c>
      <c r="I63" s="445">
        <f t="shared" si="21"/>
        <v>10</v>
      </c>
      <c r="J63" s="446">
        <f t="shared" si="21"/>
        <v>0</v>
      </c>
      <c r="K63" s="447">
        <f t="shared" si="21"/>
        <v>10</v>
      </c>
      <c r="L63" s="347"/>
    </row>
    <row r="64" spans="1:12" s="94" customFormat="1" ht="16.5" thickTop="1">
      <c r="A64" s="408"/>
      <c r="D64" s="111"/>
      <c r="L64" s="347"/>
    </row>
    <row r="65" spans="1:12" s="94" customFormat="1" ht="15.75">
      <c r="A65" s="408"/>
      <c r="C65" s="111">
        <f>SUM(C36:C59)</f>
        <v>21608566</v>
      </c>
      <c r="G65" s="111"/>
      <c r="J65" s="111">
        <f>SUM(J36:J55)+J58</f>
        <v>-1663111</v>
      </c>
      <c r="L65" s="347"/>
    </row>
    <row r="66" spans="1:12" s="94" customFormat="1" ht="12.75">
      <c r="A66" s="409"/>
      <c r="L66" s="347"/>
    </row>
    <row r="67" spans="1:12" s="94" customFormat="1" ht="12.75">
      <c r="A67" s="409"/>
      <c r="L67" s="347"/>
    </row>
    <row r="68" spans="1:12" s="94" customFormat="1" ht="12.75">
      <c r="A68" s="409"/>
      <c r="L68" s="347"/>
    </row>
    <row r="69" spans="1:12" s="94" customFormat="1" ht="12.75">
      <c r="A69" s="409"/>
      <c r="L69" s="347"/>
    </row>
    <row r="70" spans="1:12" s="94" customFormat="1" ht="12.75">
      <c r="A70" s="409"/>
      <c r="L70" s="347"/>
    </row>
    <row r="71" spans="1:12" s="94" customFormat="1" ht="12.75">
      <c r="A71" s="409"/>
      <c r="L71" s="347"/>
    </row>
    <row r="72" spans="1:12" s="94" customFormat="1" ht="12.75">
      <c r="A72" s="409"/>
      <c r="L72" s="347"/>
    </row>
    <row r="73" spans="1:12" s="94" customFormat="1" ht="12.75">
      <c r="A73" s="409"/>
      <c r="L73" s="347"/>
    </row>
    <row r="74" spans="1:12" s="94" customFormat="1" ht="12.75">
      <c r="A74" s="409"/>
      <c r="L74" s="347"/>
    </row>
    <row r="75" spans="1:12" s="94" customFormat="1" ht="12.75">
      <c r="A75" s="409"/>
      <c r="L75" s="347"/>
    </row>
    <row r="76" spans="1:12" s="94" customFormat="1" ht="12.75">
      <c r="A76" s="409"/>
      <c r="L76" s="347"/>
    </row>
    <row r="77" spans="1:12" s="94" customFormat="1" ht="12.75">
      <c r="A77" s="409"/>
      <c r="L77" s="347"/>
    </row>
    <row r="78" spans="1:12" s="94" customFormat="1" ht="12.75">
      <c r="A78" s="409"/>
      <c r="L78" s="347"/>
    </row>
    <row r="79" spans="1:12" s="94" customFormat="1" ht="12.75">
      <c r="A79" s="409"/>
      <c r="L79" s="347"/>
    </row>
    <row r="80" spans="1:12" s="94" customFormat="1" ht="12.75">
      <c r="A80" s="409"/>
      <c r="L80" s="347"/>
    </row>
    <row r="81" spans="1:12" s="94" customFormat="1" ht="12.75">
      <c r="A81" s="409"/>
      <c r="L81" s="347"/>
    </row>
    <row r="82" spans="1:12" s="94" customFormat="1" ht="12.75">
      <c r="A82" s="409"/>
      <c r="L82" s="347"/>
    </row>
    <row r="83" spans="1:12" s="94" customFormat="1" ht="12.75">
      <c r="A83" s="409"/>
      <c r="L83" s="347"/>
    </row>
    <row r="84" spans="1:12" s="94" customFormat="1" ht="12.75">
      <c r="A84" s="409"/>
      <c r="L84" s="347"/>
    </row>
    <row r="85" spans="1:12" s="94" customFormat="1" ht="12.75">
      <c r="A85" s="409"/>
      <c r="L85" s="347"/>
    </row>
    <row r="86" spans="1:12" s="94" customFormat="1" ht="12.75">
      <c r="A86" s="409"/>
      <c r="L86" s="347"/>
    </row>
    <row r="87" spans="1:12" s="94" customFormat="1" ht="12.75">
      <c r="A87" s="409"/>
      <c r="L87" s="347"/>
    </row>
    <row r="88" spans="1:12" s="94" customFormat="1" ht="12.75">
      <c r="A88" s="409"/>
      <c r="L88" s="347"/>
    </row>
    <row r="89" spans="1:12" s="94" customFormat="1" ht="12.75">
      <c r="A89" s="409"/>
      <c r="L89" s="347"/>
    </row>
    <row r="90" spans="1:12" s="94" customFormat="1" ht="12.75">
      <c r="A90" s="409"/>
      <c r="L90" s="347"/>
    </row>
    <row r="91" spans="1:21" s="94" customFormat="1" ht="12.75">
      <c r="A91" s="409"/>
      <c r="L91" s="347"/>
      <c r="M91" s="347"/>
      <c r="N91" s="347"/>
      <c r="O91" s="347"/>
      <c r="P91" s="347"/>
      <c r="Q91" s="347"/>
      <c r="R91" s="347"/>
      <c r="S91" s="347"/>
      <c r="T91" s="347"/>
      <c r="U91" s="347"/>
    </row>
    <row r="92" spans="1:21" s="94" customFormat="1" ht="12.75">
      <c r="A92" s="409"/>
      <c r="L92" s="347"/>
      <c r="M92" s="347"/>
      <c r="N92" s="347"/>
      <c r="O92" s="347"/>
      <c r="P92" s="347"/>
      <c r="Q92" s="347"/>
      <c r="R92" s="347"/>
      <c r="S92" s="347"/>
      <c r="T92" s="347"/>
      <c r="U92" s="347"/>
    </row>
    <row r="93" spans="1:21" s="94" customFormat="1" ht="12.75">
      <c r="A93" s="409"/>
      <c r="L93" s="347"/>
      <c r="M93" s="347"/>
      <c r="N93" s="347"/>
      <c r="O93" s="347"/>
      <c r="P93" s="347"/>
      <c r="Q93" s="347"/>
      <c r="R93" s="347"/>
      <c r="S93" s="347"/>
      <c r="T93" s="347"/>
      <c r="U93" s="347"/>
    </row>
    <row r="94" spans="1:21" s="94" customFormat="1" ht="12.75">
      <c r="A94" s="409"/>
      <c r="L94" s="347"/>
      <c r="M94" s="347"/>
      <c r="N94" s="347"/>
      <c r="O94" s="347"/>
      <c r="P94" s="347"/>
      <c r="Q94" s="347"/>
      <c r="R94" s="347"/>
      <c r="S94" s="347"/>
      <c r="T94" s="347"/>
      <c r="U94" s="347"/>
    </row>
    <row r="95" spans="1:21" s="94" customFormat="1" ht="12.75">
      <c r="A95" s="409"/>
      <c r="L95" s="347"/>
      <c r="M95" s="347"/>
      <c r="N95" s="347"/>
      <c r="O95" s="347"/>
      <c r="P95" s="347"/>
      <c r="Q95" s="347"/>
      <c r="R95" s="347"/>
      <c r="S95" s="347"/>
      <c r="T95" s="347"/>
      <c r="U95" s="347"/>
    </row>
    <row r="96" spans="1:21" s="94" customFormat="1" ht="12.75">
      <c r="A96" s="409"/>
      <c r="L96" s="347"/>
      <c r="M96" s="347"/>
      <c r="N96" s="347"/>
      <c r="O96" s="347"/>
      <c r="P96" s="347"/>
      <c r="Q96" s="347"/>
      <c r="R96" s="347"/>
      <c r="S96" s="347"/>
      <c r="T96" s="347"/>
      <c r="U96" s="347"/>
    </row>
    <row r="97" spans="1:21" s="94" customFormat="1" ht="12.75">
      <c r="A97" s="409"/>
      <c r="L97" s="347"/>
      <c r="M97" s="347"/>
      <c r="N97" s="347"/>
      <c r="O97" s="347"/>
      <c r="P97" s="347"/>
      <c r="Q97" s="347"/>
      <c r="R97" s="347"/>
      <c r="S97" s="347"/>
      <c r="T97" s="347"/>
      <c r="U97" s="347"/>
    </row>
    <row r="98" spans="1:21" s="94" customFormat="1" ht="12.75">
      <c r="A98" s="409"/>
      <c r="L98" s="347"/>
      <c r="M98" s="347"/>
      <c r="N98" s="347"/>
      <c r="O98" s="347"/>
      <c r="P98" s="347"/>
      <c r="Q98" s="347"/>
      <c r="R98" s="347"/>
      <c r="S98" s="347"/>
      <c r="T98" s="347"/>
      <c r="U98" s="347"/>
    </row>
    <row r="99" spans="1:21" s="94" customFormat="1" ht="12.75">
      <c r="A99" s="409"/>
      <c r="L99" s="347"/>
      <c r="M99" s="347"/>
      <c r="N99" s="347"/>
      <c r="O99" s="347"/>
      <c r="P99" s="347"/>
      <c r="Q99" s="347"/>
      <c r="R99" s="347"/>
      <c r="S99" s="347"/>
      <c r="T99" s="347"/>
      <c r="U99" s="347"/>
    </row>
    <row r="100" spans="1:21" s="94" customFormat="1" ht="12.75">
      <c r="A100" s="409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</row>
    <row r="101" spans="1:21" s="94" customFormat="1" ht="12.75">
      <c r="A101" s="409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</row>
    <row r="102" spans="1:21" s="94" customFormat="1" ht="12.75">
      <c r="A102" s="409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</row>
    <row r="103" spans="1:21" s="94" customFormat="1" ht="12.75">
      <c r="A103" s="409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</row>
    <row r="104" spans="1:21" s="94" customFormat="1" ht="12.75">
      <c r="A104" s="409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</row>
    <row r="105" spans="1:21" s="94" customFormat="1" ht="12.75">
      <c r="A105" s="409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</row>
    <row r="106" spans="1:21" s="94" customFormat="1" ht="12.75">
      <c r="A106" s="409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1">
      <pane xSplit="3" ySplit="8" topLeftCell="D66" activePane="bottomRight" state="frozen"/>
      <selection pane="topLeft" activeCell="U91" sqref="U91"/>
      <selection pane="topRight" activeCell="U91" sqref="U91"/>
      <selection pane="bottomLeft" activeCell="U91" sqref="U91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101.125" style="22" customWidth="1"/>
    <col min="4" max="6" width="13.875" style="22" customWidth="1"/>
  </cols>
  <sheetData>
    <row r="1" spans="2:6" ht="10.5" customHeight="1">
      <c r="B1" s="38"/>
      <c r="F1" s="109" t="s">
        <v>882</v>
      </c>
    </row>
    <row r="2" spans="2:6" ht="12" customHeight="1">
      <c r="B2" s="38"/>
      <c r="F2" s="109" t="s">
        <v>93</v>
      </c>
    </row>
    <row r="3" ht="23.25" customHeight="1">
      <c r="B3" s="38"/>
    </row>
    <row r="4" spans="1:6" s="94" customFormat="1" ht="33" customHeight="1">
      <c r="A4" s="131"/>
      <c r="B4" s="1941" t="s">
        <v>579</v>
      </c>
      <c r="C4" s="1941"/>
      <c r="D4" s="1941"/>
      <c r="E4" s="1941"/>
      <c r="F4" s="1941"/>
    </row>
    <row r="5" spans="1:6" s="568" customFormat="1" ht="19.5" customHeight="1">
      <c r="A5" s="678"/>
      <c r="B5" s="1942" t="s">
        <v>586</v>
      </c>
      <c r="C5" s="1942"/>
      <c r="D5" s="1942"/>
      <c r="E5" s="1942"/>
      <c r="F5" s="1942"/>
    </row>
    <row r="6" spans="3:6" ht="21" customHeight="1" thickBot="1">
      <c r="C6" s="39"/>
      <c r="D6" s="40"/>
      <c r="E6" s="40"/>
      <c r="F6" s="274" t="s">
        <v>134</v>
      </c>
    </row>
    <row r="7" spans="2:6" ht="24.75" thickBot="1">
      <c r="B7" s="87" t="s">
        <v>151</v>
      </c>
      <c r="C7" s="88"/>
      <c r="D7" s="1523" t="s">
        <v>664</v>
      </c>
      <c r="E7" s="132" t="s">
        <v>130</v>
      </c>
      <c r="F7" s="133" t="s">
        <v>660</v>
      </c>
    </row>
    <row r="8" spans="2:6" ht="13.5" thickBot="1">
      <c r="B8" s="84"/>
      <c r="C8" s="85">
        <v>1</v>
      </c>
      <c r="D8" s="86">
        <v>2</v>
      </c>
      <c r="E8" s="86">
        <v>3</v>
      </c>
      <c r="F8" s="86">
        <v>4</v>
      </c>
    </row>
    <row r="9" spans="2:6" ht="12.75">
      <c r="B9" s="80"/>
      <c r="C9" s="1722" t="s">
        <v>807</v>
      </c>
      <c r="D9" s="75">
        <v>370734</v>
      </c>
      <c r="E9" s="75">
        <v>28245</v>
      </c>
      <c r="F9" s="137">
        <f aca="true" t="shared" si="0" ref="F9:F18">SUM(D9:E9)</f>
        <v>398979</v>
      </c>
    </row>
    <row r="10" spans="2:6" ht="12.75">
      <c r="B10" s="80"/>
      <c r="C10" s="1722" t="s">
        <v>193</v>
      </c>
      <c r="D10" s="75">
        <v>10000</v>
      </c>
      <c r="E10" s="75"/>
      <c r="F10" s="137">
        <f t="shared" si="0"/>
        <v>10000</v>
      </c>
    </row>
    <row r="11" spans="2:6" ht="12.75">
      <c r="B11" s="80"/>
      <c r="C11" s="1722" t="s">
        <v>476</v>
      </c>
      <c r="D11" s="75">
        <v>1000</v>
      </c>
      <c r="E11" s="75"/>
      <c r="F11" s="137">
        <f t="shared" si="0"/>
        <v>1000</v>
      </c>
    </row>
    <row r="12" spans="2:6" ht="12.75">
      <c r="B12" s="80"/>
      <c r="C12" s="1722" t="s">
        <v>550</v>
      </c>
      <c r="D12" s="75">
        <v>43397</v>
      </c>
      <c r="E12" s="75">
        <v>-272</v>
      </c>
      <c r="F12" s="137">
        <f t="shared" si="0"/>
        <v>43125</v>
      </c>
    </row>
    <row r="13" spans="2:6" ht="12.75">
      <c r="B13" s="80"/>
      <c r="C13" s="1723" t="s">
        <v>817</v>
      </c>
      <c r="D13" s="75">
        <v>10382</v>
      </c>
      <c r="E13" s="75"/>
      <c r="F13" s="137">
        <f t="shared" si="0"/>
        <v>10382</v>
      </c>
    </row>
    <row r="14" spans="2:6" ht="12.75">
      <c r="B14" s="80"/>
      <c r="C14" s="1723" t="s">
        <v>818</v>
      </c>
      <c r="D14" s="75">
        <v>5000</v>
      </c>
      <c r="E14" s="75"/>
      <c r="F14" s="137">
        <f t="shared" si="0"/>
        <v>5000</v>
      </c>
    </row>
    <row r="15" spans="2:6" ht="12.75">
      <c r="B15" s="80"/>
      <c r="C15" s="1723" t="s">
        <v>839</v>
      </c>
      <c r="D15" s="75">
        <v>0</v>
      </c>
      <c r="E15" s="75"/>
      <c r="F15" s="137">
        <f t="shared" si="0"/>
        <v>0</v>
      </c>
    </row>
    <row r="16" spans="2:6" ht="12.75">
      <c r="B16" s="80"/>
      <c r="C16" s="1722" t="s">
        <v>503</v>
      </c>
      <c r="D16" s="75">
        <v>15200</v>
      </c>
      <c r="E16" s="75"/>
      <c r="F16" s="137">
        <f t="shared" si="0"/>
        <v>15200</v>
      </c>
    </row>
    <row r="17" spans="2:6" ht="12.75">
      <c r="B17" s="80"/>
      <c r="C17" s="1722" t="s">
        <v>141</v>
      </c>
      <c r="D17" s="75">
        <v>279</v>
      </c>
      <c r="E17" s="75">
        <v>1000</v>
      </c>
      <c r="F17" s="75">
        <f t="shared" si="0"/>
        <v>1279</v>
      </c>
    </row>
    <row r="18" spans="2:6" ht="12.75">
      <c r="B18" s="80"/>
      <c r="C18" s="1722" t="s">
        <v>777</v>
      </c>
      <c r="D18" s="75">
        <v>175</v>
      </c>
      <c r="E18" s="75"/>
      <c r="F18" s="75">
        <f t="shared" si="0"/>
        <v>175</v>
      </c>
    </row>
    <row r="19" spans="2:6" ht="12.75">
      <c r="B19" s="80"/>
      <c r="C19" s="41" t="s">
        <v>166</v>
      </c>
      <c r="D19" s="76">
        <v>190</v>
      </c>
      <c r="E19" s="76"/>
      <c r="F19" s="75">
        <f>SUM(D19:E19)</f>
        <v>190</v>
      </c>
    </row>
    <row r="20" spans="2:6" ht="12.75">
      <c r="B20" s="80"/>
      <c r="C20" s="41" t="s">
        <v>77</v>
      </c>
      <c r="D20" s="76">
        <v>271</v>
      </c>
      <c r="E20" s="76"/>
      <c r="F20" s="75">
        <f>SUM(D20:E20)</f>
        <v>271</v>
      </c>
    </row>
    <row r="21" spans="2:6" ht="13.5" thickBot="1">
      <c r="B21" s="1533"/>
      <c r="C21" s="1724" t="s">
        <v>808</v>
      </c>
      <c r="D21" s="1721">
        <f>SUM(D19:D20)</f>
        <v>461</v>
      </c>
      <c r="E21" s="1721">
        <f>SUM(E19:E20)</f>
        <v>0</v>
      </c>
      <c r="F21" s="1721">
        <f>SUM(F19:F20)</f>
        <v>461</v>
      </c>
    </row>
    <row r="22" spans="2:9" ht="13.5" thickBot="1">
      <c r="B22" s="118">
        <v>1</v>
      </c>
      <c r="C22" s="119" t="s">
        <v>501</v>
      </c>
      <c r="D22" s="110">
        <f>D9+D10+D11+D12+D13+D14+D15+D16+D17+D18+D21</f>
        <v>456628</v>
      </c>
      <c r="E22" s="110">
        <f>E9+E10+E11+E12+E13+E14+E15+E16+E17+E18+E21</f>
        <v>28973</v>
      </c>
      <c r="F22" s="110">
        <f>F9+F10+F11+F12+F13+F14+F15+F16+F17+F18+F21</f>
        <v>485601</v>
      </c>
      <c r="G22" s="18">
        <f>SUM(D22:E22)</f>
        <v>485601</v>
      </c>
      <c r="H22" s="18">
        <f>hivatal9!K30</f>
        <v>485601</v>
      </c>
      <c r="I22" s="18"/>
    </row>
    <row r="23" spans="2:9" ht="12.75">
      <c r="B23" s="1746"/>
      <c r="C23" s="1748" t="s">
        <v>839</v>
      </c>
      <c r="D23" s="1747">
        <v>1165</v>
      </c>
      <c r="E23" s="1747"/>
      <c r="F23" s="1747">
        <f>SUM(D23:E23)</f>
        <v>1165</v>
      </c>
      <c r="G23" s="18"/>
      <c r="H23" s="18"/>
      <c r="I23" s="18"/>
    </row>
    <row r="24" spans="2:9" ht="13.5" thickBot="1">
      <c r="B24" s="1533"/>
      <c r="C24" s="1749" t="s">
        <v>840</v>
      </c>
      <c r="D24" s="1721">
        <v>6019</v>
      </c>
      <c r="E24" s="1721"/>
      <c r="F24" s="137">
        <f>SUM(D24:E24)</f>
        <v>6019</v>
      </c>
      <c r="G24" s="18"/>
      <c r="H24" s="18"/>
      <c r="I24" s="18"/>
    </row>
    <row r="25" spans="2:9" ht="13.5" thickBot="1">
      <c r="B25" s="118">
        <v>2</v>
      </c>
      <c r="C25" s="119" t="s">
        <v>838</v>
      </c>
      <c r="D25" s="110">
        <f>SUM(D23:D24)</f>
        <v>7184</v>
      </c>
      <c r="E25" s="110">
        <f>SUM(E23:E24)</f>
        <v>0</v>
      </c>
      <c r="F25" s="110">
        <f>SUM(F23:F24)</f>
        <v>7184</v>
      </c>
      <c r="G25" s="18">
        <f>SUM(D25:E25)</f>
        <v>7184</v>
      </c>
      <c r="H25" s="18">
        <f>hivatal9!K28</f>
        <v>7184</v>
      </c>
      <c r="I25" s="18"/>
    </row>
    <row r="26" spans="2:8" ht="13.5" thickBot="1">
      <c r="B26" s="123" t="s">
        <v>108</v>
      </c>
      <c r="C26" s="126" t="s">
        <v>422</v>
      </c>
      <c r="D26" s="115">
        <f>D22+D25</f>
        <v>463812</v>
      </c>
      <c r="E26" s="115">
        <f>E22+E25</f>
        <v>28973</v>
      </c>
      <c r="F26" s="115">
        <f>F22+F25</f>
        <v>492785</v>
      </c>
      <c r="G26" s="18">
        <f>SUM(D26:E26)</f>
        <v>492785</v>
      </c>
      <c r="H26" s="18"/>
    </row>
    <row r="27" spans="2:8" ht="12.75">
      <c r="B27" s="1393"/>
      <c r="C27" s="1394" t="s">
        <v>776</v>
      </c>
      <c r="D27" s="1398">
        <v>146882</v>
      </c>
      <c r="E27" s="1398"/>
      <c r="F27" s="76">
        <f>SUM(D27:E27)</f>
        <v>146882</v>
      </c>
      <c r="G27" s="18"/>
      <c r="H27" s="18"/>
    </row>
    <row r="28" spans="2:8" ht="12.75">
      <c r="B28" s="1395"/>
      <c r="C28" s="1397" t="s">
        <v>596</v>
      </c>
      <c r="D28" s="1399">
        <v>12266</v>
      </c>
      <c r="E28" s="1399"/>
      <c r="F28" s="76">
        <f>SUM(D28:E28)</f>
        <v>12266</v>
      </c>
      <c r="G28" s="18"/>
      <c r="H28" s="18"/>
    </row>
    <row r="29" spans="2:8" ht="12.75">
      <c r="B29" s="1395"/>
      <c r="C29" s="1397" t="s">
        <v>597</v>
      </c>
      <c r="D29" s="1399">
        <v>6480</v>
      </c>
      <c r="E29" s="1396"/>
      <c r="F29" s="76">
        <f>SUM(D29:E29)</f>
        <v>6480</v>
      </c>
      <c r="G29" s="18"/>
      <c r="H29" s="18"/>
    </row>
    <row r="30" spans="2:8" ht="12.75">
      <c r="B30" s="1391"/>
      <c r="C30" s="1400" t="s">
        <v>598</v>
      </c>
      <c r="D30" s="1401">
        <v>67686</v>
      </c>
      <c r="E30" s="1392"/>
      <c r="F30" s="76">
        <f>SUM(D30:E30)</f>
        <v>67686</v>
      </c>
      <c r="G30" s="18"/>
      <c r="H30" s="18"/>
    </row>
    <row r="31" spans="2:6" ht="12.75">
      <c r="B31" s="80"/>
      <c r="C31" s="103" t="s">
        <v>775</v>
      </c>
      <c r="D31" s="1335">
        <f>SUM(D27:D30)</f>
        <v>233314</v>
      </c>
      <c r="E31" s="1335">
        <f>SUM(E27:E30)</f>
        <v>0</v>
      </c>
      <c r="F31" s="72">
        <f>SUM(F27:F30)</f>
        <v>233314</v>
      </c>
    </row>
    <row r="32" spans="2:6" ht="13.5" customHeight="1">
      <c r="B32" s="80"/>
      <c r="C32" s="103" t="s">
        <v>569</v>
      </c>
      <c r="D32" s="1335">
        <v>319030</v>
      </c>
      <c r="E32" s="75"/>
      <c r="F32" s="72">
        <f aca="true" t="shared" si="1" ref="F32:F37">SUM(D32:E32)</f>
        <v>319030</v>
      </c>
    </row>
    <row r="33" spans="2:6" ht="13.5" customHeight="1">
      <c r="B33" s="80"/>
      <c r="C33" s="103" t="s">
        <v>65</v>
      </c>
      <c r="D33" s="1335">
        <v>103155</v>
      </c>
      <c r="E33" s="75">
        <v>7295</v>
      </c>
      <c r="F33" s="72">
        <f t="shared" si="1"/>
        <v>110450</v>
      </c>
    </row>
    <row r="34" spans="2:6" ht="12.75">
      <c r="B34" s="102"/>
      <c r="C34" s="103" t="s">
        <v>165</v>
      </c>
      <c r="D34" s="1335"/>
      <c r="E34" s="72"/>
      <c r="F34" s="72">
        <f t="shared" si="1"/>
        <v>0</v>
      </c>
    </row>
    <row r="35" spans="2:6" ht="12.75">
      <c r="B35" s="102"/>
      <c r="C35" s="41" t="s">
        <v>439</v>
      </c>
      <c r="D35" s="1336">
        <v>10000</v>
      </c>
      <c r="E35" s="76">
        <v>-300</v>
      </c>
      <c r="F35" s="76">
        <f t="shared" si="1"/>
        <v>9700</v>
      </c>
    </row>
    <row r="36" spans="2:6" ht="12.75">
      <c r="B36" s="102"/>
      <c r="C36" s="41" t="s">
        <v>166</v>
      </c>
      <c r="D36" s="1336">
        <v>2084</v>
      </c>
      <c r="E36" s="76"/>
      <c r="F36" s="76">
        <f t="shared" si="1"/>
        <v>2084</v>
      </c>
    </row>
    <row r="37" spans="2:6" ht="12.75">
      <c r="B37" s="102"/>
      <c r="C37" s="41" t="s">
        <v>167</v>
      </c>
      <c r="D37" s="1336">
        <v>1600</v>
      </c>
      <c r="E37" s="76"/>
      <c r="F37" s="76">
        <f t="shared" si="1"/>
        <v>1600</v>
      </c>
    </row>
    <row r="38" spans="2:6" ht="12.75">
      <c r="B38" s="102"/>
      <c r="C38" s="41" t="s">
        <v>168</v>
      </c>
      <c r="D38" s="1336">
        <v>9623</v>
      </c>
      <c r="E38" s="76"/>
      <c r="F38" s="76">
        <f aca="true" t="shared" si="2" ref="F38:F44">SUM(D38:E38)</f>
        <v>9623</v>
      </c>
    </row>
    <row r="39" spans="2:6" ht="12.75">
      <c r="B39" s="102"/>
      <c r="C39" s="41" t="s">
        <v>527</v>
      </c>
      <c r="D39" s="1336">
        <v>867</v>
      </c>
      <c r="E39" s="76"/>
      <c r="F39" s="76">
        <f t="shared" si="2"/>
        <v>867</v>
      </c>
    </row>
    <row r="40" spans="2:6" ht="12.75">
      <c r="B40" s="102"/>
      <c r="C40" s="41" t="s">
        <v>170</v>
      </c>
      <c r="D40" s="1336">
        <v>4982</v>
      </c>
      <c r="E40" s="76"/>
      <c r="F40" s="76">
        <f t="shared" si="2"/>
        <v>4982</v>
      </c>
    </row>
    <row r="41" spans="2:6" ht="12.75">
      <c r="B41" s="102"/>
      <c r="C41" s="41" t="s">
        <v>169</v>
      </c>
      <c r="D41" s="1336">
        <v>3684</v>
      </c>
      <c r="E41" s="76"/>
      <c r="F41" s="76">
        <f t="shared" si="2"/>
        <v>3684</v>
      </c>
    </row>
    <row r="42" spans="2:6" ht="12.75">
      <c r="B42" s="102"/>
      <c r="C42" s="41" t="s">
        <v>91</v>
      </c>
      <c r="D42" s="1336">
        <v>1000</v>
      </c>
      <c r="E42" s="76"/>
      <c r="F42" s="76">
        <f t="shared" si="2"/>
        <v>1000</v>
      </c>
    </row>
    <row r="43" spans="2:6" ht="12.75">
      <c r="B43" s="102"/>
      <c r="C43" s="41" t="s">
        <v>77</v>
      </c>
      <c r="D43" s="1336">
        <v>929</v>
      </c>
      <c r="E43" s="76"/>
      <c r="F43" s="76">
        <f t="shared" si="2"/>
        <v>929</v>
      </c>
    </row>
    <row r="44" spans="2:6" ht="12.75">
      <c r="B44" s="102"/>
      <c r="C44" s="41" t="s">
        <v>599</v>
      </c>
      <c r="D44" s="1336">
        <v>7846</v>
      </c>
      <c r="E44" s="76">
        <v>-3300</v>
      </c>
      <c r="F44" s="76">
        <f t="shared" si="2"/>
        <v>4546</v>
      </c>
    </row>
    <row r="45" spans="2:6" ht="12.75">
      <c r="B45" s="80"/>
      <c r="C45" s="103" t="s">
        <v>195</v>
      </c>
      <c r="D45" s="1335">
        <f>SUM(D35:D44)</f>
        <v>42615</v>
      </c>
      <c r="E45" s="1335">
        <f>SUM(E35:E44)</f>
        <v>-3600</v>
      </c>
      <c r="F45" s="1335">
        <f>SUM(F35:F44)</f>
        <v>39015</v>
      </c>
    </row>
    <row r="46" spans="2:6" ht="12.75">
      <c r="B46" s="80"/>
      <c r="C46" s="103" t="s">
        <v>438</v>
      </c>
      <c r="D46" s="1335">
        <v>2966</v>
      </c>
      <c r="E46" s="75"/>
      <c r="F46" s="72">
        <f aca="true" t="shared" si="3" ref="F46:F65">SUM(D46:E46)</f>
        <v>2966</v>
      </c>
    </row>
    <row r="47" spans="2:6" ht="12.75">
      <c r="B47" s="81"/>
      <c r="C47" s="42" t="s">
        <v>152</v>
      </c>
      <c r="D47" s="1225">
        <v>27428</v>
      </c>
      <c r="E47" s="77"/>
      <c r="F47" s="76">
        <f t="shared" si="3"/>
        <v>27428</v>
      </c>
    </row>
    <row r="48" spans="2:6" ht="12.75">
      <c r="B48" s="81"/>
      <c r="C48" s="42" t="s">
        <v>153</v>
      </c>
      <c r="D48" s="1225">
        <v>4500</v>
      </c>
      <c r="E48" s="77"/>
      <c r="F48" s="76">
        <f t="shared" si="3"/>
        <v>4500</v>
      </c>
    </row>
    <row r="49" spans="2:6" ht="12.75">
      <c r="B49" s="81"/>
      <c r="C49" s="42" t="s">
        <v>154</v>
      </c>
      <c r="D49" s="1225">
        <v>7000</v>
      </c>
      <c r="E49" s="77"/>
      <c r="F49" s="76">
        <f t="shared" si="3"/>
        <v>7000</v>
      </c>
    </row>
    <row r="50" spans="2:6" ht="12.75">
      <c r="B50" s="81"/>
      <c r="C50" s="42" t="s">
        <v>155</v>
      </c>
      <c r="D50" s="1225">
        <v>8000</v>
      </c>
      <c r="E50" s="77"/>
      <c r="F50" s="76">
        <f t="shared" si="3"/>
        <v>8000</v>
      </c>
    </row>
    <row r="51" spans="2:6" ht="12.75">
      <c r="B51" s="81"/>
      <c r="C51" s="42" t="s">
        <v>528</v>
      </c>
      <c r="D51" s="1225">
        <v>2000</v>
      </c>
      <c r="E51" s="77"/>
      <c r="F51" s="76">
        <f t="shared" si="3"/>
        <v>2000</v>
      </c>
    </row>
    <row r="52" spans="2:6" ht="12.75">
      <c r="B52" s="81"/>
      <c r="C52" s="42" t="s">
        <v>156</v>
      </c>
      <c r="D52" s="1225">
        <v>5500</v>
      </c>
      <c r="E52" s="77"/>
      <c r="F52" s="76">
        <f t="shared" si="3"/>
        <v>5500</v>
      </c>
    </row>
    <row r="53" spans="2:6" ht="12.75">
      <c r="B53" s="100"/>
      <c r="C53" s="101" t="s">
        <v>157</v>
      </c>
      <c r="D53" s="1337">
        <f>SUM(D47:D52)</f>
        <v>54428</v>
      </c>
      <c r="E53" s="73">
        <f>SUM(E47:E52)</f>
        <v>0</v>
      </c>
      <c r="F53" s="73">
        <f>SUM(F47:F52)</f>
        <v>54428</v>
      </c>
    </row>
    <row r="54" spans="2:6" ht="12.75">
      <c r="B54" s="100"/>
      <c r="C54" s="101" t="s">
        <v>550</v>
      </c>
      <c r="D54" s="1337"/>
      <c r="E54" s="73"/>
      <c r="F54" s="74">
        <f t="shared" si="3"/>
        <v>0</v>
      </c>
    </row>
    <row r="55" spans="2:6" s="66" customFormat="1" ht="12.75">
      <c r="B55" s="83"/>
      <c r="C55" s="105" t="s">
        <v>158</v>
      </c>
      <c r="D55" s="1337">
        <v>5184</v>
      </c>
      <c r="E55" s="107"/>
      <c r="F55" s="74">
        <f t="shared" si="3"/>
        <v>5184</v>
      </c>
    </row>
    <row r="56" spans="2:6" s="66" customFormat="1" ht="12.75">
      <c r="B56" s="83"/>
      <c r="C56" s="105" t="s">
        <v>504</v>
      </c>
      <c r="D56" s="1337">
        <v>3000</v>
      </c>
      <c r="E56" s="107"/>
      <c r="F56" s="74">
        <f t="shared" si="3"/>
        <v>3000</v>
      </c>
    </row>
    <row r="57" spans="2:6" s="66" customFormat="1" ht="12.75">
      <c r="B57" s="83"/>
      <c r="C57" s="201" t="s">
        <v>571</v>
      </c>
      <c r="D57" s="1337">
        <v>2500</v>
      </c>
      <c r="E57" s="107"/>
      <c r="F57" s="74">
        <f t="shared" si="3"/>
        <v>2500</v>
      </c>
    </row>
    <row r="58" spans="2:6" s="15" customFormat="1" ht="12.75">
      <c r="B58" s="450"/>
      <c r="C58" s="1360" t="s">
        <v>535</v>
      </c>
      <c r="D58" s="1337">
        <v>200</v>
      </c>
      <c r="E58" s="107"/>
      <c r="F58" s="74">
        <f t="shared" si="3"/>
        <v>200</v>
      </c>
    </row>
    <row r="59" spans="2:6" s="15" customFormat="1" ht="12.75">
      <c r="B59" s="450"/>
      <c r="C59" s="1360" t="s">
        <v>777</v>
      </c>
      <c r="D59" s="1337">
        <v>560</v>
      </c>
      <c r="E59" s="107"/>
      <c r="F59" s="74">
        <f t="shared" si="3"/>
        <v>560</v>
      </c>
    </row>
    <row r="60" spans="2:6" s="15" customFormat="1" ht="12.75">
      <c r="B60" s="450"/>
      <c r="C60" s="1360" t="s">
        <v>141</v>
      </c>
      <c r="D60" s="1337">
        <v>5300</v>
      </c>
      <c r="E60" s="107">
        <v>-500</v>
      </c>
      <c r="F60" s="74">
        <f t="shared" si="3"/>
        <v>4800</v>
      </c>
    </row>
    <row r="61" spans="2:6" s="15" customFormat="1" ht="12.75">
      <c r="B61" s="450"/>
      <c r="C61" s="1360" t="s">
        <v>809</v>
      </c>
      <c r="D61" s="1337">
        <v>170</v>
      </c>
      <c r="E61" s="107"/>
      <c r="F61" s="74">
        <f t="shared" si="3"/>
        <v>170</v>
      </c>
    </row>
    <row r="62" spans="2:6" s="15" customFormat="1" ht="12.75">
      <c r="B62" s="450"/>
      <c r="C62" s="1360" t="s">
        <v>819</v>
      </c>
      <c r="D62" s="1337">
        <v>1034</v>
      </c>
      <c r="E62" s="107"/>
      <c r="F62" s="74">
        <f t="shared" si="3"/>
        <v>1034</v>
      </c>
    </row>
    <row r="63" spans="2:6" s="15" customFormat="1" ht="12.75">
      <c r="B63" s="450"/>
      <c r="C63" s="1360" t="s">
        <v>841</v>
      </c>
      <c r="D63" s="1337">
        <v>3900</v>
      </c>
      <c r="E63" s="107"/>
      <c r="F63" s="74">
        <f t="shared" si="3"/>
        <v>3900</v>
      </c>
    </row>
    <row r="64" spans="2:6" s="66" customFormat="1" ht="12.75">
      <c r="B64" s="83"/>
      <c r="C64" s="106" t="s">
        <v>196</v>
      </c>
      <c r="D64" s="77">
        <v>700</v>
      </c>
      <c r="E64" s="79"/>
      <c r="F64" s="79">
        <f t="shared" si="3"/>
        <v>700</v>
      </c>
    </row>
    <row r="65" spans="2:6" s="66" customFormat="1" ht="12.75">
      <c r="B65" s="83"/>
      <c r="C65" s="106" t="s">
        <v>529</v>
      </c>
      <c r="D65" s="1225">
        <v>2000</v>
      </c>
      <c r="E65" s="79"/>
      <c r="F65" s="79">
        <f t="shared" si="3"/>
        <v>2000</v>
      </c>
    </row>
    <row r="66" spans="2:8" s="66" customFormat="1" ht="12.75">
      <c r="B66" s="82"/>
      <c r="C66" s="108" t="s">
        <v>595</v>
      </c>
      <c r="D66" s="76"/>
      <c r="E66" s="78"/>
      <c r="F66" s="78">
        <f>SUM(D66:E66)</f>
        <v>0</v>
      </c>
      <c r="H66" s="15"/>
    </row>
    <row r="67" spans="2:8" s="66" customFormat="1" ht="12.75">
      <c r="B67" s="83"/>
      <c r="C67" s="105" t="s">
        <v>197</v>
      </c>
      <c r="D67" s="73">
        <f>SUM(D64:D66)</f>
        <v>2700</v>
      </c>
      <c r="E67" s="73">
        <f>SUM(E64:E66)</f>
        <v>0</v>
      </c>
      <c r="F67" s="74">
        <f>SUM(D67:E67)</f>
        <v>2700</v>
      </c>
      <c r="H67" s="95"/>
    </row>
    <row r="68" spans="2:9" s="66" customFormat="1" ht="12.75">
      <c r="B68" s="83"/>
      <c r="C68" s="67" t="s">
        <v>218</v>
      </c>
      <c r="D68" s="77">
        <v>6607</v>
      </c>
      <c r="E68" s="79"/>
      <c r="F68" s="209">
        <f>SUM(D68:E68)</f>
        <v>6607</v>
      </c>
      <c r="I68" s="134"/>
    </row>
    <row r="69" spans="2:6" s="66" customFormat="1" ht="12.75">
      <c r="B69" s="82"/>
      <c r="C69" s="43" t="s">
        <v>92</v>
      </c>
      <c r="D69" s="76">
        <v>30700</v>
      </c>
      <c r="E69" s="78"/>
      <c r="F69" s="209">
        <f>SUM(D69:E69)</f>
        <v>30700</v>
      </c>
    </row>
    <row r="70" spans="2:7" ht="12.75">
      <c r="B70" s="104"/>
      <c r="C70" s="201" t="s">
        <v>530</v>
      </c>
      <c r="D70" s="1335">
        <f>SUM(D68:D69)</f>
        <v>37307</v>
      </c>
      <c r="E70" s="202">
        <f>SUM(E68:E69)</f>
        <v>0</v>
      </c>
      <c r="F70" s="202">
        <f>SUM(F68:F69)</f>
        <v>37307</v>
      </c>
      <c r="G70" s="18"/>
    </row>
    <row r="71" spans="1:7" ht="12.75">
      <c r="A71" s="1686"/>
      <c r="B71" s="450"/>
      <c r="C71" s="1360" t="s">
        <v>674</v>
      </c>
      <c r="D71" s="1337">
        <v>87</v>
      </c>
      <c r="E71" s="107"/>
      <c r="F71" s="107">
        <f>SUM(D71:E71)</f>
        <v>87</v>
      </c>
      <c r="G71" s="18"/>
    </row>
    <row r="72" spans="2:7" ht="12.75">
      <c r="B72" s="104"/>
      <c r="C72" s="201" t="s">
        <v>668</v>
      </c>
      <c r="D72" s="1335">
        <v>4400</v>
      </c>
      <c r="E72" s="202"/>
      <c r="F72" s="202">
        <f>SUM(D72:E72)</f>
        <v>4400</v>
      </c>
      <c r="G72" s="18"/>
    </row>
    <row r="73" spans="2:7" ht="12.75">
      <c r="B73" s="104"/>
      <c r="C73" s="201" t="s">
        <v>753</v>
      </c>
      <c r="D73" s="1335">
        <v>500</v>
      </c>
      <c r="E73" s="202"/>
      <c r="F73" s="202">
        <f>SUM(D73:E73)</f>
        <v>500</v>
      </c>
      <c r="G73" s="18"/>
    </row>
    <row r="74" spans="2:7" ht="13.5" thickBot="1">
      <c r="B74" s="1534"/>
      <c r="C74" s="1535" t="s">
        <v>787</v>
      </c>
      <c r="D74" s="1536">
        <v>43</v>
      </c>
      <c r="E74" s="1537"/>
      <c r="F74" s="202">
        <f>SUM(D74:E74)</f>
        <v>43</v>
      </c>
      <c r="G74" s="18"/>
    </row>
    <row r="75" spans="2:9" ht="13.5" thickBot="1">
      <c r="B75" s="120">
        <v>3</v>
      </c>
      <c r="C75" s="121" t="s">
        <v>387</v>
      </c>
      <c r="D75" s="110">
        <f>D31+D32+D33+D34+D45+D46+D53+D54+D55+D56+D57+D58+D59+D60+D61+D62+D67+D70+D71+D72+D73+D74+D63</f>
        <v>822393</v>
      </c>
      <c r="E75" s="110">
        <f>E31+E32+E33+E34+E45+E46+E53+E54+E55+E56+E57+E58+E59+E60+E61+E62+E67+E70+E71+E72+E73+E74+E63</f>
        <v>3195</v>
      </c>
      <c r="F75" s="110">
        <f>F31+F32+F33+F34+F45+F46+F53+F54+F55+F56+F57+F58+F59+F60+F61+F62+F67+F70+F71+F72+F73+F74+F63</f>
        <v>825588</v>
      </c>
      <c r="G75" s="18">
        <f>SUM(D75:E75)</f>
        <v>825588</v>
      </c>
      <c r="H75" s="18">
        <f>hivatal9!K21</f>
        <v>825588</v>
      </c>
      <c r="I75" s="18">
        <f>H75-F75</f>
        <v>0</v>
      </c>
    </row>
    <row r="76" spans="2:7" s="15" customFormat="1" ht="12.75">
      <c r="B76" s="104"/>
      <c r="C76" s="105" t="s">
        <v>842</v>
      </c>
      <c r="D76" s="73">
        <v>4968</v>
      </c>
      <c r="E76" s="137"/>
      <c r="F76" s="72">
        <f>SUM(D76:E76)</f>
        <v>4968</v>
      </c>
      <c r="G76" s="95"/>
    </row>
    <row r="77" spans="2:7" s="15" customFormat="1" ht="12.75">
      <c r="B77" s="104"/>
      <c r="C77" s="105" t="s">
        <v>321</v>
      </c>
      <c r="D77" s="73">
        <v>12253</v>
      </c>
      <c r="E77" s="137"/>
      <c r="F77" s="72">
        <f>SUM(D77:E77)</f>
        <v>12253</v>
      </c>
      <c r="G77" s="95"/>
    </row>
    <row r="78" spans="2:7" s="15" customFormat="1" ht="12.75">
      <c r="B78" s="104"/>
      <c r="C78" s="1722" t="s">
        <v>850</v>
      </c>
      <c r="D78" s="73"/>
      <c r="E78" s="137">
        <v>300</v>
      </c>
      <c r="F78" s="72">
        <f>SUM(D78:E78)</f>
        <v>300</v>
      </c>
      <c r="G78" s="95"/>
    </row>
    <row r="79" spans="2:7" s="15" customFormat="1" ht="12.75">
      <c r="B79" s="104"/>
      <c r="C79" s="105" t="s">
        <v>526</v>
      </c>
      <c r="D79" s="73">
        <v>11300</v>
      </c>
      <c r="E79" s="137"/>
      <c r="F79" s="72">
        <f>SUM(D79:E79)</f>
        <v>11300</v>
      </c>
      <c r="G79" s="95"/>
    </row>
    <row r="80" spans="2:7" s="15" customFormat="1" ht="12.75">
      <c r="B80" s="104"/>
      <c r="C80" s="1685" t="s">
        <v>778</v>
      </c>
      <c r="D80" s="72">
        <v>144</v>
      </c>
      <c r="E80" s="75"/>
      <c r="F80" s="75">
        <f>SUM(D80:E80)</f>
        <v>144</v>
      </c>
      <c r="G80" s="95"/>
    </row>
    <row r="81" spans="2:7" ht="12.75">
      <c r="B81" s="104"/>
      <c r="C81" s="108" t="s">
        <v>780</v>
      </c>
      <c r="D81" s="1684">
        <v>350</v>
      </c>
      <c r="E81" s="1684">
        <v>-350</v>
      </c>
      <c r="F81" s="1684">
        <f aca="true" t="shared" si="4" ref="F81:F87">SUM(D81:E81)</f>
        <v>0</v>
      </c>
      <c r="G81" s="18"/>
    </row>
    <row r="82" spans="2:7" ht="12.75">
      <c r="B82" s="104"/>
      <c r="C82" s="108" t="s">
        <v>781</v>
      </c>
      <c r="D82" s="1684">
        <v>1059</v>
      </c>
      <c r="E82" s="1684">
        <v>-257</v>
      </c>
      <c r="F82" s="1684">
        <f t="shared" si="4"/>
        <v>802</v>
      </c>
      <c r="G82" s="18"/>
    </row>
    <row r="83" spans="2:7" ht="12.75">
      <c r="B83" s="104"/>
      <c r="C83" s="108" t="s">
        <v>782</v>
      </c>
      <c r="D83" s="1684">
        <f>1148-531</f>
        <v>617</v>
      </c>
      <c r="E83" s="1684">
        <v>-38</v>
      </c>
      <c r="F83" s="1684">
        <f t="shared" si="4"/>
        <v>579</v>
      </c>
      <c r="G83" s="18"/>
    </row>
    <row r="84" spans="2:7" ht="12.75">
      <c r="B84" s="104"/>
      <c r="C84" s="108" t="s">
        <v>783</v>
      </c>
      <c r="D84" s="1684">
        <v>2515</v>
      </c>
      <c r="E84" s="1684">
        <v>-968</v>
      </c>
      <c r="F84" s="1684">
        <f t="shared" si="4"/>
        <v>1547</v>
      </c>
      <c r="G84" s="18"/>
    </row>
    <row r="85" spans="2:7" ht="12.75">
      <c r="B85" s="104"/>
      <c r="C85" s="108" t="s">
        <v>784</v>
      </c>
      <c r="D85" s="1684">
        <v>1135</v>
      </c>
      <c r="E85" s="1684">
        <v>-35</v>
      </c>
      <c r="F85" s="1684">
        <f t="shared" si="4"/>
        <v>1100</v>
      </c>
      <c r="G85" s="18"/>
    </row>
    <row r="86" spans="2:7" ht="12.75">
      <c r="B86" s="104"/>
      <c r="C86" s="108" t="s">
        <v>785</v>
      </c>
      <c r="D86" s="1684">
        <v>2420</v>
      </c>
      <c r="E86" s="1684"/>
      <c r="F86" s="1684">
        <f t="shared" si="4"/>
        <v>2420</v>
      </c>
      <c r="G86" s="18"/>
    </row>
    <row r="87" spans="2:7" ht="12.75">
      <c r="B87" s="104"/>
      <c r="C87" s="108" t="s">
        <v>786</v>
      </c>
      <c r="D87" s="1684">
        <f>823-110</f>
        <v>713</v>
      </c>
      <c r="E87" s="1684"/>
      <c r="F87" s="1684">
        <f t="shared" si="4"/>
        <v>713</v>
      </c>
      <c r="G87" s="18"/>
    </row>
    <row r="88" spans="2:7" ht="12.75">
      <c r="B88" s="104"/>
      <c r="C88" s="201" t="s">
        <v>779</v>
      </c>
      <c r="D88" s="75">
        <f>SUM(D81:D87)</f>
        <v>8809</v>
      </c>
      <c r="E88" s="75">
        <f>SUM(E81:E87)</f>
        <v>-1648</v>
      </c>
      <c r="F88" s="75">
        <f>SUM(F81:F87)</f>
        <v>7161</v>
      </c>
      <c r="G88" s="18"/>
    </row>
    <row r="89" spans="2:7" ht="12.75">
      <c r="B89" s="104"/>
      <c r="C89" s="201" t="s">
        <v>851</v>
      </c>
      <c r="D89" s="75"/>
      <c r="E89" s="75">
        <v>2943</v>
      </c>
      <c r="F89" s="75">
        <f>SUM(D89:E89)</f>
        <v>2943</v>
      </c>
      <c r="G89" s="18"/>
    </row>
    <row r="90" spans="2:7" s="15" customFormat="1" ht="13.5" thickBot="1">
      <c r="B90" s="104"/>
      <c r="C90" s="1685" t="s">
        <v>673</v>
      </c>
      <c r="D90" s="72">
        <v>179</v>
      </c>
      <c r="E90" s="75"/>
      <c r="F90" s="72">
        <f>SUM(D90:E90)</f>
        <v>179</v>
      </c>
      <c r="G90" s="95"/>
    </row>
    <row r="91" spans="2:8" ht="13.5" thickBot="1">
      <c r="B91" s="120">
        <v>4</v>
      </c>
      <c r="C91" s="121" t="s">
        <v>388</v>
      </c>
      <c r="D91" s="122">
        <f>D76+D78+D77+D79+D80+D88+D89+D90</f>
        <v>37653</v>
      </c>
      <c r="E91" s="122">
        <f>E76+E78+E77+E79+E80+E88+E89+E90</f>
        <v>1595</v>
      </c>
      <c r="F91" s="122">
        <f>F76+F78+F77+F79+F80+F88+F89+F90</f>
        <v>39248</v>
      </c>
      <c r="G91" s="18">
        <f>SUM(D91:E91)</f>
        <v>39248</v>
      </c>
      <c r="H91" s="18">
        <f>hivatal9!K18</f>
        <v>39248</v>
      </c>
    </row>
    <row r="92" spans="2:9" ht="13.5" thickBot="1">
      <c r="B92" s="123" t="s">
        <v>109</v>
      </c>
      <c r="C92" s="124" t="s">
        <v>386</v>
      </c>
      <c r="D92" s="125">
        <f>D75+D91</f>
        <v>860046</v>
      </c>
      <c r="E92" s="125">
        <f>E75+E91</f>
        <v>4790</v>
      </c>
      <c r="F92" s="125">
        <f>SUM(D92:E92)</f>
        <v>864836</v>
      </c>
      <c r="G92" s="18">
        <f>F75+F91</f>
        <v>864836</v>
      </c>
      <c r="H92" s="18">
        <f>hivatal9!K18+hivatal9!K21</f>
        <v>864836</v>
      </c>
      <c r="I92" s="18">
        <f>H92-G92</f>
        <v>0</v>
      </c>
    </row>
    <row r="95" ht="12.75">
      <c r="D95" s="223"/>
    </row>
    <row r="103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58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74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8"/>
      <c r="H1" s="109" t="s">
        <v>883</v>
      </c>
    </row>
    <row r="2" spans="2:8" ht="12" customHeight="1">
      <c r="B2" s="38"/>
      <c r="H2" s="109" t="s">
        <v>93</v>
      </c>
    </row>
    <row r="3" ht="23.25" customHeight="1">
      <c r="B3" s="38"/>
    </row>
    <row r="4" spans="1:8" s="94" customFormat="1" ht="40.5" customHeight="1">
      <c r="A4" s="131"/>
      <c r="B4" s="1943" t="s">
        <v>579</v>
      </c>
      <c r="C4" s="1943"/>
      <c r="D4" s="1943"/>
      <c r="E4" s="1943"/>
      <c r="F4" s="1943"/>
      <c r="G4" s="1943"/>
      <c r="H4" s="1943"/>
    </row>
    <row r="5" spans="1:8" s="568" customFormat="1" ht="34.5" customHeight="1">
      <c r="A5" s="678"/>
      <c r="B5" s="1949" t="s">
        <v>587</v>
      </c>
      <c r="C5" s="1949"/>
      <c r="D5" s="1949"/>
      <c r="E5" s="1949"/>
      <c r="F5" s="1949"/>
      <c r="G5" s="1949"/>
      <c r="H5" s="1949"/>
    </row>
    <row r="6" spans="4:8" ht="31.5" customHeight="1" thickBot="1">
      <c r="D6" s="39"/>
      <c r="E6" s="39"/>
      <c r="F6" s="40"/>
      <c r="G6" s="40"/>
      <c r="H6" s="275" t="s">
        <v>134</v>
      </c>
    </row>
    <row r="7" spans="2:8" ht="35.25" customHeight="1" thickBot="1">
      <c r="B7" s="774"/>
      <c r="C7" s="1947" t="s">
        <v>151</v>
      </c>
      <c r="D7" s="1948"/>
      <c r="E7" s="783" t="s">
        <v>390</v>
      </c>
      <c r="F7" s="1523" t="s">
        <v>664</v>
      </c>
      <c r="G7" s="132" t="s">
        <v>130</v>
      </c>
      <c r="H7" s="133" t="s">
        <v>660</v>
      </c>
    </row>
    <row r="8" spans="2:8" ht="13.5" thickBot="1">
      <c r="B8" s="779">
        <v>1</v>
      </c>
      <c r="C8" s="1950">
        <v>2</v>
      </c>
      <c r="D8" s="1951"/>
      <c r="E8" s="784">
        <v>3</v>
      </c>
      <c r="F8" s="788">
        <v>4</v>
      </c>
      <c r="G8" s="269">
        <v>5</v>
      </c>
      <c r="H8" s="270">
        <v>6</v>
      </c>
    </row>
    <row r="9" spans="2:8" s="563" customFormat="1" ht="20.25" customHeight="1">
      <c r="B9" s="800" t="s">
        <v>112</v>
      </c>
      <c r="C9" s="1952" t="s">
        <v>395</v>
      </c>
      <c r="D9" s="1953"/>
      <c r="E9" s="801" t="s">
        <v>391</v>
      </c>
      <c r="F9" s="802">
        <f>SUM(F10:F10)</f>
        <v>0</v>
      </c>
      <c r="G9" s="803"/>
      <c r="H9" s="804">
        <f>SUM(F9:G9)</f>
        <v>0</v>
      </c>
    </row>
    <row r="10" spans="2:8" s="775" customFormat="1" ht="32.25" customHeight="1" thickBot="1">
      <c r="B10" s="795"/>
      <c r="C10" s="776" t="s">
        <v>243</v>
      </c>
      <c r="D10" s="780" t="s">
        <v>480</v>
      </c>
      <c r="E10" s="785" t="s">
        <v>391</v>
      </c>
      <c r="F10" s="815"/>
      <c r="G10" s="790"/>
      <c r="H10" s="809">
        <f>SUM(F10:G10)</f>
        <v>0</v>
      </c>
    </row>
    <row r="11" spans="2:11" s="563" customFormat="1" ht="20.25" customHeight="1" thickBot="1">
      <c r="B11" s="805" t="s">
        <v>114</v>
      </c>
      <c r="C11" s="1954" t="s">
        <v>396</v>
      </c>
      <c r="D11" s="1955"/>
      <c r="E11" s="806" t="s">
        <v>392</v>
      </c>
      <c r="F11" s="807">
        <f>SUM(F12:F12)</f>
        <v>0</v>
      </c>
      <c r="G11" s="807">
        <f>SUM(G12:G12)</f>
        <v>0</v>
      </c>
      <c r="H11" s="807">
        <f>SUM(H12:H12)</f>
        <v>0</v>
      </c>
      <c r="I11" s="573"/>
      <c r="J11" s="573"/>
      <c r="K11" s="573"/>
    </row>
    <row r="12" spans="2:11" s="775" customFormat="1" ht="30.75" customHeight="1" thickBot="1">
      <c r="B12" s="794"/>
      <c r="C12" s="797" t="s">
        <v>243</v>
      </c>
      <c r="D12" s="798" t="s">
        <v>402</v>
      </c>
      <c r="E12" s="799" t="s">
        <v>392</v>
      </c>
      <c r="F12" s="816"/>
      <c r="G12" s="796"/>
      <c r="H12" s="809">
        <f>SUM(F12:G12)</f>
        <v>0</v>
      </c>
      <c r="I12" s="777"/>
      <c r="J12" s="777"/>
      <c r="K12" s="777"/>
    </row>
    <row r="13" spans="2:11" s="563" customFormat="1" ht="20.25" customHeight="1" thickBot="1">
      <c r="B13" s="805" t="s">
        <v>115</v>
      </c>
      <c r="C13" s="1956" t="s">
        <v>397</v>
      </c>
      <c r="D13" s="1957"/>
      <c r="E13" s="806" t="s">
        <v>393</v>
      </c>
      <c r="F13" s="808">
        <f>SUM(F14:F26)+F27</f>
        <v>91423</v>
      </c>
      <c r="G13" s="808">
        <f>SUM(G14:G26)+G27</f>
        <v>54</v>
      </c>
      <c r="H13" s="808">
        <f>SUM(H14:H26)+H27</f>
        <v>91477</v>
      </c>
      <c r="I13" s="573"/>
      <c r="J13" s="573"/>
      <c r="K13" s="573"/>
    </row>
    <row r="14" spans="2:11" s="775" customFormat="1" ht="29.25" customHeight="1">
      <c r="B14" s="794"/>
      <c r="C14" s="776" t="s">
        <v>243</v>
      </c>
      <c r="D14" s="780" t="s">
        <v>440</v>
      </c>
      <c r="E14" s="785" t="s">
        <v>393</v>
      </c>
      <c r="F14" s="815">
        <v>6000</v>
      </c>
      <c r="G14" s="791"/>
      <c r="H14" s="809">
        <f aca="true" t="shared" si="0" ref="H14:H21">SUM(F14:G14)</f>
        <v>6000</v>
      </c>
      <c r="I14" s="777"/>
      <c r="J14" s="777"/>
      <c r="K14" s="777"/>
    </row>
    <row r="15" spans="2:11" s="775" customFormat="1" ht="29.25" customHeight="1">
      <c r="B15" s="794"/>
      <c r="C15" s="776" t="s">
        <v>243</v>
      </c>
      <c r="D15" s="780" t="s">
        <v>549</v>
      </c>
      <c r="E15" s="1361" t="s">
        <v>393</v>
      </c>
      <c r="F15" s="815">
        <v>1000</v>
      </c>
      <c r="G15" s="1538"/>
      <c r="H15" s="809">
        <f t="shared" si="0"/>
        <v>1000</v>
      </c>
      <c r="I15" s="777"/>
      <c r="J15" s="777"/>
      <c r="K15" s="777"/>
    </row>
    <row r="16" spans="2:11" s="775" customFormat="1" ht="29.25" customHeight="1">
      <c r="B16" s="794"/>
      <c r="C16" s="776" t="s">
        <v>243</v>
      </c>
      <c r="D16" s="780" t="s">
        <v>441</v>
      </c>
      <c r="E16" s="785" t="s">
        <v>393</v>
      </c>
      <c r="F16" s="815">
        <v>22500</v>
      </c>
      <c r="G16" s="1538">
        <f>54+973</f>
        <v>1027</v>
      </c>
      <c r="H16" s="809">
        <f t="shared" si="0"/>
        <v>23527</v>
      </c>
      <c r="I16" s="777"/>
      <c r="J16" s="777"/>
      <c r="K16" s="777"/>
    </row>
    <row r="17" spans="2:11" s="775" customFormat="1" ht="29.25" customHeight="1">
      <c r="B17" s="794"/>
      <c r="C17" s="776" t="s">
        <v>243</v>
      </c>
      <c r="D17" s="780" t="s">
        <v>442</v>
      </c>
      <c r="E17" s="785" t="s">
        <v>393</v>
      </c>
      <c r="F17" s="815">
        <v>6000</v>
      </c>
      <c r="G17" s="1538"/>
      <c r="H17" s="809">
        <f t="shared" si="0"/>
        <v>6000</v>
      </c>
      <c r="I17" s="777"/>
      <c r="J17" s="777"/>
      <c r="K17" s="777"/>
    </row>
    <row r="18" spans="2:11" s="775" customFormat="1" ht="29.25" customHeight="1">
      <c r="B18" s="794"/>
      <c r="C18" s="776" t="s">
        <v>243</v>
      </c>
      <c r="D18" s="780" t="s">
        <v>443</v>
      </c>
      <c r="E18" s="785" t="s">
        <v>393</v>
      </c>
      <c r="F18" s="815">
        <v>13000</v>
      </c>
      <c r="G18" s="1538">
        <f>-973-1001</f>
        <v>-1974</v>
      </c>
      <c r="H18" s="809">
        <f t="shared" si="0"/>
        <v>11026</v>
      </c>
      <c r="I18" s="777"/>
      <c r="J18" s="777"/>
      <c r="K18" s="777"/>
    </row>
    <row r="19" spans="2:11" s="775" customFormat="1" ht="29.25" customHeight="1">
      <c r="B19" s="794"/>
      <c r="C19" s="776" t="s">
        <v>243</v>
      </c>
      <c r="D19" s="780" t="s">
        <v>444</v>
      </c>
      <c r="E19" s="785" t="s">
        <v>393</v>
      </c>
      <c r="F19" s="815">
        <v>2000</v>
      </c>
      <c r="G19" s="1538"/>
      <c r="H19" s="809">
        <f t="shared" si="0"/>
        <v>2000</v>
      </c>
      <c r="I19" s="777"/>
      <c r="J19" s="777"/>
      <c r="K19" s="777"/>
    </row>
    <row r="20" spans="2:11" s="775" customFormat="1" ht="29.25" customHeight="1">
      <c r="B20" s="794"/>
      <c r="C20" s="776" t="s">
        <v>243</v>
      </c>
      <c r="D20" s="780" t="s">
        <v>445</v>
      </c>
      <c r="E20" s="785" t="s">
        <v>393</v>
      </c>
      <c r="F20" s="815">
        <v>19000</v>
      </c>
      <c r="G20" s="1538">
        <v>1001</v>
      </c>
      <c r="H20" s="809">
        <f t="shared" si="0"/>
        <v>20001</v>
      </c>
      <c r="I20" s="777"/>
      <c r="J20" s="777"/>
      <c r="K20" s="777"/>
    </row>
    <row r="21" spans="2:11" s="775" customFormat="1" ht="29.25" customHeight="1">
      <c r="B21" s="794"/>
      <c r="C21" s="776" t="s">
        <v>243</v>
      </c>
      <c r="D21" s="780" t="s">
        <v>447</v>
      </c>
      <c r="E21" s="785" t="s">
        <v>393</v>
      </c>
      <c r="F21" s="815">
        <v>4500</v>
      </c>
      <c r="G21" s="1538"/>
      <c r="H21" s="809">
        <f t="shared" si="0"/>
        <v>4500</v>
      </c>
      <c r="I21" s="777"/>
      <c r="J21" s="777"/>
      <c r="K21" s="777"/>
    </row>
    <row r="22" spans="2:11" s="775" customFormat="1" ht="19.5" customHeight="1">
      <c r="B22" s="794"/>
      <c r="C22" s="776" t="s">
        <v>243</v>
      </c>
      <c r="D22" s="814" t="s">
        <v>507</v>
      </c>
      <c r="E22" s="786" t="str">
        <f>E26</f>
        <v>K48</v>
      </c>
      <c r="F22" s="817">
        <v>1000</v>
      </c>
      <c r="G22" s="821"/>
      <c r="H22" s="809">
        <f aca="true" t="shared" si="1" ref="H22:H27">SUM(F22:G22)</f>
        <v>1000</v>
      </c>
      <c r="I22" s="777"/>
      <c r="J22" s="777"/>
      <c r="K22" s="777"/>
    </row>
    <row r="23" spans="2:11" s="775" customFormat="1" ht="21" customHeight="1">
      <c r="B23" s="794"/>
      <c r="C23" s="820" t="s">
        <v>243</v>
      </c>
      <c r="D23" s="814" t="s">
        <v>508</v>
      </c>
      <c r="E23" s="786" t="str">
        <f>E25</f>
        <v>K48</v>
      </c>
      <c r="F23" s="817">
        <v>1000</v>
      </c>
      <c r="G23" s="792"/>
      <c r="H23" s="809">
        <f t="shared" si="1"/>
        <v>1000</v>
      </c>
      <c r="I23" s="777"/>
      <c r="J23" s="777"/>
      <c r="K23" s="777"/>
    </row>
    <row r="24" spans="2:11" s="775" customFormat="1" ht="21" customHeight="1">
      <c r="B24" s="794"/>
      <c r="C24" s="820" t="s">
        <v>243</v>
      </c>
      <c r="D24" s="814" t="s">
        <v>788</v>
      </c>
      <c r="E24" s="786" t="s">
        <v>393</v>
      </c>
      <c r="F24" s="817">
        <v>10000</v>
      </c>
      <c r="G24" s="1687"/>
      <c r="H24" s="809">
        <f t="shared" si="1"/>
        <v>10000</v>
      </c>
      <c r="I24" s="777"/>
      <c r="J24" s="777"/>
      <c r="K24" s="777"/>
    </row>
    <row r="25" spans="2:11" s="775" customFormat="1" ht="20.25" customHeight="1">
      <c r="B25" s="794"/>
      <c r="C25" s="776" t="s">
        <v>243</v>
      </c>
      <c r="D25" s="780" t="s">
        <v>398</v>
      </c>
      <c r="E25" s="785" t="s">
        <v>393</v>
      </c>
      <c r="F25" s="815">
        <v>5423</v>
      </c>
      <c r="G25" s="1538"/>
      <c r="H25" s="822">
        <f t="shared" si="1"/>
        <v>5423</v>
      </c>
      <c r="I25" s="777"/>
      <c r="J25" s="777"/>
      <c r="K25" s="777"/>
    </row>
    <row r="26" spans="2:11" s="775" customFormat="1" ht="30.75" customHeight="1">
      <c r="B26" s="794"/>
      <c r="C26" s="820" t="s">
        <v>243</v>
      </c>
      <c r="D26" s="780" t="s">
        <v>399</v>
      </c>
      <c r="E26" s="785" t="s">
        <v>393</v>
      </c>
      <c r="F26" s="823"/>
      <c r="G26" s="823"/>
      <c r="H26" s="822">
        <f t="shared" si="1"/>
        <v>0</v>
      </c>
      <c r="I26" s="777"/>
      <c r="J26" s="777"/>
      <c r="K26" s="777"/>
    </row>
    <row r="27" spans="2:11" s="775" customFormat="1" ht="29.25" customHeight="1" thickBot="1">
      <c r="B27" s="793"/>
      <c r="C27" s="776" t="s">
        <v>243</v>
      </c>
      <c r="D27" s="781" t="s">
        <v>400</v>
      </c>
      <c r="E27" s="786" t="s">
        <v>393</v>
      </c>
      <c r="F27" s="817"/>
      <c r="G27" s="792"/>
      <c r="H27" s="809">
        <f t="shared" si="1"/>
        <v>0</v>
      </c>
      <c r="I27" s="777"/>
      <c r="J27" s="777"/>
      <c r="K27" s="777"/>
    </row>
    <row r="28" spans="2:11" s="563" customFormat="1" ht="23.25" customHeight="1" thickBot="1">
      <c r="B28" s="1944" t="s">
        <v>394</v>
      </c>
      <c r="C28" s="1945"/>
      <c r="D28" s="1946"/>
      <c r="E28" s="811" t="s">
        <v>346</v>
      </c>
      <c r="F28" s="789">
        <f>F9+F11+F13</f>
        <v>91423</v>
      </c>
      <c r="G28" s="778">
        <f>G9+G11+G13</f>
        <v>54</v>
      </c>
      <c r="H28" s="778">
        <f>H9+H11+H13</f>
        <v>91477</v>
      </c>
      <c r="I28" s="573">
        <f>hivatal9!K14</f>
        <v>91477</v>
      </c>
      <c r="J28" s="573">
        <f>SUM(F28:G28)</f>
        <v>91477</v>
      </c>
      <c r="K28" s="573">
        <f>'kiadfő '!H12</f>
        <v>91477</v>
      </c>
    </row>
    <row r="29" spans="2:11" s="775" customFormat="1" ht="30.75" customHeight="1" thickBot="1">
      <c r="B29" s="795"/>
      <c r="C29" s="812" t="s">
        <v>243</v>
      </c>
      <c r="D29" s="782" t="s">
        <v>401</v>
      </c>
      <c r="E29" s="787"/>
      <c r="F29" s="818">
        <f>F10</f>
        <v>0</v>
      </c>
      <c r="G29" s="813">
        <f>G12</f>
        <v>0</v>
      </c>
      <c r="H29" s="810">
        <f>SUM(F29:G29)</f>
        <v>0</v>
      </c>
      <c r="I29" s="777"/>
      <c r="J29" s="777"/>
      <c r="K29" s="777"/>
    </row>
    <row r="30" spans="2:11" s="775" customFormat="1" ht="30.75" customHeight="1" thickBot="1">
      <c r="B30" s="795"/>
      <c r="C30" s="812" t="s">
        <v>243</v>
      </c>
      <c r="D30" s="782" t="s">
        <v>446</v>
      </c>
      <c r="E30" s="787"/>
      <c r="F30" s="1027">
        <f>F14+F16+F17+F18+F19+F20+F21+F22+F23+F24+F15</f>
        <v>86000</v>
      </c>
      <c r="G30" s="1027">
        <f>G14+G16+G17+G18+G19+G20+G21+G22+G23+G24+G15</f>
        <v>54</v>
      </c>
      <c r="H30" s="1027">
        <f>H14+H16+H17+H18+H19+H20+H21+H22+H23+H24+H15</f>
        <v>86054</v>
      </c>
      <c r="I30" s="777"/>
      <c r="J30" s="777"/>
      <c r="K30" s="777"/>
    </row>
    <row r="31" spans="2:11" s="775" customFormat="1" ht="30.75" customHeight="1" thickBot="1">
      <c r="B31" s="795"/>
      <c r="C31" s="812" t="s">
        <v>243</v>
      </c>
      <c r="D31" s="782" t="s">
        <v>448</v>
      </c>
      <c r="E31" s="787"/>
      <c r="F31" s="1160">
        <f>F25</f>
        <v>5423</v>
      </c>
      <c r="G31" s="1160">
        <f>G25</f>
        <v>0</v>
      </c>
      <c r="H31" s="1160">
        <f>H25</f>
        <v>5423</v>
      </c>
      <c r="I31" s="777"/>
      <c r="J31" s="777"/>
      <c r="K31" s="777"/>
    </row>
    <row r="32" spans="6:8" ht="12.75">
      <c r="F32" s="819">
        <f>SUM(F29:F31)</f>
        <v>91423</v>
      </c>
      <c r="H32" s="223">
        <f>SUM(H29:H31)</f>
        <v>91477</v>
      </c>
    </row>
    <row r="33" ht="12.75">
      <c r="F33" s="223"/>
    </row>
    <row r="34" ht="12.75">
      <c r="H34" s="223"/>
    </row>
    <row r="35" ht="12.75">
      <c r="H35" s="223"/>
    </row>
    <row r="39" ht="11.25" customHeight="1"/>
  </sheetData>
  <sheetProtection/>
  <mergeCells count="8">
    <mergeCell ref="B4:H4"/>
    <mergeCell ref="B28:D28"/>
    <mergeCell ref="C7:D7"/>
    <mergeCell ref="B5:H5"/>
    <mergeCell ref="C8:D8"/>
    <mergeCell ref="C9:D9"/>
    <mergeCell ref="C11:D11"/>
    <mergeCell ref="C13:D13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2"/>
  <sheetViews>
    <sheetView showGridLines="0" view="pageLayout" workbookViewId="0" topLeftCell="A1">
      <selection activeCell="H77" sqref="H77"/>
    </sheetView>
  </sheetViews>
  <sheetFormatPr defaultColWidth="9.00390625" defaultRowHeight="12.75"/>
  <cols>
    <col min="1" max="1" width="5.50390625" style="254" customWidth="1"/>
    <col min="2" max="2" width="107.375" style="254" bestFit="1" customWidth="1"/>
    <col min="3" max="3" width="14.625" style="254" customWidth="1"/>
    <col min="4" max="4" width="15.00390625" style="254" customWidth="1"/>
    <col min="5" max="5" width="14.125" style="255" customWidth="1"/>
    <col min="6" max="6" width="11.00390625" style="94" customWidth="1"/>
    <col min="7" max="7" width="9.875" style="94" bestFit="1" customWidth="1"/>
    <col min="8" max="8" width="9.375" style="94" customWidth="1"/>
    <col min="9" max="9" width="10.50390625" style="1768" customWidth="1"/>
    <col min="10" max="10" width="9.375" style="1740" customWidth="1"/>
    <col min="11" max="11" width="10.875" style="1674" customWidth="1"/>
    <col min="12" max="16384" width="9.375" style="94" customWidth="1"/>
  </cols>
  <sheetData>
    <row r="1" ht="12.75">
      <c r="E1" s="109"/>
    </row>
    <row r="2" ht="12.75">
      <c r="E2" s="109"/>
    </row>
    <row r="3" spans="1:5" ht="15.75">
      <c r="A3" s="1943" t="s">
        <v>573</v>
      </c>
      <c r="B3" s="1943"/>
      <c r="C3" s="1943"/>
      <c r="D3" s="1943"/>
      <c r="E3" s="1943"/>
    </row>
    <row r="4" spans="1:5" ht="12.75" customHeight="1">
      <c r="A4" s="961"/>
      <c r="B4" s="962" t="s">
        <v>588</v>
      </c>
      <c r="C4" s="960"/>
      <c r="D4" s="960"/>
      <c r="E4" s="963"/>
    </row>
    <row r="5" spans="2:5" ht="26.25" customHeight="1" thickBot="1">
      <c r="B5" s="964"/>
      <c r="C5" s="965"/>
      <c r="D5" s="965"/>
      <c r="E5" s="275" t="s">
        <v>134</v>
      </c>
    </row>
    <row r="6" spans="1:11" ht="27.75" customHeight="1" thickBot="1">
      <c r="A6" s="271" t="s">
        <v>163</v>
      </c>
      <c r="B6" s="957" t="s">
        <v>151</v>
      </c>
      <c r="C6" s="1523" t="s">
        <v>664</v>
      </c>
      <c r="D6" s="132" t="s">
        <v>130</v>
      </c>
      <c r="E6" s="133" t="s">
        <v>660</v>
      </c>
      <c r="I6" s="1770" t="s">
        <v>859</v>
      </c>
      <c r="J6" s="1742" t="s">
        <v>836</v>
      </c>
      <c r="K6" s="1673" t="s">
        <v>772</v>
      </c>
    </row>
    <row r="7" spans="1:5" ht="13.5" thickBot="1">
      <c r="A7" s="958">
        <v>1</v>
      </c>
      <c r="B7" s="958">
        <v>2</v>
      </c>
      <c r="C7" s="86">
        <v>3</v>
      </c>
      <c r="D7" s="86">
        <v>4</v>
      </c>
      <c r="E7" s="1379">
        <v>5</v>
      </c>
    </row>
    <row r="8" spans="1:11" s="258" customFormat="1" ht="15" customHeight="1">
      <c r="A8" s="955"/>
      <c r="B8" s="1402" t="s">
        <v>601</v>
      </c>
      <c r="C8" s="1214"/>
      <c r="D8" s="1058"/>
      <c r="E8" s="956">
        <f>SUM(C8:D8)</f>
        <v>0</v>
      </c>
      <c r="F8" s="257"/>
      <c r="I8" s="1767"/>
      <c r="J8" s="1739"/>
      <c r="K8" s="1675"/>
    </row>
    <row r="9" spans="1:11" s="258" customFormat="1" ht="15" customHeight="1">
      <c r="A9" s="955"/>
      <c r="B9" s="1403" t="s">
        <v>602</v>
      </c>
      <c r="C9" s="1249"/>
      <c r="D9" s="1058"/>
      <c r="E9" s="956">
        <f>SUM(C9:D9)</f>
        <v>0</v>
      </c>
      <c r="F9" s="257"/>
      <c r="I9" s="1767"/>
      <c r="J9" s="1739"/>
      <c r="K9" s="1675"/>
    </row>
    <row r="10" spans="1:11" s="258" customFormat="1" ht="15" customHeight="1">
      <c r="A10" s="955"/>
      <c r="B10" s="1566" t="s">
        <v>678</v>
      </c>
      <c r="C10" s="1249">
        <v>712</v>
      </c>
      <c r="D10" s="1058"/>
      <c r="E10" s="256">
        <f>SUM(C10:D10)</f>
        <v>712</v>
      </c>
      <c r="F10" s="257"/>
      <c r="I10" s="1767"/>
      <c r="J10" s="1739"/>
      <c r="K10" s="1675"/>
    </row>
    <row r="11" spans="1:11" s="258" customFormat="1" ht="15" customHeight="1" thickBot="1">
      <c r="A11" s="955"/>
      <c r="B11" s="1402" t="s">
        <v>679</v>
      </c>
      <c r="C11" s="1030">
        <v>2835</v>
      </c>
      <c r="D11" s="1565"/>
      <c r="E11" s="256">
        <f>SUM(C11:D11)</f>
        <v>2835</v>
      </c>
      <c r="F11" s="257"/>
      <c r="I11" s="1767">
        <v>2835</v>
      </c>
      <c r="J11" s="1739">
        <v>2835</v>
      </c>
      <c r="K11" s="1675">
        <v>2835</v>
      </c>
    </row>
    <row r="12" spans="1:11" s="258" customFormat="1" ht="15" customHeight="1" thickBot="1">
      <c r="A12" s="1057" t="s">
        <v>112</v>
      </c>
      <c r="B12" s="1365" t="s">
        <v>481</v>
      </c>
      <c r="C12" s="1059">
        <f>SUM(C8:C11)</f>
        <v>3547</v>
      </c>
      <c r="D12" s="1059">
        <f>SUM(D8:D11)</f>
        <v>0</v>
      </c>
      <c r="E12" s="1059">
        <f>SUM(E8:E11)</f>
        <v>3547</v>
      </c>
      <c r="F12" s="257">
        <f>SUM(C12:D12)</f>
        <v>3547</v>
      </c>
      <c r="I12" s="1767"/>
      <c r="J12" s="1739"/>
      <c r="K12" s="1675"/>
    </row>
    <row r="13" spans="1:11" s="258" customFormat="1" ht="15" customHeight="1">
      <c r="A13" s="1008"/>
      <c r="B13" s="1405" t="s">
        <v>603</v>
      </c>
      <c r="C13" s="1029"/>
      <c r="D13" s="1506"/>
      <c r="E13" s="256">
        <f>SUM(C13:D13)</f>
        <v>0</v>
      </c>
      <c r="F13" s="257"/>
      <c r="I13" s="1767"/>
      <c r="J13" s="1739"/>
      <c r="K13" s="1675"/>
    </row>
    <row r="14" spans="1:11" s="258" customFormat="1" ht="15" customHeight="1">
      <c r="A14" s="1404"/>
      <c r="B14" s="1406" t="s">
        <v>604</v>
      </c>
      <c r="C14" s="1575"/>
      <c r="D14" s="1725"/>
      <c r="E14" s="1595"/>
      <c r="F14" s="257"/>
      <c r="I14" s="1767"/>
      <c r="J14" s="1739"/>
      <c r="K14" s="1675"/>
    </row>
    <row r="15" spans="1:11" s="258" customFormat="1" ht="15" customHeight="1">
      <c r="A15" s="1404"/>
      <c r="B15" s="1406" t="s">
        <v>810</v>
      </c>
      <c r="C15" s="1249">
        <v>5400</v>
      </c>
      <c r="D15" s="1513"/>
      <c r="E15" s="1571">
        <f>SUM(C15:D15)</f>
        <v>5400</v>
      </c>
      <c r="F15" s="257"/>
      <c r="I15" s="1767">
        <v>5329</v>
      </c>
      <c r="J15" s="1739"/>
      <c r="K15" s="1675"/>
    </row>
    <row r="16" spans="1:11" s="258" customFormat="1" ht="15" customHeight="1">
      <c r="A16" s="1404"/>
      <c r="B16" s="1406" t="s">
        <v>811</v>
      </c>
      <c r="C16" s="1029">
        <v>15350</v>
      </c>
      <c r="D16" s="1506"/>
      <c r="E16" s="1571">
        <f>SUM(C16:D16)</f>
        <v>15350</v>
      </c>
      <c r="F16" s="257"/>
      <c r="I16" s="1767"/>
      <c r="J16" s="1739"/>
      <c r="K16" s="1675"/>
    </row>
    <row r="17" spans="1:11" s="258" customFormat="1" ht="15" customHeight="1" thickBot="1">
      <c r="A17" s="1404"/>
      <c r="B17" s="1407" t="s">
        <v>605</v>
      </c>
      <c r="C17" s="1030"/>
      <c r="D17" s="1514"/>
      <c r="E17" s="1381">
        <f>SUM(C17:D17)</f>
        <v>0</v>
      </c>
      <c r="F17" s="257"/>
      <c r="I17" s="1767"/>
      <c r="J17" s="1739"/>
      <c r="K17" s="1675"/>
    </row>
    <row r="18" spans="1:11" s="258" customFormat="1" ht="15" customHeight="1" thickBot="1">
      <c r="A18" s="235" t="s">
        <v>114</v>
      </c>
      <c r="B18" s="1366" t="s">
        <v>453</v>
      </c>
      <c r="C18" s="212">
        <f>SUM(C13:C17)</f>
        <v>20750</v>
      </c>
      <c r="D18" s="212">
        <f>SUM(D13:D17)</f>
        <v>0</v>
      </c>
      <c r="E18" s="212">
        <f>SUM(E13:E17)</f>
        <v>20750</v>
      </c>
      <c r="F18" s="257">
        <f>SUM(C18:D18)</f>
        <v>20750</v>
      </c>
      <c r="I18" s="1767"/>
      <c r="J18" s="1739"/>
      <c r="K18" s="1675"/>
    </row>
    <row r="19" spans="1:11" s="258" customFormat="1" ht="15" customHeight="1">
      <c r="A19" s="1008"/>
      <c r="B19" s="1567" t="s">
        <v>482</v>
      </c>
      <c r="C19" s="1029">
        <v>2576</v>
      </c>
      <c r="D19" s="1506">
        <v>-356</v>
      </c>
      <c r="E19" s="956">
        <f>SUM(C19:D19)</f>
        <v>2220</v>
      </c>
      <c r="F19" s="257"/>
      <c r="I19" s="1767">
        <v>1708</v>
      </c>
      <c r="J19" s="1739">
        <v>1708</v>
      </c>
      <c r="K19" s="1675">
        <v>1575</v>
      </c>
    </row>
    <row r="20" spans="1:11" s="258" customFormat="1" ht="15" customHeight="1" thickBot="1">
      <c r="A20" s="1008"/>
      <c r="B20" s="1568" t="s">
        <v>680</v>
      </c>
      <c r="C20" s="1030">
        <v>5532</v>
      </c>
      <c r="D20" s="1514"/>
      <c r="E20" s="956">
        <f>SUM(C20:D20)</f>
        <v>5532</v>
      </c>
      <c r="F20" s="257"/>
      <c r="I20" s="1767"/>
      <c r="J20" s="1739"/>
      <c r="K20" s="1675"/>
    </row>
    <row r="21" spans="1:11" s="258" customFormat="1" ht="15" customHeight="1" thickBot="1">
      <c r="A21" s="288" t="s">
        <v>115</v>
      </c>
      <c r="B21" s="1366" t="s">
        <v>454</v>
      </c>
      <c r="C21" s="212">
        <f>SUM(C19:C20)</f>
        <v>8108</v>
      </c>
      <c r="D21" s="212">
        <f>SUM(D19:D20)</f>
        <v>-356</v>
      </c>
      <c r="E21" s="212">
        <f>SUM(E19:E20)</f>
        <v>7752</v>
      </c>
      <c r="F21" s="257">
        <f>SUM(C21:D21)</f>
        <v>7752</v>
      </c>
      <c r="I21" s="1767"/>
      <c r="J21" s="1739"/>
      <c r="K21" s="1675"/>
    </row>
    <row r="22" spans="1:11" s="258" customFormat="1" ht="15" customHeight="1">
      <c r="A22" s="259"/>
      <c r="B22" s="1569" t="s">
        <v>681</v>
      </c>
      <c r="C22" s="1577"/>
      <c r="D22" s="1578"/>
      <c r="E22" s="1578"/>
      <c r="F22" s="257"/>
      <c r="I22" s="1767"/>
      <c r="J22" s="1739"/>
      <c r="K22" s="1675"/>
    </row>
    <row r="23" spans="1:11" s="258" customFormat="1" ht="15" customHeight="1">
      <c r="A23" s="259"/>
      <c r="B23" s="1570" t="s">
        <v>832</v>
      </c>
      <c r="C23" s="213">
        <v>1391</v>
      </c>
      <c r="D23" s="213"/>
      <c r="E23" s="1571">
        <f>SUM(C23:D23)</f>
        <v>1391</v>
      </c>
      <c r="F23" s="257"/>
      <c r="I23" s="1767">
        <v>1391</v>
      </c>
      <c r="J23" s="1739">
        <f>191+1200</f>
        <v>1391</v>
      </c>
      <c r="K23" s="1675">
        <v>191</v>
      </c>
    </row>
    <row r="24" spans="1:11" s="258" customFormat="1" ht="15" customHeight="1">
      <c r="A24" s="259"/>
      <c r="B24" s="1570" t="s">
        <v>682</v>
      </c>
      <c r="C24" s="210">
        <v>3243</v>
      </c>
      <c r="D24" s="210"/>
      <c r="E24" s="1571">
        <f>SUM(C24:D24)</f>
        <v>3243</v>
      </c>
      <c r="F24" s="257"/>
      <c r="I24" s="1767">
        <v>3243</v>
      </c>
      <c r="J24" s="1739">
        <v>3243</v>
      </c>
      <c r="K24" s="1675">
        <v>3243</v>
      </c>
    </row>
    <row r="25" spans="1:11" s="258" customFormat="1" ht="15" customHeight="1">
      <c r="A25" s="259"/>
      <c r="B25" s="1569" t="s">
        <v>683</v>
      </c>
      <c r="C25" s="210">
        <v>30340</v>
      </c>
      <c r="D25" s="210"/>
      <c r="E25" s="256">
        <f>SUM(C25:D25)</f>
        <v>30340</v>
      </c>
      <c r="F25" s="257"/>
      <c r="I25" s="1767">
        <v>29239</v>
      </c>
      <c r="J25" s="1739">
        <v>29239</v>
      </c>
      <c r="K25" s="1675">
        <v>29239</v>
      </c>
    </row>
    <row r="26" spans="1:11" s="258" customFormat="1" ht="15" customHeight="1">
      <c r="A26" s="259"/>
      <c r="B26" s="1570" t="s">
        <v>795</v>
      </c>
      <c r="C26" s="210">
        <v>7300</v>
      </c>
      <c r="D26" s="210">
        <v>-3</v>
      </c>
      <c r="E26" s="1571">
        <f>SUM(C26:D26)</f>
        <v>7297</v>
      </c>
      <c r="F26" s="257"/>
      <c r="I26" s="1767">
        <v>7264</v>
      </c>
      <c r="J26" s="1739">
        <v>7264</v>
      </c>
      <c r="K26" s="1675"/>
    </row>
    <row r="27" spans="1:11" s="258" customFormat="1" ht="15" customHeight="1" thickBot="1">
      <c r="A27" s="259"/>
      <c r="B27" s="1693" t="s">
        <v>812</v>
      </c>
      <c r="C27" s="1694">
        <v>4444</v>
      </c>
      <c r="D27" s="1694"/>
      <c r="E27" s="1695">
        <f>SUM(C27:D27)</f>
        <v>4444</v>
      </c>
      <c r="F27" s="257"/>
      <c r="I27" s="1767">
        <v>4444</v>
      </c>
      <c r="J27" s="1739"/>
      <c r="K27" s="1675"/>
    </row>
    <row r="28" spans="1:11" s="258" customFormat="1" ht="15" customHeight="1" thickBot="1">
      <c r="A28" s="288" t="s">
        <v>117</v>
      </c>
      <c r="B28" s="1366" t="s">
        <v>483</v>
      </c>
      <c r="C28" s="1250">
        <f>SUM(C22:C27)</f>
        <v>46718</v>
      </c>
      <c r="D28" s="1250">
        <f>SUM(D22:D27)</f>
        <v>-3</v>
      </c>
      <c r="E28" s="1250">
        <f>SUM(E22:E27)</f>
        <v>46715</v>
      </c>
      <c r="F28" s="1026">
        <f>SUM(C28:D28)</f>
        <v>46715</v>
      </c>
      <c r="I28" s="1767"/>
      <c r="J28" s="1739"/>
      <c r="K28" s="1675"/>
    </row>
    <row r="29" spans="1:11" s="258" customFormat="1" ht="15" customHeight="1">
      <c r="A29" s="1177"/>
      <c r="B29" s="1539" t="s">
        <v>609</v>
      </c>
      <c r="C29" s="1060">
        <v>1359</v>
      </c>
      <c r="D29" s="1060">
        <v>-1359</v>
      </c>
      <c r="E29" s="1061">
        <f>SUM(C29:D29)</f>
        <v>0</v>
      </c>
      <c r="F29" s="257"/>
      <c r="I29" s="1767"/>
      <c r="J29" s="1739"/>
      <c r="K29" s="1675"/>
    </row>
    <row r="30" spans="1:11" s="258" customFormat="1" ht="15" customHeight="1">
      <c r="A30" s="959"/>
      <c r="B30" s="1540" t="s">
        <v>616</v>
      </c>
      <c r="C30" s="213"/>
      <c r="D30" s="213">
        <v>10000</v>
      </c>
      <c r="E30" s="217">
        <f>SUM(C30:D30)</f>
        <v>10000</v>
      </c>
      <c r="F30" s="257"/>
      <c r="I30" s="1767"/>
      <c r="J30" s="1739"/>
      <c r="K30" s="1675"/>
    </row>
    <row r="31" spans="1:11" s="258" customFormat="1" ht="15" customHeight="1">
      <c r="A31" s="959"/>
      <c r="B31" s="1539" t="s">
        <v>540</v>
      </c>
      <c r="C31" s="213"/>
      <c r="D31" s="213">
        <v>5318</v>
      </c>
      <c r="E31" s="217">
        <f>SUM(C31:D31)</f>
        <v>5318</v>
      </c>
      <c r="F31" s="257"/>
      <c r="I31" s="1767"/>
      <c r="J31" s="1739"/>
      <c r="K31" s="1675"/>
    </row>
    <row r="32" spans="1:11" s="258" customFormat="1" ht="15" customHeight="1" thickBot="1">
      <c r="A32" s="959"/>
      <c r="B32" s="1541" t="s">
        <v>612</v>
      </c>
      <c r="C32" s="213"/>
      <c r="D32" s="213"/>
      <c r="E32" s="211">
        <f>SUM(C32:D32)</f>
        <v>0</v>
      </c>
      <c r="F32" s="257"/>
      <c r="I32" s="1767"/>
      <c r="J32" s="1739"/>
      <c r="K32" s="1675"/>
    </row>
    <row r="33" spans="1:11" s="258" customFormat="1" ht="15" customHeight="1" thickBot="1">
      <c r="A33" s="272" t="s">
        <v>98</v>
      </c>
      <c r="B33" s="1367" t="s">
        <v>486</v>
      </c>
      <c r="C33" s="262">
        <f>SUM(C29:C32)</f>
        <v>1359</v>
      </c>
      <c r="D33" s="262">
        <f>SUM(D29:D32)</f>
        <v>13959</v>
      </c>
      <c r="E33" s="1308">
        <f>SUM(E29:E32)</f>
        <v>15318</v>
      </c>
      <c r="F33" s="257"/>
      <c r="I33" s="1767"/>
      <c r="J33" s="1739"/>
      <c r="K33" s="1675"/>
    </row>
    <row r="34" spans="1:11" s="1193" customFormat="1" ht="15" customHeight="1" thickBot="1">
      <c r="A34" s="959"/>
      <c r="B34" s="1344" t="s">
        <v>537</v>
      </c>
      <c r="C34" s="1342"/>
      <c r="D34" s="1342">
        <v>11005</v>
      </c>
      <c r="E34" s="256">
        <f>SUM(C34:D34)</f>
        <v>11005</v>
      </c>
      <c r="F34" s="1192"/>
      <c r="I34" s="1774"/>
      <c r="J34" s="1745"/>
      <c r="K34" s="1681"/>
    </row>
    <row r="35" spans="1:11" s="258" customFormat="1" ht="15" customHeight="1" thickBot="1">
      <c r="A35" s="234" t="s">
        <v>99</v>
      </c>
      <c r="B35" s="1368" t="s">
        <v>485</v>
      </c>
      <c r="C35" s="262">
        <f>SUM(C34:C34)</f>
        <v>0</v>
      </c>
      <c r="D35" s="262">
        <f>SUM(D34:D34)</f>
        <v>11005</v>
      </c>
      <c r="E35" s="1308">
        <f>SUM(E34:E34)</f>
        <v>11005</v>
      </c>
      <c r="F35" s="257"/>
      <c r="I35" s="1767"/>
      <c r="J35" s="1739"/>
      <c r="K35" s="1675"/>
    </row>
    <row r="36" spans="1:11" s="258" customFormat="1" ht="15" customHeight="1">
      <c r="A36" s="259"/>
      <c r="B36" s="1369" t="s">
        <v>572</v>
      </c>
      <c r="C36" s="1345"/>
      <c r="D36" s="210"/>
      <c r="E36" s="211">
        <f>SUM(C36:D36)</f>
        <v>0</v>
      </c>
      <c r="F36" s="257"/>
      <c r="I36" s="1767"/>
      <c r="J36" s="1739"/>
      <c r="K36" s="1675"/>
    </row>
    <row r="37" spans="1:11" s="258" customFormat="1" ht="15" customHeight="1">
      <c r="A37" s="259"/>
      <c r="B37" s="1544" t="s">
        <v>629</v>
      </c>
      <c r="C37" s="1345">
        <v>5574</v>
      </c>
      <c r="D37" s="210"/>
      <c r="E37" s="211">
        <f>SUM(C37:D37)</f>
        <v>5574</v>
      </c>
      <c r="F37" s="257"/>
      <c r="I37" s="1767">
        <v>5562</v>
      </c>
      <c r="J37" s="1739"/>
      <c r="K37" s="1675"/>
    </row>
    <row r="38" spans="1:11" s="258" customFormat="1" ht="15" customHeight="1" thickBot="1">
      <c r="A38" s="259"/>
      <c r="B38" s="1543" t="s">
        <v>615</v>
      </c>
      <c r="C38" s="1542">
        <v>1595</v>
      </c>
      <c r="D38" s="1346"/>
      <c r="E38" s="211">
        <f>SUM(C38:D38)</f>
        <v>1595</v>
      </c>
      <c r="F38" s="257"/>
      <c r="I38" s="1767">
        <v>1595</v>
      </c>
      <c r="J38" s="1739"/>
      <c r="K38" s="1675"/>
    </row>
    <row r="39" spans="1:11" s="258" customFormat="1" ht="15" customHeight="1" thickBot="1">
      <c r="A39" s="234" t="s">
        <v>100</v>
      </c>
      <c r="B39" s="1368" t="s">
        <v>487</v>
      </c>
      <c r="C39" s="262">
        <f>SUM(C36:C38)</f>
        <v>7169</v>
      </c>
      <c r="D39" s="262">
        <f>SUM(D36:D38)</f>
        <v>0</v>
      </c>
      <c r="E39" s="262">
        <f>SUM(E36:E38)</f>
        <v>7169</v>
      </c>
      <c r="F39" s="257"/>
      <c r="I39" s="1767"/>
      <c r="J39" s="1739"/>
      <c r="K39" s="1675"/>
    </row>
    <row r="40" spans="1:11" s="258" customFormat="1" ht="15" customHeight="1">
      <c r="A40" s="259"/>
      <c r="B40" s="1547" t="s">
        <v>610</v>
      </c>
      <c r="C40" s="1347"/>
      <c r="D40" s="1386"/>
      <c r="E40" s="1380">
        <f aca="true" t="shared" si="0" ref="E40:E45">SUM(C40:D40)</f>
        <v>0</v>
      </c>
      <c r="F40" s="257"/>
      <c r="I40" s="1767"/>
      <c r="J40" s="1739"/>
      <c r="K40" s="1675"/>
    </row>
    <row r="41" spans="1:11" s="258" customFormat="1" ht="15" customHeight="1">
      <c r="A41" s="259"/>
      <c r="B41" s="1548" t="s">
        <v>613</v>
      </c>
      <c r="C41" s="249"/>
      <c r="D41" s="1545"/>
      <c r="E41" s="256">
        <f t="shared" si="0"/>
        <v>0</v>
      </c>
      <c r="F41" s="257"/>
      <c r="I41" s="1767"/>
      <c r="J41" s="1739"/>
      <c r="K41" s="1675"/>
    </row>
    <row r="42" spans="1:11" s="258" customFormat="1" ht="15" customHeight="1">
      <c r="A42" s="259"/>
      <c r="B42" s="1549" t="s">
        <v>628</v>
      </c>
      <c r="C42" s="1387"/>
      <c r="D42" s="1545"/>
      <c r="E42" s="256">
        <f t="shared" si="0"/>
        <v>0</v>
      </c>
      <c r="F42" s="257"/>
      <c r="I42" s="1767"/>
      <c r="J42" s="1739"/>
      <c r="K42" s="1675"/>
    </row>
    <row r="43" spans="1:11" s="258" customFormat="1" ht="15" customHeight="1">
      <c r="A43" s="259"/>
      <c r="B43" s="1550" t="s">
        <v>547</v>
      </c>
      <c r="C43" s="261">
        <v>240</v>
      </c>
      <c r="D43" s="1545"/>
      <c r="E43" s="256">
        <f t="shared" si="0"/>
        <v>240</v>
      </c>
      <c r="F43" s="257"/>
      <c r="I43" s="1767"/>
      <c r="J43" s="1739"/>
      <c r="K43" s="1675"/>
    </row>
    <row r="44" spans="1:11" s="258" customFormat="1" ht="15" customHeight="1">
      <c r="A44" s="259"/>
      <c r="B44" s="1548" t="s">
        <v>541</v>
      </c>
      <c r="C44" s="249"/>
      <c r="D44" s="1352"/>
      <c r="E44" s="256">
        <f t="shared" si="0"/>
        <v>0</v>
      </c>
      <c r="F44" s="257"/>
      <c r="I44" s="1767"/>
      <c r="J44" s="1739"/>
      <c r="K44" s="1675"/>
    </row>
    <row r="45" spans="1:11" s="258" customFormat="1" ht="15" customHeight="1" thickBot="1">
      <c r="A45" s="259"/>
      <c r="B45" s="1551" t="s">
        <v>619</v>
      </c>
      <c r="C45" s="261"/>
      <c r="D45" s="1352"/>
      <c r="E45" s="256">
        <f t="shared" si="0"/>
        <v>0</v>
      </c>
      <c r="F45" s="257"/>
      <c r="I45" s="1767"/>
      <c r="J45" s="1739"/>
      <c r="K45" s="1675"/>
    </row>
    <row r="46" spans="1:11" s="258" customFormat="1" ht="15" customHeight="1" thickBot="1">
      <c r="A46" s="234" t="s">
        <v>101</v>
      </c>
      <c r="B46" s="1368" t="s">
        <v>488</v>
      </c>
      <c r="C46" s="262">
        <f>SUM(C40:C45)</f>
        <v>240</v>
      </c>
      <c r="D46" s="262">
        <f>SUM(D40:D45)</f>
        <v>0</v>
      </c>
      <c r="E46" s="1308">
        <f>SUM(E40:E45)</f>
        <v>240</v>
      </c>
      <c r="F46" s="257"/>
      <c r="I46" s="1767"/>
      <c r="J46" s="1739"/>
      <c r="K46" s="1675"/>
    </row>
    <row r="47" spans="1:11" s="258" customFormat="1" ht="15" customHeight="1" thickBot="1">
      <c r="A47" s="959"/>
      <c r="B47" s="1411" t="s">
        <v>618</v>
      </c>
      <c r="C47" s="249">
        <v>4000</v>
      </c>
      <c r="D47" s="260"/>
      <c r="E47" s="256">
        <f>SUM(C47:D47)</f>
        <v>4000</v>
      </c>
      <c r="F47" s="257"/>
      <c r="I47" s="1767">
        <v>3912</v>
      </c>
      <c r="J47" s="1739">
        <v>3912</v>
      </c>
      <c r="K47" s="1675"/>
    </row>
    <row r="48" spans="1:11" s="258" customFormat="1" ht="15" customHeight="1" thickBot="1">
      <c r="A48" s="234" t="s">
        <v>192</v>
      </c>
      <c r="B48" s="1368" t="s">
        <v>489</v>
      </c>
      <c r="C48" s="262">
        <f>SUM(C47:C47)</f>
        <v>4000</v>
      </c>
      <c r="D48" s="262">
        <f>SUM(D47:D47)</f>
        <v>0</v>
      </c>
      <c r="E48" s="1308">
        <f>SUM(E47:E47)</f>
        <v>4000</v>
      </c>
      <c r="F48" s="257"/>
      <c r="I48" s="1767"/>
      <c r="J48" s="1739"/>
      <c r="K48" s="1675"/>
    </row>
    <row r="49" spans="1:11" s="258" customFormat="1" ht="15" customHeight="1" thickBot="1">
      <c r="A49" s="299"/>
      <c r="B49" s="1178"/>
      <c r="C49" s="249"/>
      <c r="D49" s="260"/>
      <c r="E49" s="256">
        <f>SUM(C49:D49)</f>
        <v>0</v>
      </c>
      <c r="F49" s="257"/>
      <c r="I49" s="1767"/>
      <c r="J49" s="1739"/>
      <c r="K49" s="1675"/>
    </row>
    <row r="50" spans="1:11" s="258" customFormat="1" ht="15" customHeight="1" thickBot="1">
      <c r="A50" s="234" t="s">
        <v>327</v>
      </c>
      <c r="B50" s="1368" t="s">
        <v>490</v>
      </c>
      <c r="C50" s="262">
        <f>SUM(C49)</f>
        <v>0</v>
      </c>
      <c r="D50" s="262">
        <f>SUM(D49)</f>
        <v>0</v>
      </c>
      <c r="E50" s="1308">
        <f>SUM(E49)</f>
        <v>0</v>
      </c>
      <c r="F50" s="1026"/>
      <c r="I50" s="1767"/>
      <c r="J50" s="1739"/>
      <c r="K50" s="1675"/>
    </row>
    <row r="51" spans="1:11" s="258" customFormat="1" ht="15" customHeight="1" thickBot="1">
      <c r="A51" s="299"/>
      <c r="B51" s="1572" t="s">
        <v>684</v>
      </c>
      <c r="C51" s="249">
        <v>89588</v>
      </c>
      <c r="D51" s="260"/>
      <c r="E51" s="256">
        <f>SUM(C51:D51)</f>
        <v>89588</v>
      </c>
      <c r="F51" s="257"/>
      <c r="I51" s="1767"/>
      <c r="J51" s="1739"/>
      <c r="K51" s="1675"/>
    </row>
    <row r="52" spans="1:11" s="258" customFormat="1" ht="15" customHeight="1" thickBot="1">
      <c r="A52" s="272" t="s">
        <v>328</v>
      </c>
      <c r="B52" s="1368" t="s">
        <v>491</v>
      </c>
      <c r="C52" s="262">
        <f>SUM(C51:C51)</f>
        <v>89588</v>
      </c>
      <c r="D52" s="262">
        <f>SUM(D51:D51)</f>
        <v>0</v>
      </c>
      <c r="E52" s="1308">
        <f>SUM(E51:E51)</f>
        <v>89588</v>
      </c>
      <c r="F52" s="257"/>
      <c r="I52" s="1767"/>
      <c r="J52" s="1739"/>
      <c r="K52" s="1675"/>
    </row>
    <row r="53" spans="1:11" s="258" customFormat="1" ht="15" customHeight="1" thickBot="1">
      <c r="A53" s="299"/>
      <c r="B53" s="1370"/>
      <c r="C53" s="249"/>
      <c r="D53" s="260"/>
      <c r="E53" s="256">
        <f>SUM(C53:D53)</f>
        <v>0</v>
      </c>
      <c r="F53" s="257"/>
      <c r="I53" s="1767"/>
      <c r="J53" s="1739"/>
      <c r="K53" s="1675"/>
    </row>
    <row r="54" spans="1:11" s="258" customFormat="1" ht="15" customHeight="1" thickBot="1">
      <c r="A54" s="272" t="s">
        <v>69</v>
      </c>
      <c r="B54" s="1368" t="s">
        <v>492</v>
      </c>
      <c r="C54" s="262">
        <f>SUM(C53)</f>
        <v>0</v>
      </c>
      <c r="D54" s="262">
        <f>SUM(D53)</f>
        <v>0</v>
      </c>
      <c r="E54" s="1308">
        <f>SUM(E53)</f>
        <v>0</v>
      </c>
      <c r="F54" s="257"/>
      <c r="I54" s="1767"/>
      <c r="J54" s="1739"/>
      <c r="K54" s="1675"/>
    </row>
    <row r="55" spans="1:11" s="258" customFormat="1" ht="15" customHeight="1" thickBot="1">
      <c r="A55" s="299"/>
      <c r="B55" s="1370"/>
      <c r="C55" s="249"/>
      <c r="D55" s="260"/>
      <c r="E55" s="256">
        <f>SUM(C55:D55)</f>
        <v>0</v>
      </c>
      <c r="F55" s="257"/>
      <c r="I55" s="1767"/>
      <c r="J55" s="1739"/>
      <c r="K55" s="1675"/>
    </row>
    <row r="56" spans="1:11" s="258" customFormat="1" ht="15" customHeight="1" thickBot="1">
      <c r="A56" s="118" t="s">
        <v>495</v>
      </c>
      <c r="B56" s="1368" t="s">
        <v>493</v>
      </c>
      <c r="C56" s="262">
        <f>SUM(C55)</f>
        <v>0</v>
      </c>
      <c r="D56" s="262">
        <f>SUM(D55)</f>
        <v>0</v>
      </c>
      <c r="E56" s="1308">
        <f>SUM(E55)</f>
        <v>0</v>
      </c>
      <c r="F56" s="257"/>
      <c r="I56" s="1767"/>
      <c r="J56" s="1739"/>
      <c r="K56" s="1675"/>
    </row>
    <row r="57" spans="1:11" s="258" customFormat="1" ht="15" customHeight="1">
      <c r="A57" s="1215"/>
      <c r="B57" s="1552" t="s">
        <v>536</v>
      </c>
      <c r="C57" s="1347"/>
      <c r="D57" s="1776">
        <v>3824</v>
      </c>
      <c r="E57" s="256">
        <f>SUM(C57:D57)</f>
        <v>3824</v>
      </c>
      <c r="F57" s="257"/>
      <c r="I57" s="1767"/>
      <c r="J57" s="1739"/>
      <c r="K57" s="1675"/>
    </row>
    <row r="58" spans="1:11" s="258" customFormat="1" ht="15" customHeight="1">
      <c r="A58" s="267"/>
      <c r="B58" s="1546" t="s">
        <v>614</v>
      </c>
      <c r="C58" s="1348"/>
      <c r="D58" s="260">
        <v>2594</v>
      </c>
      <c r="E58" s="256">
        <f>SUM(C58:D58)</f>
        <v>2594</v>
      </c>
      <c r="F58" s="257"/>
      <c r="I58" s="1767">
        <v>1561</v>
      </c>
      <c r="J58" s="1739"/>
      <c r="K58" s="1675"/>
    </row>
    <row r="59" spans="1:11" s="258" customFormat="1" ht="15" customHeight="1">
      <c r="A59" s="267"/>
      <c r="B59" s="1553" t="s">
        <v>611</v>
      </c>
      <c r="C59" s="1348"/>
      <c r="D59" s="260"/>
      <c r="E59" s="256">
        <f>SUM(C59:D59)</f>
        <v>0</v>
      </c>
      <c r="F59" s="257"/>
      <c r="I59" s="1767"/>
      <c r="J59" s="1739"/>
      <c r="K59" s="1675"/>
    </row>
    <row r="60" spans="1:11" s="258" customFormat="1" ht="15" customHeight="1">
      <c r="A60" s="267"/>
      <c r="B60" s="1554" t="s">
        <v>617</v>
      </c>
      <c r="C60" s="1348"/>
      <c r="D60" s="260">
        <v>800</v>
      </c>
      <c r="E60" s="256">
        <f>SUM(C60:D60)</f>
        <v>800</v>
      </c>
      <c r="F60" s="257"/>
      <c r="I60" s="1767">
        <v>725</v>
      </c>
      <c r="J60" s="1739"/>
      <c r="K60" s="1675"/>
    </row>
    <row r="61" spans="1:11" s="258" customFormat="1" ht="15" customHeight="1" thickBot="1">
      <c r="A61" s="267"/>
      <c r="B61" s="1555" t="s">
        <v>630</v>
      </c>
      <c r="C61" s="1349">
        <v>32554</v>
      </c>
      <c r="D61" s="1339"/>
      <c r="E61" s="956">
        <f>SUM(C61:D61)</f>
        <v>32554</v>
      </c>
      <c r="F61" s="257"/>
      <c r="I61" s="1767">
        <v>26641</v>
      </c>
      <c r="J61" s="1739">
        <v>26641</v>
      </c>
      <c r="K61" s="1675">
        <v>22756</v>
      </c>
    </row>
    <row r="62" spans="1:11" s="264" customFormat="1" ht="15" customHeight="1" thickBot="1">
      <c r="A62" s="250" t="s">
        <v>418</v>
      </c>
      <c r="B62" s="1368" t="s">
        <v>494</v>
      </c>
      <c r="C62" s="262">
        <f>SUM(C57:C61)</f>
        <v>32554</v>
      </c>
      <c r="D62" s="262">
        <f>SUM(D57:D61)</f>
        <v>7218</v>
      </c>
      <c r="E62" s="262">
        <f>SUM(E57:E61)</f>
        <v>39772</v>
      </c>
      <c r="F62" s="263"/>
      <c r="I62" s="1767"/>
      <c r="J62" s="1739"/>
      <c r="K62" s="1675"/>
    </row>
    <row r="63" spans="1:11" s="264" customFormat="1" ht="15" customHeight="1">
      <c r="A63" s="1958"/>
      <c r="B63" s="1371" t="s">
        <v>484</v>
      </c>
      <c r="C63" s="1029">
        <v>12720</v>
      </c>
      <c r="D63" s="213"/>
      <c r="E63" s="956">
        <f>SUM(C63:D63)</f>
        <v>12720</v>
      </c>
      <c r="F63" s="263"/>
      <c r="I63" s="1767">
        <v>6340</v>
      </c>
      <c r="J63" s="1739">
        <v>4427</v>
      </c>
      <c r="K63" s="1675">
        <v>3220</v>
      </c>
    </row>
    <row r="64" spans="1:11" s="264" customFormat="1" ht="15" customHeight="1">
      <c r="A64" s="1958"/>
      <c r="B64" s="1408" t="s">
        <v>606</v>
      </c>
      <c r="C64" s="1029">
        <v>3058</v>
      </c>
      <c r="D64" s="213"/>
      <c r="E64" s="956">
        <f>SUM(C64:D64)</f>
        <v>3058</v>
      </c>
      <c r="F64" s="263"/>
      <c r="I64" s="1767">
        <v>2266</v>
      </c>
      <c r="J64" s="1739">
        <v>2266</v>
      </c>
      <c r="K64" s="1675">
        <v>1132</v>
      </c>
    </row>
    <row r="65" spans="1:11" s="264" customFormat="1" ht="15" customHeight="1">
      <c r="A65" s="1958"/>
      <c r="B65" s="1408" t="s">
        <v>545</v>
      </c>
      <c r="C65" s="1029">
        <v>2000</v>
      </c>
      <c r="D65" s="213"/>
      <c r="E65" s="956">
        <f>SUM(C65:D65)</f>
        <v>2000</v>
      </c>
      <c r="F65" s="263"/>
      <c r="I65" s="1767"/>
      <c r="J65" s="1739"/>
      <c r="K65" s="1675"/>
    </row>
    <row r="66" spans="1:11" s="264" customFormat="1" ht="15" customHeight="1">
      <c r="A66" s="1958"/>
      <c r="B66" s="1409" t="s">
        <v>607</v>
      </c>
      <c r="C66" s="1029">
        <v>1843</v>
      </c>
      <c r="D66" s="213">
        <v>-1641</v>
      </c>
      <c r="E66" s="956">
        <f>SUM(C66:D66)</f>
        <v>202</v>
      </c>
      <c r="F66" s="263"/>
      <c r="I66" s="1767"/>
      <c r="J66" s="1739"/>
      <c r="K66" s="1675"/>
    </row>
    <row r="67" spans="1:11" s="264" customFormat="1" ht="15" customHeight="1">
      <c r="A67" s="259"/>
      <c r="B67" s="1573" t="s">
        <v>685</v>
      </c>
      <c r="C67" s="1575"/>
      <c r="D67" s="1579"/>
      <c r="E67" s="1576"/>
      <c r="F67" s="263"/>
      <c r="I67" s="1767"/>
      <c r="J67" s="1739"/>
      <c r="K67" s="1675"/>
    </row>
    <row r="68" spans="1:11" s="264" customFormat="1" ht="15" customHeight="1">
      <c r="A68" s="259"/>
      <c r="B68" s="1738" t="s">
        <v>833</v>
      </c>
      <c r="C68" s="1249">
        <v>100</v>
      </c>
      <c r="D68" s="210"/>
      <c r="E68" s="956">
        <f aca="true" t="shared" si="1" ref="E68:E96">SUM(C68:D68)</f>
        <v>100</v>
      </c>
      <c r="F68" s="263"/>
      <c r="I68" s="1767">
        <v>100</v>
      </c>
      <c r="J68" s="1739"/>
      <c r="K68" s="1675"/>
    </row>
    <row r="69" spans="1:11" s="264" customFormat="1" ht="15" customHeight="1">
      <c r="A69" s="259"/>
      <c r="B69" s="1574" t="s">
        <v>774</v>
      </c>
      <c r="C69" s="1249">
        <v>1220</v>
      </c>
      <c r="D69" s="210"/>
      <c r="E69" s="956">
        <f t="shared" si="1"/>
        <v>1220</v>
      </c>
      <c r="F69" s="263"/>
      <c r="I69" s="1767">
        <v>1109</v>
      </c>
      <c r="J69" s="1739">
        <v>1109</v>
      </c>
      <c r="K69" s="1675">
        <v>1109</v>
      </c>
    </row>
    <row r="70" spans="1:11" s="264" customFormat="1" ht="15" customHeight="1">
      <c r="A70" s="259"/>
      <c r="B70" s="1574" t="s">
        <v>686</v>
      </c>
      <c r="C70" s="1249">
        <v>339</v>
      </c>
      <c r="D70" s="210"/>
      <c r="E70" s="956">
        <f t="shared" si="1"/>
        <v>339</v>
      </c>
      <c r="F70" s="263"/>
      <c r="I70" s="1767">
        <v>339</v>
      </c>
      <c r="J70" s="1739">
        <v>339</v>
      </c>
      <c r="K70" s="1675">
        <v>339</v>
      </c>
    </row>
    <row r="71" spans="1:11" s="264" customFormat="1" ht="15" customHeight="1">
      <c r="A71" s="259"/>
      <c r="B71" s="1574" t="s">
        <v>834</v>
      </c>
      <c r="C71" s="1249">
        <v>282</v>
      </c>
      <c r="D71" s="210"/>
      <c r="E71" s="956">
        <f t="shared" si="1"/>
        <v>282</v>
      </c>
      <c r="F71" s="263"/>
      <c r="I71" s="1767">
        <v>282</v>
      </c>
      <c r="J71" s="1739">
        <v>282</v>
      </c>
      <c r="K71" s="1675"/>
    </row>
    <row r="72" spans="1:11" s="264" customFormat="1" ht="15" customHeight="1">
      <c r="A72" s="259"/>
      <c r="B72" s="1574" t="s">
        <v>762</v>
      </c>
      <c r="C72" s="1249">
        <v>58</v>
      </c>
      <c r="D72" s="210"/>
      <c r="E72" s="956">
        <f t="shared" si="1"/>
        <v>58</v>
      </c>
      <c r="F72" s="263"/>
      <c r="I72" s="1767">
        <v>58</v>
      </c>
      <c r="J72" s="1739">
        <v>58</v>
      </c>
      <c r="K72" s="1675"/>
    </row>
    <row r="73" spans="1:11" s="264" customFormat="1" ht="15" customHeight="1">
      <c r="A73" s="259"/>
      <c r="B73" s="1574" t="s">
        <v>687</v>
      </c>
      <c r="C73" s="1249">
        <v>642</v>
      </c>
      <c r="D73" s="210"/>
      <c r="E73" s="956">
        <f t="shared" si="1"/>
        <v>642</v>
      </c>
      <c r="F73" s="263"/>
      <c r="I73" s="1767"/>
      <c r="J73" s="1739"/>
      <c r="K73" s="1675"/>
    </row>
    <row r="74" spans="1:11" s="264" customFormat="1" ht="15" customHeight="1">
      <c r="A74" s="259"/>
      <c r="B74" s="1574" t="s">
        <v>688</v>
      </c>
      <c r="C74" s="1249">
        <v>3106</v>
      </c>
      <c r="D74" s="210"/>
      <c r="E74" s="956">
        <f t="shared" si="1"/>
        <v>3106</v>
      </c>
      <c r="F74" s="263"/>
      <c r="I74" s="1767">
        <v>3106</v>
      </c>
      <c r="J74" s="1739">
        <v>3106</v>
      </c>
      <c r="K74" s="1675">
        <v>3106</v>
      </c>
    </row>
    <row r="75" spans="1:11" s="264" customFormat="1" ht="15" customHeight="1">
      <c r="A75" s="259"/>
      <c r="B75" s="1667" t="s">
        <v>763</v>
      </c>
      <c r="C75" s="1249">
        <v>1133</v>
      </c>
      <c r="D75" s="210"/>
      <c r="E75" s="956">
        <f t="shared" si="1"/>
        <v>1133</v>
      </c>
      <c r="F75" s="263"/>
      <c r="I75" s="1767">
        <v>1133</v>
      </c>
      <c r="J75" s="1739">
        <v>1133</v>
      </c>
      <c r="K75" s="1675">
        <v>1133</v>
      </c>
    </row>
    <row r="76" spans="1:11" s="264" customFormat="1" ht="15" customHeight="1">
      <c r="A76" s="259"/>
      <c r="B76" s="1667" t="s">
        <v>835</v>
      </c>
      <c r="C76" s="1249">
        <v>467</v>
      </c>
      <c r="D76" s="210"/>
      <c r="E76" s="956">
        <f t="shared" si="1"/>
        <v>467</v>
      </c>
      <c r="F76" s="263"/>
      <c r="I76" s="1767"/>
      <c r="J76" s="1739"/>
      <c r="K76" s="1675"/>
    </row>
    <row r="77" spans="1:11" s="264" customFormat="1" ht="15" customHeight="1">
      <c r="A77" s="259"/>
      <c r="B77" s="1580" t="s">
        <v>689</v>
      </c>
      <c r="C77" s="1575"/>
      <c r="D77" s="1579"/>
      <c r="E77" s="1576"/>
      <c r="F77" s="263"/>
      <c r="I77" s="1767"/>
      <c r="J77" s="1739"/>
      <c r="K77" s="1675"/>
    </row>
    <row r="78" spans="1:11" s="264" customFormat="1" ht="15" customHeight="1">
      <c r="A78" s="259"/>
      <c r="B78" s="1574" t="s">
        <v>690</v>
      </c>
      <c r="C78" s="1249">
        <v>736</v>
      </c>
      <c r="D78" s="210"/>
      <c r="E78" s="256">
        <f t="shared" si="1"/>
        <v>736</v>
      </c>
      <c r="F78" s="263"/>
      <c r="I78" s="1767">
        <v>669</v>
      </c>
      <c r="J78" s="1739">
        <v>669</v>
      </c>
      <c r="K78" s="1675">
        <v>669</v>
      </c>
    </row>
    <row r="79" spans="1:11" s="264" customFormat="1" ht="15" customHeight="1">
      <c r="A79" s="259"/>
      <c r="B79" s="1574" t="s">
        <v>764</v>
      </c>
      <c r="C79" s="1249">
        <v>4916</v>
      </c>
      <c r="D79" s="210"/>
      <c r="E79" s="256">
        <f t="shared" si="1"/>
        <v>4916</v>
      </c>
      <c r="F79" s="263"/>
      <c r="I79" s="1767">
        <v>4916</v>
      </c>
      <c r="J79" s="1739"/>
      <c r="K79" s="1675"/>
    </row>
    <row r="80" spans="1:11" s="264" customFormat="1" ht="15" customHeight="1">
      <c r="A80" s="259"/>
      <c r="B80" s="1670" t="s">
        <v>765</v>
      </c>
      <c r="C80" s="1671"/>
      <c r="D80" s="1672"/>
      <c r="E80" s="1576"/>
      <c r="F80" s="263"/>
      <c r="I80" s="1767"/>
      <c r="J80" s="1739"/>
      <c r="K80" s="1675"/>
    </row>
    <row r="81" spans="1:11" s="264" customFormat="1" ht="15" customHeight="1">
      <c r="A81" s="259"/>
      <c r="B81" s="1668" t="s">
        <v>766</v>
      </c>
      <c r="C81" s="1029">
        <v>2678</v>
      </c>
      <c r="D81" s="213"/>
      <c r="E81" s="256">
        <f t="shared" si="1"/>
        <v>2678</v>
      </c>
      <c r="F81" s="263"/>
      <c r="I81" s="1767">
        <v>2678</v>
      </c>
      <c r="J81" s="1739">
        <v>2678</v>
      </c>
      <c r="K81" s="1675"/>
    </row>
    <row r="82" spans="1:11" s="264" customFormat="1" ht="15" customHeight="1">
      <c r="A82" s="259"/>
      <c r="B82" s="1669" t="s">
        <v>767</v>
      </c>
      <c r="C82" s="1029">
        <v>175</v>
      </c>
      <c r="D82" s="213"/>
      <c r="E82" s="256">
        <f t="shared" si="1"/>
        <v>175</v>
      </c>
      <c r="F82" s="263"/>
      <c r="I82" s="1767">
        <v>175</v>
      </c>
      <c r="J82" s="1739"/>
      <c r="K82" s="1675"/>
    </row>
    <row r="83" spans="1:11" s="264" customFormat="1" ht="15" customHeight="1">
      <c r="A83" s="259"/>
      <c r="B83" s="1669" t="s">
        <v>768</v>
      </c>
      <c r="C83" s="1029">
        <v>369</v>
      </c>
      <c r="D83" s="213"/>
      <c r="E83" s="256">
        <f t="shared" si="1"/>
        <v>369</v>
      </c>
      <c r="F83" s="263"/>
      <c r="I83" s="1767">
        <v>369</v>
      </c>
      <c r="J83" s="1739"/>
      <c r="K83" s="1675"/>
    </row>
    <row r="84" spans="1:11" s="264" customFormat="1" ht="15" customHeight="1">
      <c r="A84" s="259"/>
      <c r="B84" s="1670" t="s">
        <v>769</v>
      </c>
      <c r="C84" s="1671"/>
      <c r="D84" s="1672"/>
      <c r="E84" s="1576"/>
      <c r="F84" s="263"/>
      <c r="I84" s="1767"/>
      <c r="J84" s="1739"/>
      <c r="K84" s="1675"/>
    </row>
    <row r="85" spans="1:11" s="264" customFormat="1" ht="15" customHeight="1">
      <c r="A85" s="259"/>
      <c r="B85" s="1669" t="s">
        <v>770</v>
      </c>
      <c r="C85" s="1029"/>
      <c r="D85" s="213"/>
      <c r="E85" s="256">
        <f t="shared" si="1"/>
        <v>0</v>
      </c>
      <c r="F85" s="263"/>
      <c r="I85" s="1767"/>
      <c r="J85" s="1739"/>
      <c r="K85" s="1675"/>
    </row>
    <row r="86" spans="1:11" s="264" customFormat="1" ht="15" customHeight="1">
      <c r="A86" s="259"/>
      <c r="B86" s="1669" t="s">
        <v>771</v>
      </c>
      <c r="C86" s="1029"/>
      <c r="D86" s="213"/>
      <c r="E86" s="256">
        <f t="shared" si="1"/>
        <v>0</v>
      </c>
      <c r="F86" s="263"/>
      <c r="I86" s="1767"/>
      <c r="J86" s="1739"/>
      <c r="K86" s="1675"/>
    </row>
    <row r="87" spans="1:11" s="264" customFormat="1" ht="15" customHeight="1">
      <c r="A87" s="259"/>
      <c r="B87" s="1670" t="s">
        <v>852</v>
      </c>
      <c r="C87" s="1671"/>
      <c r="D87" s="1672"/>
      <c r="E87" s="1576"/>
      <c r="F87" s="263"/>
      <c r="I87" s="1767"/>
      <c r="J87" s="1739"/>
      <c r="K87" s="1675"/>
    </row>
    <row r="88" spans="1:11" s="264" customFormat="1" ht="15" customHeight="1">
      <c r="A88" s="259"/>
      <c r="B88" s="1669" t="s">
        <v>853</v>
      </c>
      <c r="C88" s="1249"/>
      <c r="D88" s="210">
        <v>5636</v>
      </c>
      <c r="E88" s="256">
        <f t="shared" si="1"/>
        <v>5636</v>
      </c>
      <c r="F88" s="263"/>
      <c r="I88" s="1767"/>
      <c r="J88" s="1739"/>
      <c r="K88" s="1675"/>
    </row>
    <row r="89" spans="1:11" s="264" customFormat="1" ht="15" customHeight="1">
      <c r="A89" s="259"/>
      <c r="B89" s="1775" t="s">
        <v>863</v>
      </c>
      <c r="C89" s="1671"/>
      <c r="D89" s="1672"/>
      <c r="E89" s="1576"/>
      <c r="F89" s="263"/>
      <c r="I89" s="1767"/>
      <c r="J89" s="1739"/>
      <c r="K89" s="1675"/>
    </row>
    <row r="90" spans="1:11" s="264" customFormat="1" ht="15" customHeight="1">
      <c r="A90" s="259"/>
      <c r="B90" s="1668" t="s">
        <v>864</v>
      </c>
      <c r="C90" s="1249"/>
      <c r="D90" s="210">
        <v>3120</v>
      </c>
      <c r="E90" s="256">
        <f t="shared" si="1"/>
        <v>3120</v>
      </c>
      <c r="F90" s="263"/>
      <c r="I90" s="1767"/>
      <c r="J90" s="1739"/>
      <c r="K90" s="1675"/>
    </row>
    <row r="91" spans="1:11" s="264" customFormat="1" ht="15" customHeight="1">
      <c r="A91" s="259"/>
      <c r="B91" s="1669" t="s">
        <v>865</v>
      </c>
      <c r="C91" s="1249"/>
      <c r="D91" s="210">
        <v>491</v>
      </c>
      <c r="E91" s="256">
        <f t="shared" si="1"/>
        <v>491</v>
      </c>
      <c r="F91" s="263"/>
      <c r="I91" s="1767"/>
      <c r="J91" s="1739"/>
      <c r="K91" s="1675"/>
    </row>
    <row r="92" spans="1:11" s="264" customFormat="1" ht="15" customHeight="1">
      <c r="A92" s="259"/>
      <c r="B92" s="1669" t="s">
        <v>866</v>
      </c>
      <c r="C92" s="1249"/>
      <c r="D92" s="210">
        <v>109</v>
      </c>
      <c r="E92" s="256">
        <f t="shared" si="1"/>
        <v>109</v>
      </c>
      <c r="F92" s="263"/>
      <c r="I92" s="1767"/>
      <c r="J92" s="1739"/>
      <c r="K92" s="1675"/>
    </row>
    <row r="93" spans="1:11" s="264" customFormat="1" ht="15" customHeight="1">
      <c r="A93" s="259"/>
      <c r="B93" s="1670" t="s">
        <v>867</v>
      </c>
      <c r="C93" s="1671"/>
      <c r="D93" s="1672"/>
      <c r="E93" s="1576"/>
      <c r="F93" s="263"/>
      <c r="I93" s="1767"/>
      <c r="J93" s="1739"/>
      <c r="K93" s="1675"/>
    </row>
    <row r="94" spans="1:11" s="264" customFormat="1" ht="15" customHeight="1">
      <c r="A94" s="259"/>
      <c r="B94" s="1668" t="s">
        <v>868</v>
      </c>
      <c r="C94" s="1249"/>
      <c r="D94" s="210">
        <v>944</v>
      </c>
      <c r="E94" s="256">
        <f t="shared" si="1"/>
        <v>944</v>
      </c>
      <c r="F94" s="263"/>
      <c r="I94" s="1767"/>
      <c r="J94" s="1739"/>
      <c r="K94" s="1675"/>
    </row>
    <row r="95" spans="1:11" s="264" customFormat="1" ht="15" customHeight="1">
      <c r="A95" s="259"/>
      <c r="B95" s="1670" t="s">
        <v>769</v>
      </c>
      <c r="C95" s="1671"/>
      <c r="D95" s="1672"/>
      <c r="E95" s="1576"/>
      <c r="F95" s="263"/>
      <c r="I95" s="1767"/>
      <c r="J95" s="1739"/>
      <c r="K95" s="1675"/>
    </row>
    <row r="96" spans="1:11" s="264" customFormat="1" ht="15" customHeight="1" thickBot="1">
      <c r="A96" s="259"/>
      <c r="B96" s="1668" t="s">
        <v>869</v>
      </c>
      <c r="C96" s="1249"/>
      <c r="D96" s="210">
        <v>457</v>
      </c>
      <c r="E96" s="256">
        <f t="shared" si="1"/>
        <v>457</v>
      </c>
      <c r="F96" s="263"/>
      <c r="I96" s="1767"/>
      <c r="J96" s="1739"/>
      <c r="K96" s="1675"/>
    </row>
    <row r="97" spans="1:11" s="264" customFormat="1" ht="15" customHeight="1" thickBot="1">
      <c r="A97" s="1251" t="s">
        <v>467</v>
      </c>
      <c r="B97" s="1372" t="s">
        <v>531</v>
      </c>
      <c r="C97" s="1252">
        <f>SUM(C63:C96)</f>
        <v>35842</v>
      </c>
      <c r="D97" s="1252">
        <f>SUM(D63:D96)</f>
        <v>9116</v>
      </c>
      <c r="E97" s="1252">
        <f>SUM(E63:E96)</f>
        <v>44958</v>
      </c>
      <c r="F97" s="263"/>
      <c r="I97" s="1767"/>
      <c r="J97" s="1739"/>
      <c r="K97" s="1675"/>
    </row>
    <row r="98" spans="1:11" s="258" customFormat="1" ht="15" customHeight="1" thickBot="1">
      <c r="A98" s="235" t="s">
        <v>53</v>
      </c>
      <c r="B98" s="1366" t="s">
        <v>691</v>
      </c>
      <c r="C98" s="212">
        <f>C33+C35+C39+C46+C48+C50+C52+C54+C56+C62+C97</f>
        <v>170752</v>
      </c>
      <c r="D98" s="212">
        <f>D33+D35+D39+D46+D48+D50+D52+D54+D56+D62+D97</f>
        <v>41298</v>
      </c>
      <c r="E98" s="212">
        <f>E33+E35+E39+E46+E48+E50+E52+E54+E56+E62+E97</f>
        <v>212050</v>
      </c>
      <c r="F98" s="257">
        <f>SUM(C98:D98)</f>
        <v>212050</v>
      </c>
      <c r="I98" s="1767"/>
      <c r="J98" s="1739"/>
      <c r="K98" s="1675"/>
    </row>
    <row r="99" spans="1:11" s="258" customFormat="1" ht="15" customHeight="1" thickBot="1">
      <c r="A99" s="1196"/>
      <c r="B99" s="1582" t="s">
        <v>694</v>
      </c>
      <c r="C99" s="1198">
        <v>12011</v>
      </c>
      <c r="D99" s="1198"/>
      <c r="E99" s="1382">
        <f>SUM(C99:D99)</f>
        <v>12011</v>
      </c>
      <c r="F99" s="257"/>
      <c r="I99" s="1767"/>
      <c r="J99" s="1739"/>
      <c r="K99" s="1675"/>
    </row>
    <row r="100" spans="1:11" s="258" customFormat="1" ht="15" customHeight="1" thickBot="1">
      <c r="A100" s="1194" t="s">
        <v>54</v>
      </c>
      <c r="B100" s="1581" t="s">
        <v>695</v>
      </c>
      <c r="C100" s="1195">
        <f>SUM(C99)</f>
        <v>12011</v>
      </c>
      <c r="D100" s="1195">
        <f>SUM(D99)</f>
        <v>0</v>
      </c>
      <c r="E100" s="1383">
        <f>SUM(E99)</f>
        <v>12011</v>
      </c>
      <c r="F100" s="257"/>
      <c r="I100" s="1767"/>
      <c r="J100" s="1739"/>
      <c r="K100" s="1675"/>
    </row>
    <row r="101" spans="1:11" s="1193" customFormat="1" ht="15" customHeight="1" thickBot="1">
      <c r="A101" s="1196"/>
      <c r="B101" s="1410" t="s">
        <v>608</v>
      </c>
      <c r="C101" s="1198">
        <v>1000</v>
      </c>
      <c r="D101" s="1197">
        <v>-1000</v>
      </c>
      <c r="E101" s="1382">
        <f>SUM(C101:D101)</f>
        <v>0</v>
      </c>
      <c r="F101" s="1192"/>
      <c r="I101" s="1774"/>
      <c r="J101" s="1745"/>
      <c r="K101" s="1681"/>
    </row>
    <row r="102" spans="1:11" s="1193" customFormat="1" ht="15" customHeight="1" thickBot="1">
      <c r="A102" s="1194" t="s">
        <v>118</v>
      </c>
      <c r="B102" s="1366" t="s">
        <v>693</v>
      </c>
      <c r="C102" s="1195">
        <f>SUM(C101)</f>
        <v>1000</v>
      </c>
      <c r="D102" s="1195">
        <f>SUM(D101)</f>
        <v>-1000</v>
      </c>
      <c r="E102" s="1383">
        <f>SUM(E101)</f>
        <v>0</v>
      </c>
      <c r="F102" s="1192"/>
      <c r="I102" s="1774"/>
      <c r="J102" s="1745"/>
      <c r="K102" s="1681"/>
    </row>
    <row r="103" spans="1:11" s="258" customFormat="1" ht="15" customHeight="1" thickBot="1" thickTop="1">
      <c r="A103" s="265" t="s">
        <v>95</v>
      </c>
      <c r="B103" s="1373" t="s">
        <v>692</v>
      </c>
      <c r="C103" s="219">
        <f>C12+C18+C21+C28+C98+C102+C100</f>
        <v>262886</v>
      </c>
      <c r="D103" s="219">
        <f>D12+D18+D21+D28+D98+D102+D100</f>
        <v>39939</v>
      </c>
      <c r="E103" s="219">
        <f>E12+E18+E21+E28+E98+E102+E100</f>
        <v>302825</v>
      </c>
      <c r="F103" s="257">
        <f>SUM(C103:D103)</f>
        <v>302825</v>
      </c>
      <c r="G103" s="257">
        <f>'hivatal5 '!E25</f>
        <v>302825</v>
      </c>
      <c r="H103" s="257">
        <f>F103-G103</f>
        <v>0</v>
      </c>
      <c r="I103" s="1767"/>
      <c r="J103" s="1739"/>
      <c r="K103" s="1675"/>
    </row>
    <row r="104" spans="1:11" s="258" customFormat="1" ht="15" customHeight="1" thickTop="1">
      <c r="A104" s="1959"/>
      <c r="B104" s="1374" t="s">
        <v>320</v>
      </c>
      <c r="C104" s="249">
        <v>45130</v>
      </c>
      <c r="D104" s="260">
        <v>-344</v>
      </c>
      <c r="E104" s="956">
        <f>SUM(C104:D104)</f>
        <v>44786</v>
      </c>
      <c r="F104" s="257"/>
      <c r="I104" s="1767">
        <v>35245</v>
      </c>
      <c r="J104" s="1739">
        <v>34458</v>
      </c>
      <c r="K104" s="1675">
        <v>22505</v>
      </c>
    </row>
    <row r="105" spans="1:11" s="258" customFormat="1" ht="15" customHeight="1">
      <c r="A105" s="1958"/>
      <c r="B105" s="1556" t="s">
        <v>538</v>
      </c>
      <c r="C105" s="261">
        <v>12847</v>
      </c>
      <c r="D105" s="1557"/>
      <c r="E105" s="256">
        <f>SUM(C105:D105)</f>
        <v>12847</v>
      </c>
      <c r="F105" s="257"/>
      <c r="I105" s="1767">
        <v>4287</v>
      </c>
      <c r="J105" s="1739">
        <v>3497</v>
      </c>
      <c r="K105" s="1675">
        <v>3097</v>
      </c>
    </row>
    <row r="106" spans="1:11" s="258" customFormat="1" ht="15" customHeight="1" thickBot="1">
      <c r="A106" s="1960"/>
      <c r="B106" s="1558" t="s">
        <v>675</v>
      </c>
      <c r="C106" s="1338">
        <v>19949</v>
      </c>
      <c r="D106" s="1339">
        <v>3620</v>
      </c>
      <c r="E106" s="256">
        <f>SUM(C106:D106)</f>
        <v>23569</v>
      </c>
      <c r="F106" s="257"/>
      <c r="I106" s="1767">
        <v>18425</v>
      </c>
      <c r="J106" s="1739">
        <v>18425</v>
      </c>
      <c r="K106" s="1675">
        <v>15765</v>
      </c>
    </row>
    <row r="107" spans="1:11" s="266" customFormat="1" ht="15" customHeight="1" thickBot="1">
      <c r="A107" s="234" t="s">
        <v>98</v>
      </c>
      <c r="B107" s="1368" t="s">
        <v>581</v>
      </c>
      <c r="C107" s="262">
        <f>SUM(C104:C106)</f>
        <v>77926</v>
      </c>
      <c r="D107" s="262">
        <f>SUM(D104:D106)</f>
        <v>3276</v>
      </c>
      <c r="E107" s="262">
        <f>SUM(E104:E106)</f>
        <v>81202</v>
      </c>
      <c r="F107" s="699">
        <f>SUM(C107:D107)</f>
        <v>81202</v>
      </c>
      <c r="I107" s="1774"/>
      <c r="J107" s="1745"/>
      <c r="K107" s="1681"/>
    </row>
    <row r="108" spans="1:11" s="258" customFormat="1" ht="15" customHeight="1">
      <c r="A108" s="267"/>
      <c r="B108" s="1374" t="s">
        <v>200</v>
      </c>
      <c r="C108" s="261">
        <v>29586</v>
      </c>
      <c r="D108" s="260">
        <f>2294+3000-542</f>
        <v>4752</v>
      </c>
      <c r="E108" s="956">
        <f>SUM(C108:D108)</f>
        <v>34338</v>
      </c>
      <c r="F108" s="257"/>
      <c r="I108" s="1767">
        <v>23996</v>
      </c>
      <c r="J108" s="1739">
        <v>23996</v>
      </c>
      <c r="K108" s="1675">
        <v>18572</v>
      </c>
    </row>
    <row r="109" spans="1:11" s="258" customFormat="1" ht="15" customHeight="1">
      <c r="A109" s="267"/>
      <c r="B109" s="1374" t="s">
        <v>539</v>
      </c>
      <c r="C109" s="261">
        <v>30349</v>
      </c>
      <c r="D109" s="260"/>
      <c r="E109" s="956">
        <f>SUM(C109:D109)</f>
        <v>30349</v>
      </c>
      <c r="F109" s="257"/>
      <c r="I109" s="1767">
        <v>349</v>
      </c>
      <c r="J109" s="1739">
        <v>349</v>
      </c>
      <c r="K109" s="1675">
        <v>349</v>
      </c>
    </row>
    <row r="110" spans="1:11" s="258" customFormat="1" ht="15" customHeight="1">
      <c r="A110" s="267"/>
      <c r="B110" s="1682" t="s">
        <v>773</v>
      </c>
      <c r="C110" s="261">
        <v>866</v>
      </c>
      <c r="D110" s="260">
        <v>439</v>
      </c>
      <c r="E110" s="956">
        <f>SUM(C110:D110)</f>
        <v>1305</v>
      </c>
      <c r="F110" s="257"/>
      <c r="I110" s="1767">
        <v>710</v>
      </c>
      <c r="J110" s="1739">
        <v>710</v>
      </c>
      <c r="K110" s="1675">
        <v>500</v>
      </c>
    </row>
    <row r="111" spans="1:11" s="258" customFormat="1" ht="15" customHeight="1" thickBot="1">
      <c r="A111" s="267"/>
      <c r="B111" s="1374" t="s">
        <v>201</v>
      </c>
      <c r="C111" s="261">
        <v>11220</v>
      </c>
      <c r="D111" s="260">
        <f>30000-1074</f>
        <v>28926</v>
      </c>
      <c r="E111" s="956">
        <f>SUM(C111:D111)</f>
        <v>40146</v>
      </c>
      <c r="F111" s="257"/>
      <c r="I111" s="1767">
        <v>222</v>
      </c>
      <c r="J111" s="1739">
        <v>222</v>
      </c>
      <c r="K111" s="1675"/>
    </row>
    <row r="112" spans="1:11" s="268" customFormat="1" ht="15" customHeight="1" thickBot="1">
      <c r="A112" s="250" t="s">
        <v>99</v>
      </c>
      <c r="B112" s="1368" t="s">
        <v>580</v>
      </c>
      <c r="C112" s="1053">
        <f>SUM(C108:C111)</f>
        <v>72021</v>
      </c>
      <c r="D112" s="1053">
        <f>SUM(D108:D111)</f>
        <v>34117</v>
      </c>
      <c r="E112" s="1055">
        <f>SUM(E108:E111)</f>
        <v>106138</v>
      </c>
      <c r="F112" s="248">
        <f>SUM(C112:D112)</f>
        <v>106138</v>
      </c>
      <c r="I112" s="1768"/>
      <c r="J112" s="1740"/>
      <c r="K112" s="1674"/>
    </row>
    <row r="113" spans="1:11" s="268" customFormat="1" ht="15" customHeight="1" thickBot="1">
      <c r="A113" s="250" t="s">
        <v>100</v>
      </c>
      <c r="B113" s="1368" t="s">
        <v>789</v>
      </c>
      <c r="C113" s="1053"/>
      <c r="D113" s="1053">
        <v>2060</v>
      </c>
      <c r="E113" s="1056">
        <f>SUM(C113:D113)</f>
        <v>2060</v>
      </c>
      <c r="F113" s="248"/>
      <c r="I113" s="1768"/>
      <c r="J113" s="1740"/>
      <c r="K113" s="1674"/>
    </row>
    <row r="114" spans="1:11" s="268" customFormat="1" ht="15" customHeight="1" thickBot="1">
      <c r="A114" s="118" t="s">
        <v>101</v>
      </c>
      <c r="B114" s="1368" t="s">
        <v>657</v>
      </c>
      <c r="C114" s="1504">
        <v>500</v>
      </c>
      <c r="D114" s="251"/>
      <c r="E114" s="1056">
        <f>SUM(C114:D114)</f>
        <v>500</v>
      </c>
      <c r="F114" s="248"/>
      <c r="I114" s="1768"/>
      <c r="J114" s="1740"/>
      <c r="K114" s="1674"/>
    </row>
    <row r="115" spans="1:11" s="268" customFormat="1" ht="15" customHeight="1" thickBot="1">
      <c r="A115" s="1559" t="s">
        <v>192</v>
      </c>
      <c r="B115" s="1560" t="s">
        <v>676</v>
      </c>
      <c r="C115" s="1561">
        <v>34925</v>
      </c>
      <c r="D115" s="1562"/>
      <c r="E115" s="1563">
        <f>SUM(C115:D115)</f>
        <v>34925</v>
      </c>
      <c r="F115" s="248"/>
      <c r="I115" s="1768">
        <v>34832</v>
      </c>
      <c r="J115" s="1740">
        <v>34832</v>
      </c>
      <c r="K115" s="1674">
        <v>34832</v>
      </c>
    </row>
    <row r="116" spans="1:8" ht="15" customHeight="1" thickBot="1" thickTop="1">
      <c r="A116" s="1179" t="s">
        <v>102</v>
      </c>
      <c r="B116" s="1375" t="s">
        <v>790</v>
      </c>
      <c r="C116" s="1054">
        <f>+C107+C112+C114+C115+C113</f>
        <v>185372</v>
      </c>
      <c r="D116" s="1054">
        <f>+D107+D112+D114+D115+D113</f>
        <v>39453</v>
      </c>
      <c r="E116" s="1054">
        <f>+E107+E112+E114+E115+E113</f>
        <v>224825</v>
      </c>
      <c r="F116" s="111">
        <f>SUM(C116:D116)</f>
        <v>224825</v>
      </c>
      <c r="G116" s="111">
        <f>hivatal4!N25</f>
        <v>224825</v>
      </c>
      <c r="H116" s="111">
        <f>F116-G116</f>
        <v>0</v>
      </c>
    </row>
    <row r="117" spans="1:9" ht="15" customHeight="1" thickBot="1" thickTop="1">
      <c r="A117" s="1732" t="s">
        <v>105</v>
      </c>
      <c r="B117" s="1733" t="s">
        <v>705</v>
      </c>
      <c r="C117" s="1734">
        <f>hivatal1!C25</f>
        <v>1000</v>
      </c>
      <c r="D117" s="1734">
        <f>hivatal1!D25</f>
        <v>27023</v>
      </c>
      <c r="E117" s="1734">
        <f>SUM(C117:D117)</f>
        <v>28023</v>
      </c>
      <c r="F117" s="111"/>
      <c r="G117" s="111"/>
      <c r="H117" s="111"/>
      <c r="I117" s="1768">
        <v>224</v>
      </c>
    </row>
    <row r="118" spans="1:9" ht="15" customHeight="1" thickBot="1" thickTop="1">
      <c r="A118" s="1179" t="s">
        <v>106</v>
      </c>
      <c r="B118" s="1733" t="s">
        <v>677</v>
      </c>
      <c r="C118" s="1734">
        <f>hivatal1!I25</f>
        <v>37981</v>
      </c>
      <c r="D118" s="1734">
        <f>hivatal1!J25</f>
        <v>-23310</v>
      </c>
      <c r="E118" s="1750">
        <f>SUM(C118:D118)</f>
        <v>14671</v>
      </c>
      <c r="F118" s="111"/>
      <c r="G118" s="111"/>
      <c r="H118" s="111"/>
      <c r="I118" s="1768">
        <v>14671</v>
      </c>
    </row>
    <row r="119" spans="1:9" ht="15" customHeight="1" thickBot="1" thickTop="1">
      <c r="A119" s="1179" t="s">
        <v>107</v>
      </c>
      <c r="B119" s="1375" t="s">
        <v>844</v>
      </c>
      <c r="C119" s="1564">
        <f>hivatal6!C25</f>
        <v>56203</v>
      </c>
      <c r="D119" s="1564">
        <f>hivatal6!D25</f>
        <v>-7200</v>
      </c>
      <c r="E119" s="1750">
        <f>SUM(C119:D119)</f>
        <v>49003</v>
      </c>
      <c r="F119" s="111"/>
      <c r="G119" s="111"/>
      <c r="H119" s="111"/>
      <c r="I119" s="1768">
        <v>31078</v>
      </c>
    </row>
    <row r="120" spans="1:7" ht="15" customHeight="1" thickBot="1" thickTop="1">
      <c r="A120" s="252" t="s">
        <v>120</v>
      </c>
      <c r="B120" s="1376" t="s">
        <v>843</v>
      </c>
      <c r="C120" s="253">
        <f>C103+C116+C118+C117+C119</f>
        <v>543442</v>
      </c>
      <c r="D120" s="253">
        <f>D103+D116+D118+D117+D119</f>
        <v>75905</v>
      </c>
      <c r="E120" s="253">
        <f>E103+E116+E118+E117+E119</f>
        <v>619347</v>
      </c>
      <c r="F120" s="111">
        <f>SUM(C120:D120)</f>
        <v>619347</v>
      </c>
      <c r="G120" s="111"/>
    </row>
    <row r="121" spans="1:5" ht="15" customHeight="1" thickBot="1" thickTop="1">
      <c r="A121" s="246" t="s">
        <v>121</v>
      </c>
      <c r="B121" s="1377" t="s">
        <v>90</v>
      </c>
      <c r="C121" s="247">
        <f>'önállóan gazd.'!O25</f>
        <v>18646</v>
      </c>
      <c r="D121" s="247">
        <f>'önállóan gazd.'!P25</f>
        <v>233</v>
      </c>
      <c r="E121" s="1384">
        <f>'önállóan gazd.'!Q25</f>
        <v>18879</v>
      </c>
    </row>
    <row r="122" spans="1:11" ht="15" customHeight="1" thickBot="1" thickTop="1">
      <c r="A122" s="135"/>
      <c r="B122" s="1378" t="s">
        <v>220</v>
      </c>
      <c r="C122" s="116">
        <f>SUM(C120:C121)</f>
        <v>562088</v>
      </c>
      <c r="D122" s="116">
        <f>SUM(D120:D121)</f>
        <v>76138</v>
      </c>
      <c r="E122" s="1385">
        <f>SUM(E120:E121)</f>
        <v>638226</v>
      </c>
      <c r="F122" s="111">
        <f>SUM(E120:E121)</f>
        <v>638226</v>
      </c>
      <c r="G122" s="111">
        <f>hivatal9!K25</f>
        <v>638226</v>
      </c>
      <c r="H122" s="111">
        <f>E122-G122</f>
        <v>0</v>
      </c>
      <c r="I122" s="1768">
        <f>SUM(I7:I119)</f>
        <v>283028</v>
      </c>
      <c r="J122" s="1740">
        <f>SUM(J7:J118)</f>
        <v>208789</v>
      </c>
      <c r="K122" s="1674">
        <f>SUM(K8:K121)</f>
        <v>166167</v>
      </c>
    </row>
    <row r="123" ht="13.5" thickTop="1"/>
  </sheetData>
  <sheetProtection/>
  <mergeCells count="3">
    <mergeCell ref="A3:E3"/>
    <mergeCell ref="A63:A66"/>
    <mergeCell ref="A104:A106"/>
  </mergeCells>
  <printOptions horizontalCentered="1" verticalCentered="1"/>
  <pageMargins left="0.4330708661417323" right="0.4330708661417323" top="0.2362204724409449" bottom="0.15748031496062992" header="0.1968503937007874" footer="0.15748031496062992"/>
  <pageSetup fitToHeight="2" horizontalDpi="600" verticalDpi="600" orientation="portrait" paperSize="9" scale="55" r:id="rId1"/>
  <headerFooter>
    <oddHeader>&amp;R7. melléklet a 3/2021.(II.23.)számú
Önkormányzati rendelethez
&amp;P. oldal</oddHeader>
    <oddFooter>&amp;L&amp;F&amp;C&amp;D, &amp;T&amp;R&amp;A</oddFooter>
  </headerFooter>
  <rowBreaks count="1" manualBreakCount="1">
    <brk id="76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7"/>
  <sheetViews>
    <sheetView showGridLines="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3" sqref="I63"/>
    </sheetView>
  </sheetViews>
  <sheetFormatPr defaultColWidth="9.00390625" defaultRowHeight="12.75"/>
  <cols>
    <col min="1" max="1" width="5.375" style="995" customWidth="1"/>
    <col min="2" max="2" width="103.125" style="1602" customWidth="1"/>
    <col min="3" max="3" width="12.375" style="995" customWidth="1"/>
    <col min="4" max="4" width="12.375" style="996" customWidth="1"/>
    <col min="5" max="5" width="12.375" style="997" customWidth="1"/>
    <col min="6" max="6" width="12.625" style="94" customWidth="1"/>
    <col min="7" max="7" width="11.375" style="94" bestFit="1" customWidth="1"/>
    <col min="8" max="8" width="12.375" style="94" customWidth="1"/>
    <col min="9" max="9" width="10.375" style="1768" customWidth="1"/>
    <col min="10" max="10" width="11.125" style="1740" customWidth="1"/>
    <col min="11" max="11" width="11.625" style="1674" customWidth="1"/>
    <col min="12" max="16384" width="9.375" style="94" customWidth="1"/>
  </cols>
  <sheetData>
    <row r="1" ht="12.75">
      <c r="E1" s="109"/>
    </row>
    <row r="2" ht="12.75">
      <c r="E2" s="109"/>
    </row>
    <row r="3" spans="1:6" ht="18.75">
      <c r="A3" s="1962" t="s">
        <v>573</v>
      </c>
      <c r="B3" s="1962"/>
      <c r="C3" s="1962"/>
      <c r="D3" s="1962"/>
      <c r="E3" s="1962"/>
      <c r="F3" s="969"/>
    </row>
    <row r="4" spans="1:6" ht="15.75">
      <c r="A4" s="1963" t="s">
        <v>589</v>
      </c>
      <c r="B4" s="1963"/>
      <c r="C4" s="1963"/>
      <c r="D4" s="1963"/>
      <c r="E4" s="1963"/>
      <c r="F4" s="969"/>
    </row>
    <row r="5" spans="1:6" ht="13.5" thickBot="1">
      <c r="A5" s="966"/>
      <c r="B5" s="1603"/>
      <c r="C5" s="967"/>
      <c r="D5" s="968"/>
      <c r="E5" s="1161" t="s">
        <v>134</v>
      </c>
      <c r="F5" s="969"/>
    </row>
    <row r="6" spans="1:11" ht="26.25" thickBot="1">
      <c r="A6" s="112" t="s">
        <v>151</v>
      </c>
      <c r="B6" s="1604"/>
      <c r="C6" s="1523" t="s">
        <v>664</v>
      </c>
      <c r="D6" s="132" t="s">
        <v>130</v>
      </c>
      <c r="E6" s="133" t="s">
        <v>660</v>
      </c>
      <c r="F6" s="969"/>
      <c r="I6" s="1770" t="s">
        <v>859</v>
      </c>
      <c r="J6" s="1742" t="s">
        <v>836</v>
      </c>
      <c r="K6" s="1673" t="s">
        <v>772</v>
      </c>
    </row>
    <row r="7" spans="1:6" ht="14.25" thickBot="1" thickTop="1">
      <c r="A7" s="970"/>
      <c r="B7" s="1605">
        <v>1</v>
      </c>
      <c r="C7" s="1587">
        <v>2</v>
      </c>
      <c r="D7" s="1588">
        <v>3</v>
      </c>
      <c r="E7" s="1589">
        <v>4</v>
      </c>
      <c r="F7" s="969"/>
    </row>
    <row r="8" spans="1:11" s="700" customFormat="1" ht="12.75">
      <c r="A8" s="955"/>
      <c r="B8" s="1606" t="s">
        <v>542</v>
      </c>
      <c r="C8" s="1029">
        <v>12045</v>
      </c>
      <c r="D8" s="1508">
        <v>2517</v>
      </c>
      <c r="E8" s="214">
        <f>SUM(C8:D8)</f>
        <v>14562</v>
      </c>
      <c r="F8" s="1026"/>
      <c r="I8" s="1767">
        <v>2457</v>
      </c>
      <c r="J8" s="1739">
        <v>1695</v>
      </c>
      <c r="K8" s="1675"/>
    </row>
    <row r="9" spans="1:11" s="700" customFormat="1" ht="12.75">
      <c r="A9" s="955"/>
      <c r="B9" s="1607" t="s">
        <v>523</v>
      </c>
      <c r="C9" s="1029">
        <v>700</v>
      </c>
      <c r="D9" s="1508"/>
      <c r="E9" s="215">
        <f aca="true" t="shared" si="0" ref="E9:E18">SUM(C9:D9)</f>
        <v>700</v>
      </c>
      <c r="F9" s="1026"/>
      <c r="I9" s="1767">
        <v>620</v>
      </c>
      <c r="J9" s="1739"/>
      <c r="K9" s="1675"/>
    </row>
    <row r="10" spans="1:11" s="700" customFormat="1" ht="12.75">
      <c r="A10" s="955"/>
      <c r="B10" s="1608" t="s">
        <v>543</v>
      </c>
      <c r="C10" s="1029">
        <v>20167</v>
      </c>
      <c r="D10" s="1508">
        <v>8758</v>
      </c>
      <c r="E10" s="215">
        <f t="shared" si="0"/>
        <v>28925</v>
      </c>
      <c r="F10" s="1026"/>
      <c r="I10" s="1767">
        <v>15775</v>
      </c>
      <c r="J10" s="1739">
        <v>10552</v>
      </c>
      <c r="K10" s="1675">
        <v>5552</v>
      </c>
    </row>
    <row r="11" spans="1:11" s="700" customFormat="1" ht="12.75">
      <c r="A11" s="955"/>
      <c r="B11" s="1609" t="s">
        <v>551</v>
      </c>
      <c r="C11" s="1249">
        <v>230</v>
      </c>
      <c r="D11" s="1509"/>
      <c r="E11" s="215">
        <f t="shared" si="0"/>
        <v>230</v>
      </c>
      <c r="F11" s="1026"/>
      <c r="I11" s="1767"/>
      <c r="J11" s="1739"/>
      <c r="K11" s="1675"/>
    </row>
    <row r="12" spans="1:11" s="700" customFormat="1" ht="12.75">
      <c r="A12" s="955"/>
      <c r="B12" s="1403" t="s">
        <v>631</v>
      </c>
      <c r="C12" s="1249">
        <v>30000</v>
      </c>
      <c r="D12" s="1509">
        <v>30000</v>
      </c>
      <c r="E12" s="215">
        <f t="shared" si="0"/>
        <v>60000</v>
      </c>
      <c r="F12" s="1026"/>
      <c r="I12" s="1767"/>
      <c r="J12" s="1739"/>
      <c r="K12" s="1675"/>
    </row>
    <row r="13" spans="1:11" s="700" customFormat="1" ht="12.75">
      <c r="A13" s="955"/>
      <c r="B13" s="1403" t="s">
        <v>710</v>
      </c>
      <c r="C13" s="1249">
        <v>15</v>
      </c>
      <c r="D13" s="1509"/>
      <c r="E13" s="215">
        <f t="shared" si="0"/>
        <v>15</v>
      </c>
      <c r="F13" s="1026"/>
      <c r="I13" s="1767"/>
      <c r="J13" s="1739"/>
      <c r="K13" s="1675"/>
    </row>
    <row r="14" spans="1:11" s="700" customFormat="1" ht="12.75">
      <c r="A14" s="955"/>
      <c r="B14" s="1566" t="s">
        <v>754</v>
      </c>
      <c r="C14" s="1249">
        <v>0</v>
      </c>
      <c r="D14" s="1509"/>
      <c r="E14" s="215">
        <f t="shared" si="0"/>
        <v>0</v>
      </c>
      <c r="F14" s="1026"/>
      <c r="I14" s="1767"/>
      <c r="J14" s="1739"/>
      <c r="K14" s="1675"/>
    </row>
    <row r="15" spans="1:11" s="700" customFormat="1" ht="12.75">
      <c r="A15" s="955"/>
      <c r="B15" s="1403" t="s">
        <v>757</v>
      </c>
      <c r="C15" s="1249">
        <v>128500</v>
      </c>
      <c r="D15" s="1509"/>
      <c r="E15" s="215">
        <f t="shared" si="0"/>
        <v>128500</v>
      </c>
      <c r="F15" s="1026"/>
      <c r="I15" s="1767">
        <v>3645</v>
      </c>
      <c r="J15" s="1739"/>
      <c r="K15" s="1675"/>
    </row>
    <row r="16" spans="1:11" s="700" customFormat="1" ht="12.75">
      <c r="A16" s="955"/>
      <c r="B16" s="1664" t="s">
        <v>758</v>
      </c>
      <c r="C16" s="1249">
        <v>38</v>
      </c>
      <c r="D16" s="1509"/>
      <c r="E16" s="215">
        <f t="shared" si="0"/>
        <v>38</v>
      </c>
      <c r="F16" s="1026"/>
      <c r="I16" s="1767">
        <v>38</v>
      </c>
      <c r="J16" s="1739">
        <v>38</v>
      </c>
      <c r="K16" s="1675">
        <v>38</v>
      </c>
    </row>
    <row r="17" spans="1:11" s="700" customFormat="1" ht="12.75">
      <c r="A17" s="955"/>
      <c r="B17" s="1403" t="s">
        <v>759</v>
      </c>
      <c r="C17" s="1249">
        <v>921</v>
      </c>
      <c r="D17" s="1509"/>
      <c r="E17" s="215">
        <f t="shared" si="0"/>
        <v>921</v>
      </c>
      <c r="F17" s="1026"/>
      <c r="I17" s="1767">
        <v>921</v>
      </c>
      <c r="J17" s="1739">
        <v>921</v>
      </c>
      <c r="K17" s="1675"/>
    </row>
    <row r="18" spans="1:11" s="700" customFormat="1" ht="13.5" thickBot="1">
      <c r="A18" s="955"/>
      <c r="B18" s="1726" t="s">
        <v>813</v>
      </c>
      <c r="C18" s="1219">
        <v>6970</v>
      </c>
      <c r="D18" s="1590"/>
      <c r="E18" s="1735">
        <f t="shared" si="0"/>
        <v>6970</v>
      </c>
      <c r="F18" s="1026"/>
      <c r="I18" s="1767"/>
      <c r="J18" s="1739"/>
      <c r="K18" s="1675"/>
    </row>
    <row r="19" spans="1:6" ht="13.5" thickBot="1">
      <c r="A19" s="972">
        <v>1</v>
      </c>
      <c r="B19" s="1610" t="s">
        <v>198</v>
      </c>
      <c r="C19" s="1250">
        <f>SUM(C8:C18)</f>
        <v>199586</v>
      </c>
      <c r="D19" s="1250">
        <f>SUM(D8:D18)</f>
        <v>41275</v>
      </c>
      <c r="E19" s="1250">
        <f>SUM(E8:E18)</f>
        <v>240861</v>
      </c>
      <c r="F19" s="973">
        <f>SUM(C19:D19)</f>
        <v>240861</v>
      </c>
    </row>
    <row r="20" spans="1:11" s="268" customFormat="1" ht="13.5" thickBot="1">
      <c r="A20" s="1355"/>
      <c r="B20" s="1591" t="s">
        <v>516</v>
      </c>
      <c r="C20" s="1030">
        <v>17604</v>
      </c>
      <c r="D20" s="1303">
        <v>-1309</v>
      </c>
      <c r="E20" s="1216">
        <f>SUM(C20:D20)</f>
        <v>16295</v>
      </c>
      <c r="F20" s="971"/>
      <c r="I20" s="1768">
        <v>6172</v>
      </c>
      <c r="J20" s="1740">
        <v>6172</v>
      </c>
      <c r="K20" s="1674">
        <v>178</v>
      </c>
    </row>
    <row r="21" spans="1:11" s="268" customFormat="1" ht="13.5" thickBot="1">
      <c r="A21" s="1217">
        <v>2</v>
      </c>
      <c r="B21" s="1611" t="s">
        <v>515</v>
      </c>
      <c r="C21" s="1333">
        <f>SUM(C20:C20)</f>
        <v>17604</v>
      </c>
      <c r="D21" s="1334">
        <f>SUM(D20)</f>
        <v>-1309</v>
      </c>
      <c r="E21" s="1333">
        <f>SUM(E20:E20)</f>
        <v>16295</v>
      </c>
      <c r="F21" s="971"/>
      <c r="I21" s="1768"/>
      <c r="J21" s="1740"/>
      <c r="K21" s="1674"/>
    </row>
    <row r="22" spans="1:11" s="233" customFormat="1" ht="12.75">
      <c r="A22" s="1263"/>
      <c r="B22" s="1612" t="s">
        <v>505</v>
      </c>
      <c r="C22" s="1313">
        <v>1031</v>
      </c>
      <c r="D22" s="1306"/>
      <c r="E22" s="217">
        <f>SUM(C22:D22)</f>
        <v>1031</v>
      </c>
      <c r="F22" s="939"/>
      <c r="I22" s="1771"/>
      <c r="J22" s="1743"/>
      <c r="K22" s="1676"/>
    </row>
    <row r="23" spans="1:11" s="233" customFormat="1" ht="13.5" thickBot="1">
      <c r="A23" s="1263"/>
      <c r="B23" s="1613" t="s">
        <v>548</v>
      </c>
      <c r="C23" s="1356"/>
      <c r="D23" s="1305"/>
      <c r="E23" s="217">
        <f>SUM(C23:D23)</f>
        <v>0</v>
      </c>
      <c r="F23" s="939"/>
      <c r="I23" s="1771"/>
      <c r="J23" s="1743"/>
      <c r="K23" s="1676"/>
    </row>
    <row r="24" spans="1:11" s="268" customFormat="1" ht="13.5" thickBot="1">
      <c r="A24" s="972">
        <v>3</v>
      </c>
      <c r="B24" s="1614" t="s">
        <v>509</v>
      </c>
      <c r="C24" s="212">
        <f>SUM(C22:C23)</f>
        <v>1031</v>
      </c>
      <c r="D24" s="1302">
        <f>SUM(D22:D23)</f>
        <v>0</v>
      </c>
      <c r="E24" s="212">
        <f>SUM(E22:E23)</f>
        <v>1031</v>
      </c>
      <c r="F24" s="971">
        <f>SUM(C24:D24)</f>
        <v>1031</v>
      </c>
      <c r="I24" s="1768"/>
      <c r="J24" s="1740"/>
      <c r="K24" s="1674"/>
    </row>
    <row r="25" spans="1:11" s="268" customFormat="1" ht="12.75">
      <c r="A25" s="1355"/>
      <c r="B25" s="1615" t="s">
        <v>517</v>
      </c>
      <c r="C25" s="1218">
        <v>500</v>
      </c>
      <c r="D25" s="1304">
        <v>840</v>
      </c>
      <c r="E25" s="1216">
        <f>SUM(C25:D25)</f>
        <v>1340</v>
      </c>
      <c r="F25" s="971"/>
      <c r="I25" s="1768"/>
      <c r="J25" s="1740"/>
      <c r="K25" s="1674"/>
    </row>
    <row r="26" spans="1:11" s="268" customFormat="1" ht="13.5" thickBot="1">
      <c r="A26" s="1355"/>
      <c r="B26" s="1616" t="s">
        <v>518</v>
      </c>
      <c r="C26" s="1219"/>
      <c r="D26" s="1303"/>
      <c r="E26" s="1216">
        <f>SUM(C26:D26)</f>
        <v>0</v>
      </c>
      <c r="F26" s="971"/>
      <c r="I26" s="1768"/>
      <c r="J26" s="1740"/>
      <c r="K26" s="1674"/>
    </row>
    <row r="27" spans="1:11" s="268" customFormat="1" ht="13.5" thickBot="1">
      <c r="A27" s="972">
        <v>4</v>
      </c>
      <c r="B27" s="1617" t="s">
        <v>160</v>
      </c>
      <c r="C27" s="212">
        <f>SUM(C25:C26)</f>
        <v>500</v>
      </c>
      <c r="D27" s="1302">
        <f>SUM(D25:D26)</f>
        <v>840</v>
      </c>
      <c r="E27" s="212">
        <f>SUM(E25:E26)</f>
        <v>1340</v>
      </c>
      <c r="F27" s="971"/>
      <c r="I27" s="1768"/>
      <c r="J27" s="1740"/>
      <c r="K27" s="1674"/>
    </row>
    <row r="28" spans="1:11" s="268" customFormat="1" ht="13.5" thickBot="1">
      <c r="A28" s="1362"/>
      <c r="B28" s="1618" t="s">
        <v>450</v>
      </c>
      <c r="C28" s="1220">
        <v>31499</v>
      </c>
      <c r="D28" s="1024"/>
      <c r="E28" s="211">
        <f>SUM(C28:D28)</f>
        <v>31499</v>
      </c>
      <c r="F28" s="971"/>
      <c r="I28" s="1768">
        <v>9274</v>
      </c>
      <c r="J28" s="1740">
        <v>9274</v>
      </c>
      <c r="K28" s="1674">
        <v>9273</v>
      </c>
    </row>
    <row r="29" spans="1:11" s="268" customFormat="1" ht="13.5" thickBot="1">
      <c r="A29" s="972">
        <v>5</v>
      </c>
      <c r="B29" s="1617" t="s">
        <v>324</v>
      </c>
      <c r="C29" s="212">
        <f>SUM(C28:C28)</f>
        <v>31499</v>
      </c>
      <c r="D29" s="1302">
        <f>SUM(D28:D28)</f>
        <v>0</v>
      </c>
      <c r="E29" s="212">
        <f>SUM(E28:E28)</f>
        <v>31499</v>
      </c>
      <c r="F29" s="971">
        <f>SUM(C29:D29)</f>
        <v>31499</v>
      </c>
      <c r="I29" s="1768"/>
      <c r="J29" s="1740"/>
      <c r="K29" s="1677"/>
    </row>
    <row r="30" spans="1:11" s="268" customFormat="1" ht="12.75">
      <c r="A30" s="1964"/>
      <c r="B30" s="1619" t="s">
        <v>451</v>
      </c>
      <c r="C30" s="1412">
        <v>16687</v>
      </c>
      <c r="D30" s="1306">
        <v>-85</v>
      </c>
      <c r="E30" s="214">
        <f>SUM(C30:D30)</f>
        <v>16602</v>
      </c>
      <c r="F30" s="971"/>
      <c r="I30" s="1768">
        <v>7546</v>
      </c>
      <c r="J30" s="1740">
        <v>6387</v>
      </c>
      <c r="K30" s="1677">
        <v>4330</v>
      </c>
    </row>
    <row r="31" spans="1:11" s="268" customFormat="1" ht="12.75">
      <c r="A31" s="1964"/>
      <c r="B31" s="1591" t="s">
        <v>482</v>
      </c>
      <c r="C31" s="1412">
        <v>2540</v>
      </c>
      <c r="D31" s="1306">
        <v>356</v>
      </c>
      <c r="E31" s="214">
        <f>SUM(C31:D31)</f>
        <v>2896</v>
      </c>
      <c r="F31" s="971"/>
      <c r="I31" s="1768">
        <v>635</v>
      </c>
      <c r="J31" s="1740">
        <v>635</v>
      </c>
      <c r="K31" s="1677"/>
    </row>
    <row r="32" spans="1:11" s="268" customFormat="1" ht="12.75" customHeight="1">
      <c r="A32" s="1964"/>
      <c r="B32" s="1402" t="s">
        <v>711</v>
      </c>
      <c r="C32" s="1653"/>
      <c r="D32" s="1654"/>
      <c r="E32" s="1601"/>
      <c r="F32" s="971"/>
      <c r="I32" s="1768"/>
      <c r="J32" s="1740"/>
      <c r="K32" s="1677"/>
    </row>
    <row r="33" spans="1:11" s="268" customFormat="1" ht="12.75">
      <c r="A33" s="1964"/>
      <c r="B33" s="1651" t="s">
        <v>718</v>
      </c>
      <c r="C33" s="1412">
        <v>1391</v>
      </c>
      <c r="D33" s="1765">
        <v>-1391</v>
      </c>
      <c r="E33" s="214">
        <f>SUM(C33:D33)</f>
        <v>0</v>
      </c>
      <c r="F33" s="971"/>
      <c r="I33" s="1768"/>
      <c r="J33" s="1740"/>
      <c r="K33" s="1677"/>
    </row>
    <row r="34" spans="1:11" s="268" customFormat="1" ht="12.75">
      <c r="A34" s="1964"/>
      <c r="B34" s="1651" t="s">
        <v>719</v>
      </c>
      <c r="C34" s="1412">
        <v>1384</v>
      </c>
      <c r="D34" s="1765">
        <v>-1384</v>
      </c>
      <c r="E34" s="214">
        <f>SUM(C34:D34)</f>
        <v>0</v>
      </c>
      <c r="F34" s="971"/>
      <c r="I34" s="1768"/>
      <c r="J34" s="1740"/>
      <c r="K34" s="1677"/>
    </row>
    <row r="35" spans="1:11" s="268" customFormat="1" ht="12.75">
      <c r="A35" s="1964"/>
      <c r="B35" s="1651" t="s">
        <v>723</v>
      </c>
      <c r="C35" s="1412">
        <v>400</v>
      </c>
      <c r="D35" s="1765">
        <v>-400</v>
      </c>
      <c r="E35" s="214">
        <f aca="true" t="shared" si="1" ref="E35:E40">SUM(C35:D35)</f>
        <v>0</v>
      </c>
      <c r="F35" s="971"/>
      <c r="I35" s="1768"/>
      <c r="J35" s="1740"/>
      <c r="K35" s="1677"/>
    </row>
    <row r="36" spans="1:11" s="268" customFormat="1" ht="12.75" customHeight="1">
      <c r="A36" s="1964"/>
      <c r="B36" s="1651" t="s">
        <v>720</v>
      </c>
      <c r="C36" s="1412">
        <v>1472</v>
      </c>
      <c r="D36" s="1765">
        <v>-1472</v>
      </c>
      <c r="E36" s="214">
        <f t="shared" si="1"/>
        <v>0</v>
      </c>
      <c r="F36" s="971"/>
      <c r="I36" s="1768"/>
      <c r="J36" s="1740"/>
      <c r="K36" s="1677"/>
    </row>
    <row r="37" spans="1:11" s="268" customFormat="1" ht="12.75">
      <c r="A37" s="1964"/>
      <c r="B37" s="1651" t="s">
        <v>721</v>
      </c>
      <c r="C37" s="1412">
        <v>1730</v>
      </c>
      <c r="D37" s="1765">
        <v>-1730</v>
      </c>
      <c r="E37" s="214">
        <f t="shared" si="1"/>
        <v>0</v>
      </c>
      <c r="F37" s="971"/>
      <c r="I37" s="1768"/>
      <c r="J37" s="1740"/>
      <c r="K37" s="1677"/>
    </row>
    <row r="38" spans="1:11" s="268" customFormat="1" ht="12.75">
      <c r="A38" s="1964"/>
      <c r="B38" s="1651" t="s">
        <v>722</v>
      </c>
      <c r="C38" s="1412">
        <v>2165</v>
      </c>
      <c r="D38" s="1765"/>
      <c r="E38" s="214">
        <f t="shared" si="1"/>
        <v>2165</v>
      </c>
      <c r="F38" s="971"/>
      <c r="I38" s="1768"/>
      <c r="J38" s="1740"/>
      <c r="K38" s="1677"/>
    </row>
    <row r="39" spans="1:11" s="268" customFormat="1" ht="12.75">
      <c r="A39" s="1964"/>
      <c r="B39" s="1651" t="s">
        <v>724</v>
      </c>
      <c r="C39" s="1412">
        <v>9826</v>
      </c>
      <c r="D39" s="1765">
        <v>-9647</v>
      </c>
      <c r="E39" s="214">
        <f t="shared" si="1"/>
        <v>179</v>
      </c>
      <c r="F39" s="971"/>
      <c r="I39" s="1768"/>
      <c r="J39" s="1740"/>
      <c r="K39" s="1677"/>
    </row>
    <row r="40" spans="1:11" s="268" customFormat="1" ht="12.75">
      <c r="A40" s="1964"/>
      <c r="B40" s="1652" t="s">
        <v>725</v>
      </c>
      <c r="C40" s="1412">
        <v>7403</v>
      </c>
      <c r="D40" s="1306"/>
      <c r="E40" s="214">
        <f t="shared" si="1"/>
        <v>7403</v>
      </c>
      <c r="F40" s="971"/>
      <c r="I40" s="1768"/>
      <c r="J40" s="1740"/>
      <c r="K40" s="1677"/>
    </row>
    <row r="41" spans="1:11" s="268" customFormat="1" ht="12.75" customHeight="1">
      <c r="A41" s="1964"/>
      <c r="B41" s="1402" t="s">
        <v>632</v>
      </c>
      <c r="C41" s="1412">
        <v>56746</v>
      </c>
      <c r="D41" s="1306">
        <v>3276</v>
      </c>
      <c r="E41" s="214">
        <f>SUM(C41:D41)</f>
        <v>60022</v>
      </c>
      <c r="F41" s="971"/>
      <c r="I41" s="1768"/>
      <c r="J41" s="1740"/>
      <c r="K41" s="1677"/>
    </row>
    <row r="42" spans="1:11" s="268" customFormat="1" ht="12.75">
      <c r="A42" s="1964"/>
      <c r="B42" s="1651" t="s">
        <v>726</v>
      </c>
      <c r="C42" s="1412">
        <v>850</v>
      </c>
      <c r="D42" s="1306"/>
      <c r="E42" s="214">
        <f aca="true" t="shared" si="2" ref="E42:E67">SUM(C42:D42)</f>
        <v>850</v>
      </c>
      <c r="F42" s="971"/>
      <c r="I42" s="1768"/>
      <c r="J42" s="1740"/>
      <c r="K42" s="1677"/>
    </row>
    <row r="43" spans="1:11" s="268" customFormat="1" ht="12.75">
      <c r="A43" s="1964"/>
      <c r="B43" s="1651" t="s">
        <v>727</v>
      </c>
      <c r="C43" s="1412">
        <v>992</v>
      </c>
      <c r="D43" s="1306"/>
      <c r="E43" s="214">
        <f t="shared" si="2"/>
        <v>992</v>
      </c>
      <c r="F43" s="971"/>
      <c r="I43" s="1768"/>
      <c r="J43" s="1740"/>
      <c r="K43" s="1677"/>
    </row>
    <row r="44" spans="1:11" s="268" customFormat="1" ht="12.75">
      <c r="A44" s="1964"/>
      <c r="B44" s="1651" t="s">
        <v>728</v>
      </c>
      <c r="C44" s="1412">
        <v>7189</v>
      </c>
      <c r="D44" s="1306">
        <v>-3276</v>
      </c>
      <c r="E44" s="214">
        <f t="shared" si="2"/>
        <v>3913</v>
      </c>
      <c r="F44" s="971"/>
      <c r="I44" s="1768">
        <v>3913</v>
      </c>
      <c r="J44" s="1740">
        <v>3913</v>
      </c>
      <c r="K44" s="1677">
        <v>3913</v>
      </c>
    </row>
    <row r="45" spans="1:11" s="268" customFormat="1" ht="12.75">
      <c r="A45" s="1964"/>
      <c r="B45" s="1651" t="s">
        <v>729</v>
      </c>
      <c r="C45" s="1412">
        <v>42178</v>
      </c>
      <c r="D45" s="1306"/>
      <c r="E45" s="214">
        <f t="shared" si="2"/>
        <v>42178</v>
      </c>
      <c r="F45" s="971"/>
      <c r="I45" s="1768">
        <v>40169</v>
      </c>
      <c r="J45" s="1740">
        <v>40169</v>
      </c>
      <c r="K45" s="1677">
        <v>40169</v>
      </c>
    </row>
    <row r="46" spans="1:11" s="268" customFormat="1" ht="12.75">
      <c r="A46" s="1964"/>
      <c r="B46" s="1651" t="s">
        <v>730</v>
      </c>
      <c r="C46" s="1412">
        <v>41849</v>
      </c>
      <c r="D46" s="1306"/>
      <c r="E46" s="214">
        <f t="shared" si="2"/>
        <v>41849</v>
      </c>
      <c r="F46" s="971"/>
      <c r="I46" s="1768">
        <v>39856</v>
      </c>
      <c r="J46" s="1740">
        <v>39856</v>
      </c>
      <c r="K46" s="1677">
        <v>39856</v>
      </c>
    </row>
    <row r="47" spans="1:11" s="268" customFormat="1" ht="12.75">
      <c r="A47" s="1964"/>
      <c r="B47" s="1651" t="s">
        <v>731</v>
      </c>
      <c r="C47" s="1412">
        <v>88945</v>
      </c>
      <c r="D47" s="1306"/>
      <c r="E47" s="214">
        <f t="shared" si="2"/>
        <v>88945</v>
      </c>
      <c r="F47" s="971"/>
      <c r="I47" s="1768">
        <v>85490</v>
      </c>
      <c r="J47" s="1740">
        <v>85490</v>
      </c>
      <c r="K47" s="1677"/>
    </row>
    <row r="48" spans="1:11" s="268" customFormat="1" ht="12.75">
      <c r="A48" s="1964"/>
      <c r="B48" s="1651" t="s">
        <v>732</v>
      </c>
      <c r="C48" s="1412">
        <v>77110</v>
      </c>
      <c r="D48" s="1306"/>
      <c r="E48" s="214">
        <f t="shared" si="2"/>
        <v>77110</v>
      </c>
      <c r="F48" s="971"/>
      <c r="I48" s="1768">
        <v>77026</v>
      </c>
      <c r="J48" s="1740">
        <v>77026</v>
      </c>
      <c r="K48" s="1677"/>
    </row>
    <row r="49" spans="1:11" s="268" customFormat="1" ht="12.75">
      <c r="A49" s="1964"/>
      <c r="B49" s="1651" t="s">
        <v>733</v>
      </c>
      <c r="C49" s="1412">
        <v>10738</v>
      </c>
      <c r="D49" s="1306"/>
      <c r="E49" s="214">
        <f t="shared" si="2"/>
        <v>10738</v>
      </c>
      <c r="F49" s="971"/>
      <c r="I49" s="1768">
        <v>10226</v>
      </c>
      <c r="J49" s="1740"/>
      <c r="K49" s="1677"/>
    </row>
    <row r="50" spans="1:11" s="268" customFormat="1" ht="12.75">
      <c r="A50" s="1964"/>
      <c r="B50" s="1651" t="s">
        <v>734</v>
      </c>
      <c r="C50" s="1412">
        <v>48004</v>
      </c>
      <c r="D50" s="1306"/>
      <c r="E50" s="214">
        <f t="shared" si="2"/>
        <v>48004</v>
      </c>
      <c r="F50" s="971"/>
      <c r="I50" s="1768"/>
      <c r="J50" s="1740"/>
      <c r="K50" s="1677"/>
    </row>
    <row r="51" spans="1:11" s="268" customFormat="1" ht="12.75">
      <c r="A51" s="1964"/>
      <c r="B51" s="1651" t="s">
        <v>735</v>
      </c>
      <c r="C51" s="1412">
        <v>81723</v>
      </c>
      <c r="D51" s="1306"/>
      <c r="E51" s="214">
        <f t="shared" si="2"/>
        <v>81723</v>
      </c>
      <c r="F51" s="971"/>
      <c r="I51" s="1768"/>
      <c r="J51" s="1740"/>
      <c r="K51" s="1677"/>
    </row>
    <row r="52" spans="1:11" s="268" customFormat="1" ht="12.75">
      <c r="A52" s="1964"/>
      <c r="B52" s="1651" t="s">
        <v>736</v>
      </c>
      <c r="C52" s="1412">
        <v>41067</v>
      </c>
      <c r="D52" s="1306"/>
      <c r="E52" s="214">
        <f t="shared" si="2"/>
        <v>41067</v>
      </c>
      <c r="F52" s="971"/>
      <c r="I52" s="1768">
        <v>41067</v>
      </c>
      <c r="J52" s="1740">
        <v>41067</v>
      </c>
      <c r="K52" s="1677"/>
    </row>
    <row r="53" spans="1:11" s="268" customFormat="1" ht="12.75">
      <c r="A53" s="1964"/>
      <c r="B53" s="1651" t="s">
        <v>737</v>
      </c>
      <c r="C53" s="1412">
        <v>84429</v>
      </c>
      <c r="D53" s="1306"/>
      <c r="E53" s="214">
        <f t="shared" si="2"/>
        <v>84429</v>
      </c>
      <c r="F53" s="971"/>
      <c r="I53" s="1768">
        <v>80409</v>
      </c>
      <c r="J53" s="1740">
        <v>80409</v>
      </c>
      <c r="K53" s="1677">
        <v>80409</v>
      </c>
    </row>
    <row r="54" spans="1:11" s="268" customFormat="1" ht="12.75">
      <c r="A54" s="1964"/>
      <c r="B54" s="1651" t="s">
        <v>738</v>
      </c>
      <c r="C54" s="1412">
        <v>74604</v>
      </c>
      <c r="D54" s="1306"/>
      <c r="E54" s="214">
        <f t="shared" si="2"/>
        <v>74604</v>
      </c>
      <c r="F54" s="971"/>
      <c r="I54" s="1970">
        <v>95507</v>
      </c>
      <c r="J54" s="1961">
        <v>95507</v>
      </c>
      <c r="K54" s="1677"/>
    </row>
    <row r="55" spans="1:11" s="268" customFormat="1" ht="12.75">
      <c r="A55" s="1964"/>
      <c r="B55" s="1651" t="s">
        <v>739</v>
      </c>
      <c r="C55" s="1412">
        <v>22143</v>
      </c>
      <c r="D55" s="1306"/>
      <c r="E55" s="214">
        <f t="shared" si="2"/>
        <v>22143</v>
      </c>
      <c r="F55" s="971"/>
      <c r="I55" s="1970"/>
      <c r="J55" s="1961"/>
      <c r="K55" s="1677"/>
    </row>
    <row r="56" spans="1:11" s="268" customFormat="1" ht="12.75">
      <c r="A56" s="1964"/>
      <c r="B56" s="1651" t="s">
        <v>740</v>
      </c>
      <c r="C56" s="1412">
        <v>19597</v>
      </c>
      <c r="D56" s="1306"/>
      <c r="E56" s="214">
        <f t="shared" si="2"/>
        <v>19597</v>
      </c>
      <c r="F56" s="971"/>
      <c r="I56" s="1768">
        <v>19574</v>
      </c>
      <c r="J56" s="1740">
        <v>19574</v>
      </c>
      <c r="K56" s="1677"/>
    </row>
    <row r="57" spans="1:11" s="268" customFormat="1" ht="12.75">
      <c r="A57" s="1964"/>
      <c r="B57" s="1651" t="s">
        <v>741</v>
      </c>
      <c r="C57" s="1412">
        <v>24493</v>
      </c>
      <c r="D57" s="1306"/>
      <c r="E57" s="214">
        <f t="shared" si="2"/>
        <v>24493</v>
      </c>
      <c r="F57" s="971"/>
      <c r="I57" s="1768">
        <v>24479</v>
      </c>
      <c r="J57" s="1740">
        <v>24479</v>
      </c>
      <c r="K57" s="1677"/>
    </row>
    <row r="58" spans="1:11" s="268" customFormat="1" ht="12.75">
      <c r="A58" s="1964"/>
      <c r="B58" s="1651" t="s">
        <v>742</v>
      </c>
      <c r="C58" s="1412">
        <v>18743</v>
      </c>
      <c r="D58" s="1306"/>
      <c r="E58" s="214">
        <f t="shared" si="2"/>
        <v>18743</v>
      </c>
      <c r="F58" s="971"/>
      <c r="I58" s="1768">
        <v>17851</v>
      </c>
      <c r="J58" s="1740">
        <v>17851</v>
      </c>
      <c r="K58" s="1677">
        <v>17851</v>
      </c>
    </row>
    <row r="59" spans="1:11" s="268" customFormat="1" ht="12.75">
      <c r="A59" s="1964"/>
      <c r="B59" s="1651" t="s">
        <v>743</v>
      </c>
      <c r="C59" s="1412">
        <v>21107</v>
      </c>
      <c r="D59" s="1306"/>
      <c r="E59" s="214">
        <f t="shared" si="2"/>
        <v>21107</v>
      </c>
      <c r="F59" s="971"/>
      <c r="I59" s="1768">
        <v>20102</v>
      </c>
      <c r="J59" s="1740"/>
      <c r="K59" s="1677"/>
    </row>
    <row r="60" spans="1:11" s="268" customFormat="1" ht="12.75">
      <c r="A60" s="1964"/>
      <c r="B60" s="1651" t="s">
        <v>744</v>
      </c>
      <c r="C60" s="1412">
        <v>19487</v>
      </c>
      <c r="D60" s="1306"/>
      <c r="E60" s="214">
        <f t="shared" si="2"/>
        <v>19487</v>
      </c>
      <c r="F60" s="971"/>
      <c r="I60" s="1768">
        <v>18559</v>
      </c>
      <c r="J60" s="1740">
        <v>18559</v>
      </c>
      <c r="K60" s="1677">
        <v>18559</v>
      </c>
    </row>
    <row r="61" spans="1:11" s="268" customFormat="1" ht="12.75">
      <c r="A61" s="1964"/>
      <c r="B61" s="1651" t="s">
        <v>745</v>
      </c>
      <c r="C61" s="1412">
        <v>8755</v>
      </c>
      <c r="D61" s="1306"/>
      <c r="E61" s="214">
        <f t="shared" si="2"/>
        <v>8755</v>
      </c>
      <c r="F61" s="971"/>
      <c r="I61" s="1768">
        <v>8751</v>
      </c>
      <c r="J61" s="1740">
        <v>8751</v>
      </c>
      <c r="K61" s="1677"/>
    </row>
    <row r="62" spans="1:11" s="268" customFormat="1" ht="12.75">
      <c r="A62" s="1964"/>
      <c r="B62" s="1651" t="s">
        <v>746</v>
      </c>
      <c r="C62" s="1412">
        <v>8750</v>
      </c>
      <c r="D62" s="1306"/>
      <c r="E62" s="214">
        <f t="shared" si="2"/>
        <v>8750</v>
      </c>
      <c r="F62" s="971"/>
      <c r="I62" s="1768">
        <v>8333</v>
      </c>
      <c r="J62" s="1740">
        <v>8333</v>
      </c>
      <c r="K62" s="1677">
        <v>8333</v>
      </c>
    </row>
    <row r="63" spans="1:11" s="268" customFormat="1" ht="12.75">
      <c r="A63" s="1964"/>
      <c r="B63" s="1651" t="s">
        <v>747</v>
      </c>
      <c r="C63" s="1412">
        <v>37734</v>
      </c>
      <c r="D63" s="1306"/>
      <c r="E63" s="214">
        <f t="shared" si="2"/>
        <v>37734</v>
      </c>
      <c r="F63" s="971"/>
      <c r="I63" s="1768">
        <v>36880</v>
      </c>
      <c r="J63" s="1740">
        <v>36880</v>
      </c>
      <c r="K63" s="1677"/>
    </row>
    <row r="64" spans="1:11" s="268" customFormat="1" ht="12.75">
      <c r="A64" s="1964"/>
      <c r="B64" s="1651" t="s">
        <v>748</v>
      </c>
      <c r="C64" s="1412">
        <v>16176</v>
      </c>
      <c r="D64" s="1306"/>
      <c r="E64" s="214">
        <f t="shared" si="2"/>
        <v>16176</v>
      </c>
      <c r="F64" s="971"/>
      <c r="I64" s="1768"/>
      <c r="J64" s="1740"/>
      <c r="K64" s="1677"/>
    </row>
    <row r="65" spans="1:11" s="268" customFormat="1" ht="12.75">
      <c r="A65" s="1964"/>
      <c r="B65" s="1651" t="s">
        <v>749</v>
      </c>
      <c r="C65" s="1412">
        <v>76109</v>
      </c>
      <c r="D65" s="1306"/>
      <c r="E65" s="214">
        <f t="shared" si="2"/>
        <v>76109</v>
      </c>
      <c r="F65" s="971"/>
      <c r="I65" s="1768"/>
      <c r="J65" s="1740"/>
      <c r="K65" s="1677"/>
    </row>
    <row r="66" spans="1:11" s="268" customFormat="1" ht="12.75">
      <c r="A66" s="1964"/>
      <c r="B66" s="1651" t="s">
        <v>750</v>
      </c>
      <c r="C66" s="1412">
        <v>37489</v>
      </c>
      <c r="D66" s="1306"/>
      <c r="E66" s="214">
        <f t="shared" si="2"/>
        <v>37489</v>
      </c>
      <c r="F66" s="971"/>
      <c r="I66" s="1768"/>
      <c r="J66" s="1740"/>
      <c r="K66" s="1677"/>
    </row>
    <row r="67" spans="1:11" s="268" customFormat="1" ht="12.75">
      <c r="A67" s="1964"/>
      <c r="B67" s="1651" t="s">
        <v>751</v>
      </c>
      <c r="C67" s="1412">
        <v>48759</v>
      </c>
      <c r="D67" s="1306"/>
      <c r="E67" s="214">
        <f t="shared" si="2"/>
        <v>48759</v>
      </c>
      <c r="F67" s="971"/>
      <c r="I67" s="1768">
        <v>48744</v>
      </c>
      <c r="J67" s="1740">
        <v>48744</v>
      </c>
      <c r="K67" s="1677"/>
    </row>
    <row r="68" spans="1:11" s="268" customFormat="1" ht="25.5">
      <c r="A68" s="1964"/>
      <c r="B68" s="1402" t="s">
        <v>633</v>
      </c>
      <c r="C68" s="1412">
        <v>70866</v>
      </c>
      <c r="D68" s="1306"/>
      <c r="E68" s="214">
        <f>SUM(C68:D68)</f>
        <v>70866</v>
      </c>
      <c r="F68" s="971"/>
      <c r="I68" s="1768">
        <v>67802</v>
      </c>
      <c r="J68" s="1740">
        <v>67802</v>
      </c>
      <c r="K68" s="1677"/>
    </row>
    <row r="69" spans="1:11" s="268" customFormat="1" ht="12.75" customHeight="1">
      <c r="A69" s="1964"/>
      <c r="B69" s="1402" t="s">
        <v>760</v>
      </c>
      <c r="C69" s="1412">
        <v>15367</v>
      </c>
      <c r="D69" s="1306"/>
      <c r="E69" s="214">
        <f>SUM(C69:D69)</f>
        <v>15367</v>
      </c>
      <c r="F69" s="971"/>
      <c r="I69" s="1768"/>
      <c r="J69" s="1740"/>
      <c r="K69" s="1677"/>
    </row>
    <row r="70" spans="1:11" s="268" customFormat="1" ht="12.75" customHeight="1">
      <c r="A70" s="1964"/>
      <c r="B70" s="1651" t="s">
        <v>820</v>
      </c>
      <c r="C70" s="1412">
        <v>8067</v>
      </c>
      <c r="D70" s="1306"/>
      <c r="E70" s="214">
        <f aca="true" t="shared" si="3" ref="E70:E81">SUM(C70:D70)</f>
        <v>8067</v>
      </c>
      <c r="F70" s="971"/>
      <c r="I70" s="1768">
        <v>7682</v>
      </c>
      <c r="J70" s="1740"/>
      <c r="K70" s="1677"/>
    </row>
    <row r="71" spans="1:11" s="268" customFormat="1" ht="12.75" customHeight="1">
      <c r="A71" s="1964"/>
      <c r="B71" s="1651" t="s">
        <v>821</v>
      </c>
      <c r="C71" s="1412">
        <v>9739</v>
      </c>
      <c r="D71" s="1306"/>
      <c r="E71" s="214">
        <f t="shared" si="3"/>
        <v>9739</v>
      </c>
      <c r="F71" s="971"/>
      <c r="I71" s="1768">
        <v>9733</v>
      </c>
      <c r="J71" s="1740"/>
      <c r="K71" s="1677"/>
    </row>
    <row r="72" spans="1:11" s="268" customFormat="1" ht="12.75" customHeight="1">
      <c r="A72" s="1964"/>
      <c r="B72" s="1651" t="s">
        <v>822</v>
      </c>
      <c r="C72" s="1412">
        <v>10924</v>
      </c>
      <c r="D72" s="1306"/>
      <c r="E72" s="214">
        <f t="shared" si="3"/>
        <v>10924</v>
      </c>
      <c r="F72" s="971"/>
      <c r="I72" s="1768">
        <v>10922</v>
      </c>
      <c r="J72" s="1740"/>
      <c r="K72" s="1677"/>
    </row>
    <row r="73" spans="1:11" s="268" customFormat="1" ht="12.75" customHeight="1">
      <c r="A73" s="1964"/>
      <c r="B73" s="1651" t="s">
        <v>823</v>
      </c>
      <c r="C73" s="1412">
        <v>25822</v>
      </c>
      <c r="D73" s="1306"/>
      <c r="E73" s="214">
        <f t="shared" si="3"/>
        <v>25822</v>
      </c>
      <c r="F73" s="971"/>
      <c r="I73" s="1768">
        <v>25267</v>
      </c>
      <c r="J73" s="1740"/>
      <c r="K73" s="1677"/>
    </row>
    <row r="74" spans="1:11" s="268" customFormat="1" ht="12.75" customHeight="1">
      <c r="A74" s="1964"/>
      <c r="B74" s="1651" t="s">
        <v>824</v>
      </c>
      <c r="C74" s="1412">
        <v>68785</v>
      </c>
      <c r="D74" s="1306"/>
      <c r="E74" s="214">
        <f t="shared" si="3"/>
        <v>68785</v>
      </c>
      <c r="F74" s="971"/>
      <c r="I74" s="1768">
        <v>68764</v>
      </c>
      <c r="J74" s="1740"/>
      <c r="K74" s="1677"/>
    </row>
    <row r="75" spans="1:11" s="268" customFormat="1" ht="12.75" customHeight="1">
      <c r="A75" s="1964"/>
      <c r="B75" s="1651" t="s">
        <v>825</v>
      </c>
      <c r="C75" s="1412">
        <v>51335</v>
      </c>
      <c r="D75" s="1306"/>
      <c r="E75" s="214">
        <f t="shared" si="3"/>
        <v>51335</v>
      </c>
      <c r="F75" s="971"/>
      <c r="I75" s="1768"/>
      <c r="J75" s="1740"/>
      <c r="K75" s="1677"/>
    </row>
    <row r="76" spans="1:11" s="268" customFormat="1" ht="12.75" customHeight="1">
      <c r="A76" s="1964"/>
      <c r="B76" s="1651" t="s">
        <v>826</v>
      </c>
      <c r="C76" s="1412">
        <v>119046</v>
      </c>
      <c r="D76" s="1306"/>
      <c r="E76" s="214">
        <f t="shared" si="3"/>
        <v>119046</v>
      </c>
      <c r="F76" s="971"/>
      <c r="I76" s="1768"/>
      <c r="J76" s="1740"/>
      <c r="K76" s="1677"/>
    </row>
    <row r="77" spans="1:11" s="268" customFormat="1" ht="12.75" customHeight="1">
      <c r="A77" s="1964"/>
      <c r="B77" s="1651" t="s">
        <v>827</v>
      </c>
      <c r="C77" s="1412">
        <v>33582</v>
      </c>
      <c r="D77" s="1306"/>
      <c r="E77" s="214">
        <f t="shared" si="3"/>
        <v>33582</v>
      </c>
      <c r="F77" s="971"/>
      <c r="I77" s="1768"/>
      <c r="J77" s="1740"/>
      <c r="K77" s="1677"/>
    </row>
    <row r="78" spans="1:11" s="268" customFormat="1" ht="12.75" customHeight="1">
      <c r="A78" s="1964"/>
      <c r="B78" s="1651" t="s">
        <v>828</v>
      </c>
      <c r="C78" s="1412">
        <v>38813</v>
      </c>
      <c r="D78" s="1306"/>
      <c r="E78" s="214">
        <f t="shared" si="3"/>
        <v>38813</v>
      </c>
      <c r="F78" s="971"/>
      <c r="I78" s="1768">
        <v>36965</v>
      </c>
      <c r="J78" s="1740"/>
      <c r="K78" s="1677"/>
    </row>
    <row r="79" spans="1:11" s="268" customFormat="1" ht="12.75" customHeight="1">
      <c r="A79" s="1964"/>
      <c r="B79" s="1651" t="s">
        <v>829</v>
      </c>
      <c r="C79" s="1412">
        <v>46573</v>
      </c>
      <c r="D79" s="1306"/>
      <c r="E79" s="214">
        <f t="shared" si="3"/>
        <v>46573</v>
      </c>
      <c r="F79" s="971"/>
      <c r="I79" s="1768"/>
      <c r="J79" s="1740"/>
      <c r="K79" s="1677"/>
    </row>
    <row r="80" spans="1:11" s="268" customFormat="1" ht="12.75" customHeight="1">
      <c r="A80" s="1964"/>
      <c r="B80" s="1651" t="s">
        <v>830</v>
      </c>
      <c r="C80" s="1412">
        <v>6560</v>
      </c>
      <c r="D80" s="1306"/>
      <c r="E80" s="214">
        <f t="shared" si="3"/>
        <v>6560</v>
      </c>
      <c r="F80" s="971"/>
      <c r="I80" s="1768">
        <v>6556</v>
      </c>
      <c r="J80" s="1740"/>
      <c r="K80" s="1677"/>
    </row>
    <row r="81" spans="1:11" s="268" customFormat="1" ht="24.75" customHeight="1">
      <c r="A81" s="1964"/>
      <c r="B81" s="1402" t="s">
        <v>854</v>
      </c>
      <c r="C81" s="1412"/>
      <c r="D81" s="1306">
        <v>126941</v>
      </c>
      <c r="E81" s="214">
        <f t="shared" si="3"/>
        <v>126941</v>
      </c>
      <c r="F81" s="971"/>
      <c r="I81" s="1768"/>
      <c r="J81" s="1740"/>
      <c r="K81" s="1677"/>
    </row>
    <row r="82" spans="1:6" ht="13.5" thickBot="1">
      <c r="A82" s="1964"/>
      <c r="B82" s="1620" t="s">
        <v>620</v>
      </c>
      <c r="C82" s="1028">
        <v>267</v>
      </c>
      <c r="D82" s="1509"/>
      <c r="E82" s="216">
        <f>SUM(C82:D82)</f>
        <v>267</v>
      </c>
      <c r="F82" s="111"/>
    </row>
    <row r="83" spans="1:11" s="268" customFormat="1" ht="13.5" thickBot="1">
      <c r="A83" s="972">
        <v>6</v>
      </c>
      <c r="B83" s="1621" t="s">
        <v>191</v>
      </c>
      <c r="C83" s="212">
        <f>SUM(C30:C82)</f>
        <v>1566510</v>
      </c>
      <c r="D83" s="1307">
        <f>SUM(D30:D82)</f>
        <v>111188</v>
      </c>
      <c r="E83" s="212">
        <f>SUM(E30:E82)</f>
        <v>1677698</v>
      </c>
      <c r="F83" s="971">
        <f>SUM(E30:E82)</f>
        <v>1677698</v>
      </c>
      <c r="I83" s="1768"/>
      <c r="J83" s="1740"/>
      <c r="K83" s="1677"/>
    </row>
    <row r="84" spans="1:6" ht="12.75">
      <c r="A84" s="1968"/>
      <c r="B84" s="1622" t="s">
        <v>621</v>
      </c>
      <c r="C84" s="1218"/>
      <c r="D84" s="1507"/>
      <c r="E84" s="1061">
        <f>SUM(C84:D84)</f>
        <v>0</v>
      </c>
      <c r="F84" s="111"/>
    </row>
    <row r="85" spans="1:6" ht="12.75">
      <c r="A85" s="1964"/>
      <c r="B85" s="1623" t="s">
        <v>622</v>
      </c>
      <c r="C85" s="1249"/>
      <c r="D85" s="1509"/>
      <c r="E85" s="211">
        <f>SUM(C85:D85)</f>
        <v>0</v>
      </c>
      <c r="F85" s="111"/>
    </row>
    <row r="86" spans="1:6" ht="12.75">
      <c r="A86" s="1964"/>
      <c r="B86" s="1592" t="s">
        <v>712</v>
      </c>
      <c r="C86" s="1575"/>
      <c r="D86" s="1594"/>
      <c r="E86" s="1595"/>
      <c r="F86" s="111"/>
    </row>
    <row r="87" spans="1:11" s="728" customFormat="1" ht="12.75">
      <c r="A87" s="1964"/>
      <c r="B87" s="1730" t="s">
        <v>713</v>
      </c>
      <c r="C87" s="1249">
        <v>1242</v>
      </c>
      <c r="D87" s="1509"/>
      <c r="E87" s="211">
        <f>SUM(C87:D87)</f>
        <v>1242</v>
      </c>
      <c r="F87" s="1593"/>
      <c r="I87" s="1768">
        <v>1242</v>
      </c>
      <c r="J87" s="1740">
        <v>1242</v>
      </c>
      <c r="K87" s="1674">
        <v>1242</v>
      </c>
    </row>
    <row r="88" spans="1:11" s="728" customFormat="1" ht="12.75">
      <c r="A88" s="1964"/>
      <c r="B88" s="1592" t="s">
        <v>814</v>
      </c>
      <c r="C88" s="1249">
        <v>14660</v>
      </c>
      <c r="D88" s="1509"/>
      <c r="E88" s="211">
        <f>SUM(C88:D88)</f>
        <v>14660</v>
      </c>
      <c r="F88" s="1593"/>
      <c r="I88" s="1768">
        <v>14654</v>
      </c>
      <c r="J88" s="1740"/>
      <c r="K88" s="1674"/>
    </row>
    <row r="89" spans="1:11" s="728" customFormat="1" ht="13.5" thickBot="1">
      <c r="A89" s="1969"/>
      <c r="B89" s="1731" t="s">
        <v>837</v>
      </c>
      <c r="C89" s="1030">
        <v>1611</v>
      </c>
      <c r="D89" s="1510"/>
      <c r="E89" s="211">
        <f>SUM(C89:D89)</f>
        <v>1611</v>
      </c>
      <c r="F89" s="1593"/>
      <c r="I89" s="1768">
        <v>1611</v>
      </c>
      <c r="J89" s="1740"/>
      <c r="K89" s="1674"/>
    </row>
    <row r="90" spans="1:11" s="268" customFormat="1" ht="13.5" thickBot="1">
      <c r="A90" s="972">
        <v>7</v>
      </c>
      <c r="B90" s="1617" t="s">
        <v>452</v>
      </c>
      <c r="C90" s="212">
        <f>SUM(C84:C89)</f>
        <v>17513</v>
      </c>
      <c r="D90" s="212">
        <f>SUM(D84:D89)</f>
        <v>0</v>
      </c>
      <c r="E90" s="212">
        <f>SUM(E84:E89)</f>
        <v>17513</v>
      </c>
      <c r="F90" s="971">
        <f>SUM(C90:D90)</f>
        <v>17513</v>
      </c>
      <c r="I90" s="1768"/>
      <c r="J90" s="1740"/>
      <c r="K90" s="1677"/>
    </row>
    <row r="91" spans="1:11" ht="13.5" thickBot="1">
      <c r="A91" s="1350"/>
      <c r="B91" s="1596" t="s">
        <v>714</v>
      </c>
      <c r="C91" s="1221">
        <v>5921</v>
      </c>
      <c r="D91" s="1510"/>
      <c r="E91" s="216">
        <f>SUM(C91:D91)</f>
        <v>5921</v>
      </c>
      <c r="F91" s="111"/>
      <c r="I91" s="1768">
        <v>5921</v>
      </c>
      <c r="J91" s="1740">
        <v>5921</v>
      </c>
      <c r="K91" s="1674">
        <v>5921</v>
      </c>
    </row>
    <row r="92" spans="1:11" s="268" customFormat="1" ht="13.5" thickBot="1">
      <c r="A92" s="972">
        <v>8</v>
      </c>
      <c r="B92" s="1617" t="s">
        <v>519</v>
      </c>
      <c r="C92" s="212">
        <f>SUM(C91:C91)</f>
        <v>5921</v>
      </c>
      <c r="D92" s="1302">
        <f>SUM(D91:D91)</f>
        <v>0</v>
      </c>
      <c r="E92" s="212">
        <f>SUM(E91:E91)</f>
        <v>5921</v>
      </c>
      <c r="F92" s="971">
        <f>SUM(C92:D92)</f>
        <v>5921</v>
      </c>
      <c r="I92" s="1768"/>
      <c r="J92" s="1740"/>
      <c r="K92" s="1677"/>
    </row>
    <row r="93" spans="1:11" s="268" customFormat="1" ht="12.75">
      <c r="A93" s="1417"/>
      <c r="B93" s="1624" t="s">
        <v>634</v>
      </c>
      <c r="C93" s="1060">
        <v>36266</v>
      </c>
      <c r="D93" s="1304">
        <v>20350</v>
      </c>
      <c r="E93" s="1061">
        <f>SUM(C93:D93)</f>
        <v>56616</v>
      </c>
      <c r="F93" s="971"/>
      <c r="I93" s="1768">
        <v>34203</v>
      </c>
      <c r="J93" s="1740"/>
      <c r="K93" s="1677"/>
    </row>
    <row r="94" spans="1:11" s="268" customFormat="1" ht="12.75">
      <c r="A94" s="1263"/>
      <c r="B94" s="1625" t="s">
        <v>544</v>
      </c>
      <c r="C94" s="210">
        <v>30416</v>
      </c>
      <c r="D94" s="1024"/>
      <c r="E94" s="211">
        <f>SUM(C94:D94)</f>
        <v>30416</v>
      </c>
      <c r="F94" s="971"/>
      <c r="I94" s="1768">
        <v>6350</v>
      </c>
      <c r="J94" s="1740">
        <v>4731</v>
      </c>
      <c r="K94" s="1677">
        <v>4731</v>
      </c>
    </row>
    <row r="95" spans="1:11" s="268" customFormat="1" ht="12.75">
      <c r="A95" s="1263"/>
      <c r="B95" s="1728" t="s">
        <v>715</v>
      </c>
      <c r="C95" s="210">
        <v>7582</v>
      </c>
      <c r="D95" s="1024"/>
      <c r="E95" s="211">
        <f>SUM(C95:D95)</f>
        <v>7582</v>
      </c>
      <c r="F95" s="971"/>
      <c r="I95" s="1768">
        <v>3518</v>
      </c>
      <c r="J95" s="1740">
        <v>978</v>
      </c>
      <c r="K95" s="1677">
        <v>978</v>
      </c>
    </row>
    <row r="96" spans="1:11" s="268" customFormat="1" ht="12.75">
      <c r="A96" s="1263"/>
      <c r="B96" s="1727" t="s">
        <v>815</v>
      </c>
      <c r="C96" s="1672"/>
      <c r="D96" s="1654"/>
      <c r="E96" s="1576"/>
      <c r="F96" s="971"/>
      <c r="I96" s="1768"/>
      <c r="J96" s="1740"/>
      <c r="K96" s="1677"/>
    </row>
    <row r="97" spans="1:11" s="268" customFormat="1" ht="12.75">
      <c r="A97" s="1263"/>
      <c r="B97" s="1729" t="s">
        <v>816</v>
      </c>
      <c r="C97" s="210">
        <v>605</v>
      </c>
      <c r="D97" s="1024"/>
      <c r="E97" s="211">
        <f aca="true" t="shared" si="4" ref="E97:E102">SUM(C97:D97)</f>
        <v>605</v>
      </c>
      <c r="F97" s="971"/>
      <c r="I97" s="1768">
        <v>605</v>
      </c>
      <c r="J97" s="1740"/>
      <c r="K97" s="1677"/>
    </row>
    <row r="98" spans="1:11" s="268" customFormat="1" ht="12.75">
      <c r="A98" s="1263"/>
      <c r="B98" s="1736" t="s">
        <v>831</v>
      </c>
      <c r="C98" s="210">
        <v>2704</v>
      </c>
      <c r="D98" s="1024"/>
      <c r="E98" s="211">
        <f t="shared" si="4"/>
        <v>2704</v>
      </c>
      <c r="F98" s="971"/>
      <c r="I98" s="1768">
        <v>2703</v>
      </c>
      <c r="J98" s="1740"/>
      <c r="K98" s="1677"/>
    </row>
    <row r="99" spans="1:11" s="268" customFormat="1" ht="12.75">
      <c r="A99" s="1263"/>
      <c r="B99" s="1570" t="s">
        <v>832</v>
      </c>
      <c r="C99" s="210">
        <v>3500</v>
      </c>
      <c r="D99" s="1024"/>
      <c r="E99" s="211">
        <f t="shared" si="4"/>
        <v>3500</v>
      </c>
      <c r="F99" s="971"/>
      <c r="I99" s="1768">
        <v>3500</v>
      </c>
      <c r="J99" s="1740">
        <v>3500</v>
      </c>
      <c r="K99" s="1677"/>
    </row>
    <row r="100" spans="1:11" s="268" customFormat="1" ht="12.75">
      <c r="A100" s="1263"/>
      <c r="B100" s="1570" t="s">
        <v>855</v>
      </c>
      <c r="C100" s="210"/>
      <c r="D100" s="1024">
        <v>750</v>
      </c>
      <c r="E100" s="211">
        <f t="shared" si="4"/>
        <v>750</v>
      </c>
      <c r="F100" s="971"/>
      <c r="I100" s="1768"/>
      <c r="J100" s="1740"/>
      <c r="K100" s="1677"/>
    </row>
    <row r="101" spans="1:11" s="268" customFormat="1" ht="12.75">
      <c r="A101" s="1263"/>
      <c r="B101" s="1773" t="s">
        <v>860</v>
      </c>
      <c r="C101" s="210"/>
      <c r="D101" s="1024">
        <v>400</v>
      </c>
      <c r="E101" s="211">
        <f t="shared" si="4"/>
        <v>400</v>
      </c>
      <c r="F101" s="971"/>
      <c r="I101" s="1768"/>
      <c r="J101" s="1740"/>
      <c r="K101" s="1677"/>
    </row>
    <row r="102" spans="1:11" s="268" customFormat="1" ht="13.5" thickBot="1">
      <c r="A102" s="1263"/>
      <c r="B102" s="1766" t="s">
        <v>861</v>
      </c>
      <c r="C102" s="1346"/>
      <c r="D102" s="1305">
        <v>539</v>
      </c>
      <c r="E102" s="211">
        <f t="shared" si="4"/>
        <v>539</v>
      </c>
      <c r="F102" s="971"/>
      <c r="I102" s="1768">
        <v>539</v>
      </c>
      <c r="J102" s="1740"/>
      <c r="K102" s="1677"/>
    </row>
    <row r="103" spans="1:11" s="268" customFormat="1" ht="13.5" thickBot="1">
      <c r="A103" s="972">
        <v>9</v>
      </c>
      <c r="B103" s="1617" t="s">
        <v>522</v>
      </c>
      <c r="C103" s="212">
        <f>SUM(C93:C102)</f>
        <v>81073</v>
      </c>
      <c r="D103" s="212">
        <f>SUM(D93:D102)</f>
        <v>22039</v>
      </c>
      <c r="E103" s="212">
        <f>SUM(E93:E102)</f>
        <v>103112</v>
      </c>
      <c r="F103" s="971"/>
      <c r="I103" s="1768"/>
      <c r="J103" s="1740"/>
      <c r="K103" s="1677"/>
    </row>
    <row r="104" spans="1:6" ht="13.5" thickBot="1">
      <c r="A104" s="1253"/>
      <c r="B104" s="1626"/>
      <c r="C104" s="1314"/>
      <c r="D104" s="1353"/>
      <c r="E104" s="1216">
        <f>SUM(C104:D104)</f>
        <v>0</v>
      </c>
      <c r="F104" s="111"/>
    </row>
    <row r="105" spans="1:6" ht="13.5" thickBot="1">
      <c r="A105" s="272" t="s">
        <v>98</v>
      </c>
      <c r="B105" s="1627" t="s">
        <v>486</v>
      </c>
      <c r="C105" s="262">
        <f>SUM(C104:C104)</f>
        <v>0</v>
      </c>
      <c r="D105" s="262">
        <f>SUM(D104:D104)</f>
        <v>0</v>
      </c>
      <c r="E105" s="262">
        <f>SUM(E104:E104)</f>
        <v>0</v>
      </c>
      <c r="F105" s="111"/>
    </row>
    <row r="106" spans="1:6" ht="13.5" thickBot="1">
      <c r="A106" s="975"/>
      <c r="B106" s="1628"/>
      <c r="C106" s="1223"/>
      <c r="D106" s="1309"/>
      <c r="E106" s="214">
        <f>SUM(C106:D106)</f>
        <v>0</v>
      </c>
      <c r="F106" s="111"/>
    </row>
    <row r="107" spans="1:6" ht="13.5" thickBot="1">
      <c r="A107" s="272" t="s">
        <v>99</v>
      </c>
      <c r="B107" s="1627" t="s">
        <v>485</v>
      </c>
      <c r="C107" s="262">
        <f>SUM(C106:C106)</f>
        <v>0</v>
      </c>
      <c r="D107" s="1308">
        <f>SUM(D106:D106)</f>
        <v>0</v>
      </c>
      <c r="E107" s="262">
        <f>SUM(E106:E106)</f>
        <v>0</v>
      </c>
      <c r="F107" s="111"/>
    </row>
    <row r="108" spans="1:6" ht="12.75">
      <c r="A108" s="975"/>
      <c r="B108" s="1626" t="s">
        <v>635</v>
      </c>
      <c r="C108" s="1029"/>
      <c r="D108" s="1508"/>
      <c r="E108" s="217">
        <f>SUM(C108:D108)</f>
        <v>0</v>
      </c>
      <c r="F108" s="111"/>
    </row>
    <row r="109" spans="1:6" ht="12.75">
      <c r="A109" s="975"/>
      <c r="B109" s="1626" t="s">
        <v>625</v>
      </c>
      <c r="C109" s="1249"/>
      <c r="D109" s="1509"/>
      <c r="E109" s="217">
        <f>SUM(C109:D109)</f>
        <v>0</v>
      </c>
      <c r="F109" s="111"/>
    </row>
    <row r="110" spans="1:6" ht="12.75">
      <c r="A110" s="975"/>
      <c r="B110" s="1629" t="s">
        <v>623</v>
      </c>
      <c r="C110" s="1249"/>
      <c r="D110" s="1509"/>
      <c r="E110" s="217">
        <f>SUM(C110:D110)</f>
        <v>0</v>
      </c>
      <c r="F110" s="111"/>
    </row>
    <row r="111" spans="1:10" ht="13.5" thickBot="1">
      <c r="A111" s="975"/>
      <c r="B111" s="1630" t="s">
        <v>626</v>
      </c>
      <c r="C111" s="1249">
        <v>1500</v>
      </c>
      <c r="D111" s="1511"/>
      <c r="E111" s="217">
        <f>SUM(C111:D111)</f>
        <v>1500</v>
      </c>
      <c r="F111" s="111"/>
      <c r="I111" s="1768">
        <v>1436</v>
      </c>
      <c r="J111" s="1740">
        <v>1436</v>
      </c>
    </row>
    <row r="112" spans="1:6" ht="13.5" thickBot="1">
      <c r="A112" s="272" t="s">
        <v>100</v>
      </c>
      <c r="B112" s="1627" t="s">
        <v>487</v>
      </c>
      <c r="C112" s="262">
        <f>SUM(C108:C111)</f>
        <v>1500</v>
      </c>
      <c r="D112" s="262">
        <f>SUM(D108:D111)</f>
        <v>0</v>
      </c>
      <c r="E112" s="262">
        <f>SUM(E108:E111)</f>
        <v>1500</v>
      </c>
      <c r="F112" s="111"/>
    </row>
    <row r="113" spans="1:6" ht="12.75">
      <c r="A113" s="975"/>
      <c r="B113" s="1626" t="s">
        <v>624</v>
      </c>
      <c r="C113" s="1031"/>
      <c r="D113" s="1512"/>
      <c r="E113" s="217">
        <f>SUM(C113:D113)</f>
        <v>0</v>
      </c>
      <c r="F113" s="111"/>
    </row>
    <row r="114" spans="1:10" ht="13.5" thickBot="1">
      <c r="A114" s="975"/>
      <c r="B114" s="1626" t="s">
        <v>636</v>
      </c>
      <c r="C114" s="1343">
        <v>2000</v>
      </c>
      <c r="D114" s="1354"/>
      <c r="E114" s="217">
        <f>SUM(C114:D114)</f>
        <v>2000</v>
      </c>
      <c r="F114" s="111"/>
      <c r="I114" s="1768">
        <v>1200</v>
      </c>
      <c r="J114" s="1740">
        <v>1200</v>
      </c>
    </row>
    <row r="115" spans="1:6" ht="13.5" thickBot="1">
      <c r="A115" s="272" t="s">
        <v>101</v>
      </c>
      <c r="B115" s="1627" t="s">
        <v>488</v>
      </c>
      <c r="C115" s="262">
        <f>SUM(C113:C114)</f>
        <v>2000</v>
      </c>
      <c r="D115" s="262">
        <f>SUM(D113:D114)</f>
        <v>0</v>
      </c>
      <c r="E115" s="262">
        <f>SUM(E113:E114)</f>
        <v>2000</v>
      </c>
      <c r="F115" s="111"/>
    </row>
    <row r="116" spans="1:6" ht="13.5" thickBot="1">
      <c r="A116" s="975"/>
      <c r="B116" s="1631"/>
      <c r="C116" s="1222"/>
      <c r="D116" s="1311"/>
      <c r="E116" s="1224">
        <f>SUM(C116:D116)</f>
        <v>0</v>
      </c>
      <c r="F116" s="111"/>
    </row>
    <row r="117" spans="1:6" ht="13.5" thickBot="1">
      <c r="A117" s="272" t="s">
        <v>192</v>
      </c>
      <c r="B117" s="1632" t="s">
        <v>489</v>
      </c>
      <c r="C117" s="262">
        <f>SUM(C116:C116)</f>
        <v>0</v>
      </c>
      <c r="D117" s="262">
        <f>SUM(D116:D116)</f>
        <v>0</v>
      </c>
      <c r="E117" s="262">
        <f>SUM(E116:E116)</f>
        <v>0</v>
      </c>
      <c r="F117" s="111"/>
    </row>
    <row r="118" spans="1:6" ht="13.5" thickBot="1">
      <c r="A118" s="975"/>
      <c r="B118" s="1626"/>
      <c r="C118" s="1214"/>
      <c r="D118" s="1310"/>
      <c r="E118" s="217">
        <f>SUM(C118:D118)</f>
        <v>0</v>
      </c>
      <c r="F118" s="111"/>
    </row>
    <row r="119" spans="1:6" ht="13.5" thickBot="1">
      <c r="A119" s="272" t="s">
        <v>327</v>
      </c>
      <c r="B119" s="1627" t="s">
        <v>490</v>
      </c>
      <c r="C119" s="262">
        <f>SUM(C118)</f>
        <v>0</v>
      </c>
      <c r="D119" s="1308">
        <f>SUM(D118)</f>
        <v>0</v>
      </c>
      <c r="E119" s="262">
        <f>SUM(E118)</f>
        <v>0</v>
      </c>
      <c r="F119" s="111"/>
    </row>
    <row r="120" spans="1:6" ht="13.5" thickBot="1">
      <c r="A120" s="975"/>
      <c r="B120" s="1633"/>
      <c r="C120" s="974"/>
      <c r="D120" s="1301"/>
      <c r="E120" s="1061">
        <f>SUM(C120:D120)</f>
        <v>0</v>
      </c>
      <c r="F120" s="111"/>
    </row>
    <row r="121" spans="1:6" ht="13.5" thickBot="1">
      <c r="A121" s="272" t="s">
        <v>328</v>
      </c>
      <c r="B121" s="1627" t="s">
        <v>491</v>
      </c>
      <c r="C121" s="262">
        <f>SUM(C120:C120)</f>
        <v>0</v>
      </c>
      <c r="D121" s="1308">
        <f>SUM(D120:D120)</f>
        <v>0</v>
      </c>
      <c r="E121" s="262">
        <f>SUM(E120:E120)</f>
        <v>0</v>
      </c>
      <c r="F121" s="111"/>
    </row>
    <row r="122" spans="1:6" ht="13.5" thickBot="1">
      <c r="A122" s="299"/>
      <c r="B122" s="1626"/>
      <c r="C122" s="1338"/>
      <c r="D122" s="1351"/>
      <c r="E122" s="214">
        <f>SUM(C122:D122)</f>
        <v>0</v>
      </c>
      <c r="F122" s="111"/>
    </row>
    <row r="123" spans="1:6" ht="13.5" thickBot="1">
      <c r="A123" s="272" t="s">
        <v>69</v>
      </c>
      <c r="B123" s="1627" t="s">
        <v>496</v>
      </c>
      <c r="C123" s="262">
        <f>SUM(C122:C122)</f>
        <v>0</v>
      </c>
      <c r="D123" s="262">
        <f>SUM(D122:D122)</f>
        <v>0</v>
      </c>
      <c r="E123" s="262">
        <f>SUM(E122:E122)</f>
        <v>0</v>
      </c>
      <c r="F123" s="111"/>
    </row>
    <row r="124" spans="1:6" ht="13.5" thickBot="1">
      <c r="A124" s="975"/>
      <c r="B124" s="1633"/>
      <c r="C124" s="974"/>
      <c r="D124" s="1301"/>
      <c r="E124" s="214"/>
      <c r="F124" s="111"/>
    </row>
    <row r="125" spans="1:6" ht="13.5" thickBot="1">
      <c r="A125" s="118" t="s">
        <v>495</v>
      </c>
      <c r="B125" s="1627" t="s">
        <v>493</v>
      </c>
      <c r="C125" s="262">
        <f>SUM(C124)</f>
        <v>0</v>
      </c>
      <c r="D125" s="1308">
        <f>SUM(D124)</f>
        <v>0</v>
      </c>
      <c r="E125" s="262">
        <f>SUM(E124)</f>
        <v>0</v>
      </c>
      <c r="F125" s="111"/>
    </row>
    <row r="126" spans="1:6" ht="25.5">
      <c r="A126" s="1965"/>
      <c r="B126" s="1629" t="s">
        <v>546</v>
      </c>
      <c r="C126" s="1249"/>
      <c r="D126" s="1509"/>
      <c r="E126" s="215">
        <f>SUM(C126:D126)</f>
        <v>0</v>
      </c>
      <c r="F126" s="111"/>
    </row>
    <row r="127" spans="1:6" ht="12.75">
      <c r="A127" s="1966"/>
      <c r="B127" s="1554" t="s">
        <v>617</v>
      </c>
      <c r="C127" s="1249">
        <v>800</v>
      </c>
      <c r="D127" s="1509">
        <v>-800</v>
      </c>
      <c r="E127" s="215">
        <f>SUM(C127:D127)</f>
        <v>0</v>
      </c>
      <c r="F127" s="111"/>
    </row>
    <row r="128" spans="1:6" ht="13.5" thickBot="1">
      <c r="A128" s="1967"/>
      <c r="B128" s="1737" t="s">
        <v>627</v>
      </c>
      <c r="C128" s="1030"/>
      <c r="D128" s="1510"/>
      <c r="E128" s="215">
        <f>SUM(C128:D128)</f>
        <v>0</v>
      </c>
      <c r="F128" s="111"/>
    </row>
    <row r="129" spans="1:6" ht="13.5" thickBot="1">
      <c r="A129" s="1517" t="s">
        <v>418</v>
      </c>
      <c r="B129" s="1627" t="s">
        <v>494</v>
      </c>
      <c r="C129" s="262">
        <f>SUM(C126:C128)</f>
        <v>800</v>
      </c>
      <c r="D129" s="262">
        <f>SUM(D126:D128)</f>
        <v>-800</v>
      </c>
      <c r="E129" s="262">
        <f>SUM(E126:E128)</f>
        <v>0</v>
      </c>
      <c r="F129" s="111"/>
    </row>
    <row r="130" spans="1:6" ht="12.75">
      <c r="A130" s="1965"/>
      <c r="B130" s="1634" t="s">
        <v>484</v>
      </c>
      <c r="C130" s="1342">
        <v>376</v>
      </c>
      <c r="D130" s="1597"/>
      <c r="E130" s="1061">
        <f>SUM(C130:D130)</f>
        <v>376</v>
      </c>
      <c r="F130" s="111"/>
    </row>
    <row r="131" spans="1:6" ht="12.75">
      <c r="A131" s="1966"/>
      <c r="B131" s="1635" t="s">
        <v>685</v>
      </c>
      <c r="C131" s="1599"/>
      <c r="D131" s="1600"/>
      <c r="E131" s="1601"/>
      <c r="F131" s="111"/>
    </row>
    <row r="132" spans="1:11" ht="12.75">
      <c r="A132" s="1966"/>
      <c r="B132" s="1574" t="s">
        <v>716</v>
      </c>
      <c r="C132" s="974">
        <v>699</v>
      </c>
      <c r="D132" s="1598"/>
      <c r="E132" s="214">
        <f>SUM(C132:D132)</f>
        <v>699</v>
      </c>
      <c r="F132" s="111"/>
      <c r="I132" s="1768">
        <v>699</v>
      </c>
      <c r="J132" s="1740">
        <v>699</v>
      </c>
      <c r="K132" s="1674">
        <v>699</v>
      </c>
    </row>
    <row r="133" spans="1:6" ht="12.75">
      <c r="A133" s="1966"/>
      <c r="B133" s="1636" t="s">
        <v>689</v>
      </c>
      <c r="C133" s="1599"/>
      <c r="D133" s="1600"/>
      <c r="E133" s="1601"/>
      <c r="F133" s="111"/>
    </row>
    <row r="134" spans="1:11" ht="12.75">
      <c r="A134" s="1966"/>
      <c r="B134" s="1637" t="s">
        <v>717</v>
      </c>
      <c r="C134" s="974">
        <v>303</v>
      </c>
      <c r="D134" s="1598"/>
      <c r="E134" s="214">
        <f>SUM(C134:D134)</f>
        <v>303</v>
      </c>
      <c r="F134" s="111"/>
      <c r="I134" s="1768">
        <v>276</v>
      </c>
      <c r="J134" s="1740">
        <v>276</v>
      </c>
      <c r="K134" s="1674">
        <v>276</v>
      </c>
    </row>
    <row r="135" spans="1:6" ht="12.75">
      <c r="A135" s="1966"/>
      <c r="B135" s="1409" t="s">
        <v>607</v>
      </c>
      <c r="C135" s="1599"/>
      <c r="D135" s="1600"/>
      <c r="E135" s="1666"/>
      <c r="F135" s="111"/>
    </row>
    <row r="136" spans="1:10" ht="13.5" thickBot="1">
      <c r="A136" s="1967"/>
      <c r="B136" s="1637" t="s">
        <v>761</v>
      </c>
      <c r="C136" s="1343">
        <v>3157</v>
      </c>
      <c r="D136" s="1665"/>
      <c r="E136" s="214">
        <f>SUM(C136:D136)</f>
        <v>3157</v>
      </c>
      <c r="F136" s="111"/>
      <c r="I136" s="1768">
        <v>3157</v>
      </c>
      <c r="J136" s="1740">
        <v>3157</v>
      </c>
    </row>
    <row r="137" spans="1:11" s="268" customFormat="1" ht="13.5" thickBot="1">
      <c r="A137" s="1254" t="s">
        <v>467</v>
      </c>
      <c r="B137" s="1638" t="s">
        <v>209</v>
      </c>
      <c r="C137" s="1252">
        <f>SUM(C130:C136)</f>
        <v>4535</v>
      </c>
      <c r="D137" s="1252">
        <f>SUM(D130:D136)</f>
        <v>0</v>
      </c>
      <c r="E137" s="1252">
        <f>SUM(E130:E136)</f>
        <v>4535</v>
      </c>
      <c r="F137" s="971"/>
      <c r="I137" s="1768"/>
      <c r="J137" s="1740"/>
      <c r="K137" s="1677"/>
    </row>
    <row r="138" spans="1:11" s="268" customFormat="1" ht="13.5" thickBot="1">
      <c r="A138" s="972">
        <v>10</v>
      </c>
      <c r="B138" s="1621" t="s">
        <v>497</v>
      </c>
      <c r="C138" s="212">
        <f>C105+C107+C112+C115+C117+C119+C121+C123+C125+C129+C137</f>
        <v>8835</v>
      </c>
      <c r="D138" s="1307">
        <f>D105+D107+D112+D115+D117+D119+D121+D123+D125+D129+D137</f>
        <v>-800</v>
      </c>
      <c r="E138" s="212">
        <f>E105+E107+E112+E115+E117+E119+E121+E123+E125+E129+E137</f>
        <v>8035</v>
      </c>
      <c r="F138" s="971">
        <f>SUM(C138:D138)</f>
        <v>8035</v>
      </c>
      <c r="H138" s="248"/>
      <c r="I138" s="1768"/>
      <c r="J138" s="1740"/>
      <c r="K138" s="1677"/>
    </row>
    <row r="139" spans="1:11" s="268" customFormat="1" ht="13.5" thickBot="1">
      <c r="A139" s="972">
        <v>11</v>
      </c>
      <c r="B139" s="1621" t="s">
        <v>846</v>
      </c>
      <c r="C139" s="212">
        <v>194612</v>
      </c>
      <c r="D139" s="1307">
        <v>-129</v>
      </c>
      <c r="E139" s="212">
        <f>SUM(C139:D139)</f>
        <v>194483</v>
      </c>
      <c r="F139" s="971"/>
      <c r="H139" s="248"/>
      <c r="I139" s="1768">
        <v>26220</v>
      </c>
      <c r="J139" s="1740"/>
      <c r="K139" s="1677"/>
    </row>
    <row r="140" spans="1:11" s="268" customFormat="1" ht="13.5" thickBot="1">
      <c r="A140" s="1196"/>
      <c r="B140" s="1410" t="s">
        <v>608</v>
      </c>
      <c r="C140" s="1198"/>
      <c r="D140" s="1198">
        <v>1000</v>
      </c>
      <c r="E140" s="1382">
        <f>SUM(C140:D140)</f>
        <v>1000</v>
      </c>
      <c r="F140" s="971"/>
      <c r="H140" s="248"/>
      <c r="I140" s="1768"/>
      <c r="J140" s="1740"/>
      <c r="K140" s="1677"/>
    </row>
    <row r="141" spans="1:11" s="268" customFormat="1" ht="13.5" thickBot="1">
      <c r="A141" s="1194">
        <v>12</v>
      </c>
      <c r="B141" s="1366" t="s">
        <v>693</v>
      </c>
      <c r="C141" s="1195">
        <f>SUM(C140)</f>
        <v>0</v>
      </c>
      <c r="D141" s="1195">
        <f>SUM(D140)</f>
        <v>1000</v>
      </c>
      <c r="E141" s="1383">
        <f>SUM(E140)</f>
        <v>1000</v>
      </c>
      <c r="F141" s="971"/>
      <c r="H141" s="248"/>
      <c r="I141" s="1768"/>
      <c r="J141" s="1740"/>
      <c r="K141" s="1677"/>
    </row>
    <row r="142" spans="1:11" s="268" customFormat="1" ht="13.5" thickBot="1">
      <c r="A142" s="976" t="s">
        <v>95</v>
      </c>
      <c r="B142" s="1639" t="s">
        <v>862</v>
      </c>
      <c r="C142" s="218">
        <f>C138+C92+C90+C83+C29+C27+C24+C19+C21+C103+C139+C141</f>
        <v>2124684</v>
      </c>
      <c r="D142" s="218">
        <f>D138+D92+D90+D83+D29+D27+D24+D19+D21+D103+D139+D141</f>
        <v>174104</v>
      </c>
      <c r="E142" s="218">
        <f>E138+E92+E90+E83+E29+E27+E24+E19+E21+E103+E139+E141</f>
        <v>2298788</v>
      </c>
      <c r="F142" s="113">
        <f>C142+D142</f>
        <v>2298788</v>
      </c>
      <c r="G142" s="248">
        <f>'hivatal5 '!E24</f>
        <v>2298788</v>
      </c>
      <c r="H142" s="449">
        <f>F142-G142</f>
        <v>0</v>
      </c>
      <c r="I142" s="1768"/>
      <c r="J142" s="1740"/>
      <c r="K142" s="1678"/>
    </row>
    <row r="143" spans="1:11" s="268" customFormat="1" ht="12.75">
      <c r="A143" s="1188" t="s">
        <v>102</v>
      </c>
      <c r="B143" s="1640" t="s">
        <v>705</v>
      </c>
      <c r="C143" s="210">
        <f>hivatal1!C24</f>
        <v>2500</v>
      </c>
      <c r="D143" s="210">
        <f>hivatal1!D24</f>
        <v>18228</v>
      </c>
      <c r="E143" s="211">
        <f aca="true" t="shared" si="5" ref="E143:E158">SUM(C143:D143)</f>
        <v>20728</v>
      </c>
      <c r="F143" s="114"/>
      <c r="I143" s="1768"/>
      <c r="J143" s="1740"/>
      <c r="K143" s="1677"/>
    </row>
    <row r="144" spans="1:11" s="268" customFormat="1" ht="12.75">
      <c r="A144" s="977" t="s">
        <v>105</v>
      </c>
      <c r="B144" s="1640" t="s">
        <v>704</v>
      </c>
      <c r="C144" s="210">
        <f>+hivatal1!I24</f>
        <v>6929</v>
      </c>
      <c r="D144" s="210">
        <f>+hivatal1!J24</f>
        <v>0</v>
      </c>
      <c r="E144" s="211">
        <f t="shared" si="5"/>
        <v>6929</v>
      </c>
      <c r="F144" s="114"/>
      <c r="I144" s="1768">
        <v>6929</v>
      </c>
      <c r="J144" s="1740">
        <v>6929</v>
      </c>
      <c r="K144" s="1677"/>
    </row>
    <row r="145" spans="1:11" s="268" customFormat="1" ht="12.75">
      <c r="A145" s="977" t="s">
        <v>106</v>
      </c>
      <c r="B145" s="1640" t="s">
        <v>696</v>
      </c>
      <c r="C145" s="210">
        <f>hivatal1!L24</f>
        <v>2600</v>
      </c>
      <c r="D145" s="210">
        <f>hivatal1!M24</f>
        <v>1082</v>
      </c>
      <c r="E145" s="211">
        <f t="shared" si="5"/>
        <v>3682</v>
      </c>
      <c r="F145" s="114"/>
      <c r="I145" s="1768"/>
      <c r="J145" s="1740"/>
      <c r="K145" s="1677"/>
    </row>
    <row r="146" spans="1:11" s="268" customFormat="1" ht="12.75">
      <c r="A146" s="1032" t="s">
        <v>107</v>
      </c>
      <c r="B146" s="1640" t="s">
        <v>856</v>
      </c>
      <c r="C146" s="210">
        <f>hivatal1!O24</f>
        <v>0</v>
      </c>
      <c r="D146" s="210">
        <f>hivatal1!P24</f>
        <v>2223</v>
      </c>
      <c r="E146" s="211">
        <f t="shared" si="5"/>
        <v>2223</v>
      </c>
      <c r="F146" s="114"/>
      <c r="I146" s="1768"/>
      <c r="J146" s="1740"/>
      <c r="K146" s="1677"/>
    </row>
    <row r="147" spans="1:11" s="268" customFormat="1" ht="12.75">
      <c r="A147" s="1032" t="s">
        <v>315</v>
      </c>
      <c r="B147" s="1640" t="s">
        <v>697</v>
      </c>
      <c r="C147" s="210">
        <f>hivatal2!O24</f>
        <v>1440</v>
      </c>
      <c r="D147" s="210">
        <f>hivatal2!P24</f>
        <v>1497</v>
      </c>
      <c r="E147" s="211">
        <f t="shared" si="5"/>
        <v>2937</v>
      </c>
      <c r="F147" s="114"/>
      <c r="I147" s="1768">
        <v>291</v>
      </c>
      <c r="J147" s="1740">
        <v>291</v>
      </c>
      <c r="K147" s="1677">
        <v>107</v>
      </c>
    </row>
    <row r="148" spans="1:11" s="268" customFormat="1" ht="12.75">
      <c r="A148" s="977" t="s">
        <v>316</v>
      </c>
      <c r="B148" s="1641" t="s">
        <v>698</v>
      </c>
      <c r="C148" s="210">
        <f>hivatal4!C24</f>
        <v>2884</v>
      </c>
      <c r="D148" s="210">
        <f>hivatal4!D24</f>
        <v>-2884</v>
      </c>
      <c r="E148" s="211">
        <f t="shared" si="5"/>
        <v>0</v>
      </c>
      <c r="F148" s="114"/>
      <c r="I148" s="1768"/>
      <c r="J148" s="1740"/>
      <c r="K148" s="1677"/>
    </row>
    <row r="149" spans="1:11" s="268" customFormat="1" ht="12.75">
      <c r="A149" s="977" t="s">
        <v>110</v>
      </c>
      <c r="B149" s="1583" t="s">
        <v>699</v>
      </c>
      <c r="C149" s="210">
        <f>hivatal4!F24</f>
        <v>12966</v>
      </c>
      <c r="D149" s="210">
        <f>hivatal4!G24</f>
        <v>0</v>
      </c>
      <c r="E149" s="211">
        <f t="shared" si="5"/>
        <v>12966</v>
      </c>
      <c r="F149" s="114"/>
      <c r="I149" s="1768"/>
      <c r="J149" s="1740"/>
      <c r="K149" s="1677"/>
    </row>
    <row r="150" spans="1:11" s="268" customFormat="1" ht="12.75">
      <c r="A150" s="977" t="s">
        <v>122</v>
      </c>
      <c r="B150" s="1640" t="s">
        <v>499</v>
      </c>
      <c r="C150" s="210">
        <f>hivatal4!I24</f>
        <v>11226</v>
      </c>
      <c r="D150" s="210">
        <f>hivatal4!J24</f>
        <v>64</v>
      </c>
      <c r="E150" s="211">
        <f t="shared" si="5"/>
        <v>11290</v>
      </c>
      <c r="F150" s="114"/>
      <c r="I150" s="1768">
        <v>11226</v>
      </c>
      <c r="J150" s="1740">
        <v>11226</v>
      </c>
      <c r="K150" s="1677">
        <v>8183</v>
      </c>
    </row>
    <row r="151" spans="1:11" s="268" customFormat="1" ht="12.75">
      <c r="A151" s="977" t="s">
        <v>322</v>
      </c>
      <c r="B151" s="1583" t="s">
        <v>498</v>
      </c>
      <c r="C151" s="210">
        <f>hivatal4!L24</f>
        <v>1135326</v>
      </c>
      <c r="D151" s="210">
        <f>hivatal4!M24</f>
        <v>-226439</v>
      </c>
      <c r="E151" s="211">
        <f t="shared" si="5"/>
        <v>908887</v>
      </c>
      <c r="F151" s="114"/>
      <c r="I151" s="1768">
        <v>34874</v>
      </c>
      <c r="J151" s="1740">
        <v>30958</v>
      </c>
      <c r="K151" s="1677">
        <v>34289</v>
      </c>
    </row>
    <row r="152" spans="1:11" s="268" customFormat="1" ht="12.75">
      <c r="A152" s="977" t="s">
        <v>659</v>
      </c>
      <c r="B152" s="1640" t="s">
        <v>700</v>
      </c>
      <c r="C152" s="210">
        <f>'hivatal5 '!I24</f>
        <v>74670</v>
      </c>
      <c r="D152" s="210">
        <f>'hivatal5 '!J24</f>
        <v>46300</v>
      </c>
      <c r="E152" s="211">
        <f t="shared" si="5"/>
        <v>120970</v>
      </c>
      <c r="F152" s="114"/>
      <c r="I152" s="1768">
        <v>21910</v>
      </c>
      <c r="J152" s="1740">
        <v>16110</v>
      </c>
      <c r="K152" s="1677">
        <v>6729</v>
      </c>
    </row>
    <row r="153" spans="1:11" s="268" customFormat="1" ht="12.75">
      <c r="A153" s="1032" t="s">
        <v>706</v>
      </c>
      <c r="B153" s="1640" t="s">
        <v>520</v>
      </c>
      <c r="C153" s="210">
        <f>'hivatal5 '!O24</f>
        <v>1667</v>
      </c>
      <c r="D153" s="210">
        <f>'hivatal5 '!P24</f>
        <v>222</v>
      </c>
      <c r="E153" s="211">
        <f t="shared" si="5"/>
        <v>1889</v>
      </c>
      <c r="F153" s="114"/>
      <c r="I153" s="1768">
        <v>1889</v>
      </c>
      <c r="J153" s="1740">
        <v>1667</v>
      </c>
      <c r="K153" s="1677">
        <v>1276</v>
      </c>
    </row>
    <row r="154" spans="1:11" s="268" customFormat="1" ht="12.75">
      <c r="A154" s="1032" t="s">
        <v>707</v>
      </c>
      <c r="B154" s="1640" t="s">
        <v>502</v>
      </c>
      <c r="C154" s="210">
        <f>hivatal6!C24</f>
        <v>242990</v>
      </c>
      <c r="D154" s="210">
        <f>hivatal6!D24</f>
        <v>0</v>
      </c>
      <c r="E154" s="211">
        <f t="shared" si="5"/>
        <v>242990</v>
      </c>
      <c r="F154" s="114"/>
      <c r="I154" s="1768">
        <v>19408</v>
      </c>
      <c r="J154" s="1740">
        <v>3971</v>
      </c>
      <c r="K154" s="1677"/>
    </row>
    <row r="155" spans="1:11" s="268" customFormat="1" ht="12.75">
      <c r="A155" s="1032" t="s">
        <v>708</v>
      </c>
      <c r="B155" s="1583" t="s">
        <v>701</v>
      </c>
      <c r="C155" s="210">
        <f>hivatal6!F24</f>
        <v>1373</v>
      </c>
      <c r="D155" s="210">
        <f>hivatal6!G24</f>
        <v>0</v>
      </c>
      <c r="E155" s="211">
        <f t="shared" si="5"/>
        <v>1373</v>
      </c>
      <c r="F155" s="114"/>
      <c r="I155" s="1768">
        <v>1003</v>
      </c>
      <c r="J155" s="1740">
        <v>1003</v>
      </c>
      <c r="K155" s="1677">
        <v>1003</v>
      </c>
    </row>
    <row r="156" spans="1:11" s="268" customFormat="1" ht="12.75">
      <c r="A156" s="1032" t="s">
        <v>709</v>
      </c>
      <c r="B156" s="1584" t="s">
        <v>702</v>
      </c>
      <c r="C156" s="210">
        <f>hivatal6!L24</f>
        <v>114</v>
      </c>
      <c r="D156" s="210">
        <f>hivatal6!M24</f>
        <v>0</v>
      </c>
      <c r="E156" s="211">
        <f t="shared" si="5"/>
        <v>114</v>
      </c>
      <c r="F156" s="114"/>
      <c r="I156" s="1768"/>
      <c r="J156" s="1740"/>
      <c r="K156" s="1677"/>
    </row>
    <row r="157" spans="1:11" s="268" customFormat="1" ht="12.75">
      <c r="A157" s="1032" t="s">
        <v>792</v>
      </c>
      <c r="B157" s="1583" t="s">
        <v>703</v>
      </c>
      <c r="C157" s="210">
        <f>hivatal6!O24</f>
        <v>239643</v>
      </c>
      <c r="D157" s="210">
        <f>hivatal6!P24</f>
        <v>0</v>
      </c>
      <c r="E157" s="211">
        <f t="shared" si="5"/>
        <v>239643</v>
      </c>
      <c r="F157" s="114"/>
      <c r="I157" s="1768">
        <v>172854</v>
      </c>
      <c r="J157" s="1740">
        <v>137907</v>
      </c>
      <c r="K157" s="1677">
        <v>102959</v>
      </c>
    </row>
    <row r="158" spans="1:11" s="268" customFormat="1" ht="13.5" thickBot="1">
      <c r="A158" s="1586" t="s">
        <v>857</v>
      </c>
      <c r="B158" s="1585" t="s">
        <v>791</v>
      </c>
      <c r="C158" s="1688">
        <f>hivatal7!C24</f>
        <v>1048</v>
      </c>
      <c r="D158" s="1688">
        <f>hivatal7!D24</f>
        <v>0</v>
      </c>
      <c r="E158" s="1689">
        <f t="shared" si="5"/>
        <v>1048</v>
      </c>
      <c r="F158" s="114"/>
      <c r="I158" s="1768">
        <v>914</v>
      </c>
      <c r="J158" s="1740">
        <v>914</v>
      </c>
      <c r="K158" s="1677"/>
    </row>
    <row r="159" spans="1:11" s="268" customFormat="1" ht="14.25" thickBot="1" thickTop="1">
      <c r="A159" s="1187" t="s">
        <v>120</v>
      </c>
      <c r="B159" s="1642" t="s">
        <v>858</v>
      </c>
      <c r="C159" s="1180">
        <f>SUM(C142:C158)</f>
        <v>3862060</v>
      </c>
      <c r="D159" s="1180">
        <f>SUM(D142:D158)</f>
        <v>14397</v>
      </c>
      <c r="E159" s="1180">
        <f>SUM(E142:E158)</f>
        <v>3876457</v>
      </c>
      <c r="F159" s="448">
        <f>SUM(C159:D159)</f>
        <v>3876457</v>
      </c>
      <c r="G159" s="978"/>
      <c r="I159" s="1768"/>
      <c r="J159" s="1740"/>
      <c r="K159" s="1677"/>
    </row>
    <row r="160" spans="1:11" s="268" customFormat="1" ht="14.25" thickBot="1" thickTop="1">
      <c r="A160" s="979" t="s">
        <v>121</v>
      </c>
      <c r="B160" s="1643" t="s">
        <v>199</v>
      </c>
      <c r="C160" s="220">
        <f>hivatal9!F24</f>
        <v>83547</v>
      </c>
      <c r="D160" s="221">
        <f>hivatal9!G24</f>
        <v>-949</v>
      </c>
      <c r="E160" s="221">
        <f>SUM(C160:D160)</f>
        <v>82598</v>
      </c>
      <c r="F160" s="448">
        <f>SUM(C160:D160)</f>
        <v>82598</v>
      </c>
      <c r="G160" s="978"/>
      <c r="I160" s="1768"/>
      <c r="J160" s="1740"/>
      <c r="K160" s="1677"/>
    </row>
    <row r="161" spans="1:11" s="114" customFormat="1" ht="14.25" thickBot="1" thickTop="1">
      <c r="A161" s="200"/>
      <c r="B161" s="1644" t="s">
        <v>219</v>
      </c>
      <c r="C161" s="222">
        <f>SUM(C159:C160)</f>
        <v>3945607</v>
      </c>
      <c r="D161" s="1312">
        <f>SUM(D159:D160)</f>
        <v>13448</v>
      </c>
      <c r="E161" s="222">
        <f>SUM(E159:E160)</f>
        <v>3959055</v>
      </c>
      <c r="F161" s="448">
        <f>SUM(E159:E160)</f>
        <v>3959055</v>
      </c>
      <c r="G161" s="448">
        <f>hivatal9!K24</f>
        <v>3959055</v>
      </c>
      <c r="H161" s="225">
        <f>F161-G161</f>
        <v>0</v>
      </c>
      <c r="I161" s="1769">
        <f>SUM(I7:I158)</f>
        <v>1336842</v>
      </c>
      <c r="J161" s="1741">
        <f>SUM(J7:J158)</f>
        <v>984200</v>
      </c>
      <c r="K161" s="1679">
        <f>SUM(K8:K160)</f>
        <v>396854</v>
      </c>
    </row>
    <row r="162" spans="1:11" s="268" customFormat="1" ht="12.75">
      <c r="A162" s="980"/>
      <c r="B162" s="1645"/>
      <c r="C162" s="981"/>
      <c r="D162" s="982"/>
      <c r="E162" s="29"/>
      <c r="F162" s="969"/>
      <c r="I162" s="1768"/>
      <c r="J162" s="1740"/>
      <c r="K162" s="1674"/>
    </row>
    <row r="163" spans="1:11" s="268" customFormat="1" ht="12.75">
      <c r="A163" s="980"/>
      <c r="B163" s="1645"/>
      <c r="C163" s="981"/>
      <c r="D163" s="982"/>
      <c r="E163" s="29"/>
      <c r="F163" s="969"/>
      <c r="I163" s="1768"/>
      <c r="J163" s="1740"/>
      <c r="K163" s="1674"/>
    </row>
    <row r="164" spans="1:11" s="268" customFormat="1" ht="12.75">
      <c r="A164" s="980"/>
      <c r="B164" s="1646"/>
      <c r="C164" s="983"/>
      <c r="D164" s="982"/>
      <c r="E164" s="29"/>
      <c r="F164" s="969"/>
      <c r="I164" s="1768"/>
      <c r="J164" s="1740"/>
      <c r="K164" s="1674"/>
    </row>
    <row r="165" spans="1:11" s="268" customFormat="1" ht="12.75">
      <c r="A165" s="980"/>
      <c r="B165" s="1646"/>
      <c r="C165" s="983"/>
      <c r="D165" s="982"/>
      <c r="E165" s="29"/>
      <c r="F165" s="969"/>
      <c r="I165" s="1768"/>
      <c r="J165" s="1740"/>
      <c r="K165" s="1674"/>
    </row>
    <row r="166" spans="1:11" s="268" customFormat="1" ht="12.75">
      <c r="A166" s="984"/>
      <c r="B166" s="1647"/>
      <c r="C166" s="984"/>
      <c r="D166" s="985"/>
      <c r="E166" s="986"/>
      <c r="F166" s="969"/>
      <c r="I166" s="1768"/>
      <c r="J166" s="1740"/>
      <c r="K166" s="1674"/>
    </row>
    <row r="167" spans="1:11" s="268" customFormat="1" ht="14.25">
      <c r="A167" s="987"/>
      <c r="B167" s="1648"/>
      <c r="C167" s="984"/>
      <c r="D167" s="988"/>
      <c r="E167" s="984"/>
      <c r="F167" s="969"/>
      <c r="I167" s="1768"/>
      <c r="J167" s="1740"/>
      <c r="K167" s="1674"/>
    </row>
    <row r="168" spans="1:11" s="268" customFormat="1" ht="12.75">
      <c r="A168" s="989"/>
      <c r="B168" s="1649"/>
      <c r="C168" s="69"/>
      <c r="D168" s="69"/>
      <c r="E168" s="69"/>
      <c r="F168" s="969"/>
      <c r="I168" s="1768"/>
      <c r="J168" s="1740"/>
      <c r="K168" s="1674"/>
    </row>
    <row r="169" spans="1:11" s="268" customFormat="1" ht="12.75">
      <c r="A169" s="989"/>
      <c r="B169" s="1649"/>
      <c r="C169" s="69"/>
      <c r="D169" s="69"/>
      <c r="E169" s="69"/>
      <c r="F169" s="969"/>
      <c r="I169" s="1768"/>
      <c r="J169" s="1740"/>
      <c r="K169" s="1674"/>
    </row>
    <row r="170" spans="1:11" s="524" customFormat="1" ht="15">
      <c r="A170" s="990"/>
      <c r="B170" s="1648"/>
      <c r="C170" s="30"/>
      <c r="D170" s="30"/>
      <c r="E170" s="30"/>
      <c r="F170" s="991"/>
      <c r="I170" s="1772"/>
      <c r="J170" s="1744"/>
      <c r="K170" s="1680"/>
    </row>
    <row r="171" spans="1:6" ht="15">
      <c r="A171" s="980"/>
      <c r="B171" s="1646"/>
      <c r="C171" s="56"/>
      <c r="D171" s="56"/>
      <c r="E171" s="30"/>
      <c r="F171" s="969"/>
    </row>
    <row r="172" spans="1:6" ht="14.25">
      <c r="A172" s="989"/>
      <c r="B172" s="1648"/>
      <c r="C172" s="30"/>
      <c r="D172" s="30"/>
      <c r="E172" s="30"/>
      <c r="F172" s="969"/>
    </row>
    <row r="173" spans="1:6" ht="14.25">
      <c r="A173" s="989"/>
      <c r="B173" s="1646"/>
      <c r="C173" s="30"/>
      <c r="D173" s="30"/>
      <c r="E173" s="30"/>
      <c r="F173" s="969"/>
    </row>
    <row r="174" spans="1:6" ht="14.25">
      <c r="A174" s="989"/>
      <c r="B174" s="1649"/>
      <c r="C174" s="30"/>
      <c r="D174" s="30"/>
      <c r="E174" s="30"/>
      <c r="F174" s="969"/>
    </row>
    <row r="175" spans="1:6" ht="14.25">
      <c r="A175" s="989"/>
      <c r="B175" s="1646"/>
      <c r="C175" s="30"/>
      <c r="D175" s="30"/>
      <c r="E175" s="30"/>
      <c r="F175" s="969"/>
    </row>
    <row r="176" spans="1:6" ht="14.25">
      <c r="A176" s="989"/>
      <c r="B176" s="1646"/>
      <c r="C176" s="30"/>
      <c r="D176" s="30"/>
      <c r="E176" s="30"/>
      <c r="F176" s="969"/>
    </row>
    <row r="177" spans="1:6" ht="14.25">
      <c r="A177" s="989"/>
      <c r="B177" s="1649"/>
      <c r="C177" s="30"/>
      <c r="D177" s="30"/>
      <c r="E177" s="30"/>
      <c r="F177" s="969"/>
    </row>
    <row r="178" spans="1:6" ht="14.25">
      <c r="A178" s="989"/>
      <c r="B178" s="1649"/>
      <c r="C178" s="30"/>
      <c r="D178" s="30"/>
      <c r="E178" s="30"/>
      <c r="F178" s="973"/>
    </row>
    <row r="179" spans="1:6" ht="15">
      <c r="A179" s="980"/>
      <c r="B179" s="1646"/>
      <c r="C179" s="56"/>
      <c r="D179" s="56"/>
      <c r="E179" s="30"/>
      <c r="F179" s="973"/>
    </row>
    <row r="180" spans="1:6" ht="15">
      <c r="A180" s="980"/>
      <c r="B180" s="1646"/>
      <c r="C180" s="56"/>
      <c r="D180" s="56"/>
      <c r="E180" s="30"/>
      <c r="F180" s="973"/>
    </row>
    <row r="181" spans="1:6" ht="15">
      <c r="A181" s="980"/>
      <c r="B181" s="1646"/>
      <c r="C181" s="56"/>
      <c r="D181" s="56"/>
      <c r="E181" s="30"/>
      <c r="F181" s="973"/>
    </row>
    <row r="182" spans="1:6" ht="15">
      <c r="A182" s="980"/>
      <c r="B182" s="1646"/>
      <c r="C182" s="56"/>
      <c r="D182" s="56"/>
      <c r="E182" s="30"/>
      <c r="F182" s="973"/>
    </row>
    <row r="183" spans="1:6" ht="15">
      <c r="A183" s="980"/>
      <c r="B183" s="1646"/>
      <c r="C183" s="56"/>
      <c r="D183" s="56"/>
      <c r="E183" s="30"/>
      <c r="F183" s="973"/>
    </row>
    <row r="184" spans="1:6" ht="15">
      <c r="A184" s="980"/>
      <c r="B184" s="1646"/>
      <c r="C184" s="56"/>
      <c r="D184" s="56"/>
      <c r="E184" s="30"/>
      <c r="F184" s="973"/>
    </row>
    <row r="185" spans="1:6" ht="15">
      <c r="A185" s="980"/>
      <c r="B185" s="1646"/>
      <c r="C185" s="56"/>
      <c r="D185" s="56"/>
      <c r="E185" s="30"/>
      <c r="F185" s="973"/>
    </row>
    <row r="186" spans="1:6" ht="15">
      <c r="A186" s="980"/>
      <c r="B186" s="1646"/>
      <c r="C186" s="56"/>
      <c r="D186" s="56"/>
      <c r="E186" s="30"/>
      <c r="F186" s="973"/>
    </row>
    <row r="187" spans="1:6" ht="15">
      <c r="A187" s="980"/>
      <c r="B187" s="1646"/>
      <c r="C187" s="56"/>
      <c r="D187" s="56"/>
      <c r="E187" s="30"/>
      <c r="F187" s="973"/>
    </row>
    <row r="188" spans="1:6" ht="14.25">
      <c r="A188" s="989"/>
      <c r="B188" s="1649"/>
      <c r="C188" s="30"/>
      <c r="D188" s="30"/>
      <c r="E188" s="30"/>
      <c r="F188" s="973"/>
    </row>
    <row r="189" spans="1:6" ht="15">
      <c r="A189" s="980"/>
      <c r="B189" s="1646"/>
      <c r="C189" s="57"/>
      <c r="D189" s="56"/>
      <c r="E189" s="58"/>
      <c r="F189" s="973"/>
    </row>
    <row r="190" spans="1:6" ht="14.25">
      <c r="A190" s="989"/>
      <c r="B190" s="1649"/>
      <c r="C190" s="30"/>
      <c r="D190" s="30"/>
      <c r="E190" s="30"/>
      <c r="F190" s="969"/>
    </row>
    <row r="191" spans="1:6" ht="12.75">
      <c r="A191" s="992"/>
      <c r="B191" s="1650"/>
      <c r="C191" s="992"/>
      <c r="D191" s="993"/>
      <c r="E191" s="994"/>
      <c r="F191" s="969"/>
    </row>
    <row r="192" spans="1:6" ht="12.75">
      <c r="A192" s="992"/>
      <c r="B192" s="1650"/>
      <c r="C192" s="992"/>
      <c r="D192" s="993"/>
      <c r="E192" s="994"/>
      <c r="F192" s="969"/>
    </row>
    <row r="193" ht="12.75">
      <c r="F193" s="969"/>
    </row>
    <row r="194" ht="12.75">
      <c r="F194" s="969"/>
    </row>
    <row r="195" ht="12.75">
      <c r="F195" s="969"/>
    </row>
    <row r="196" ht="12.75">
      <c r="F196" s="969"/>
    </row>
    <row r="197" ht="12.75">
      <c r="F197" s="969"/>
    </row>
  </sheetData>
  <sheetProtection/>
  <mergeCells count="8">
    <mergeCell ref="J54:J55"/>
    <mergeCell ref="A3:E3"/>
    <mergeCell ref="A4:E4"/>
    <mergeCell ref="A30:A82"/>
    <mergeCell ref="A126:A128"/>
    <mergeCell ref="A130:A136"/>
    <mergeCell ref="A84:A89"/>
    <mergeCell ref="I54:I55"/>
  </mergeCells>
  <printOptions horizontalCentered="1" verticalCentered="1"/>
  <pageMargins left="0.31496062992125984" right="0.15748031496062992" top="0.15748031496062992" bottom="0.31496062992125984" header="0.1968503937007874" footer="0.15748031496062992"/>
  <pageSetup fitToHeight="2" horizontalDpi="600" verticalDpi="600" orientation="portrait" paperSize="9" scale="71" r:id="rId1"/>
  <headerFooter alignWithMargins="0">
    <oddHeader>&amp;R8. melléklet a 3/2021.(II.23.) számú 
Önkormányzati rendelethez
&amp;P. oldal</oddHeader>
    <oddFooter>&amp;L&amp;F&amp;C&amp;D, &amp;T&amp;R&amp;A</oddFooter>
  </headerFooter>
  <rowBreaks count="1" manualBreakCount="1">
    <brk id="83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A44"/>
  <sheetViews>
    <sheetView showGridLines="0" zoomScale="90" zoomScaleNormal="90" zoomScalePageLayoutView="0" workbookViewId="0" topLeftCell="A1">
      <pane xSplit="3" ySplit="9" topLeftCell="D20" activePane="bottomRight" state="frozen"/>
      <selection pane="topLeft" activeCell="M28" sqref="M28"/>
      <selection pane="topRight" activeCell="M28" sqref="M28"/>
      <selection pane="bottomLeft" activeCell="M28" sqref="M28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96.50390625" style="0" customWidth="1"/>
    <col min="4" max="4" width="14.625" style="0" customWidth="1"/>
    <col min="5" max="5" width="15.50390625" style="18" customWidth="1"/>
    <col min="6" max="6" width="16.0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09" t="s">
        <v>884</v>
      </c>
    </row>
    <row r="2" spans="1:6" ht="12.75">
      <c r="A2" s="1"/>
      <c r="E2" s="27"/>
      <c r="F2" s="109" t="s">
        <v>93</v>
      </c>
    </row>
    <row r="3" spans="1:4" ht="12" customHeight="1">
      <c r="A3" s="1"/>
      <c r="D3" s="17"/>
    </row>
    <row r="4" spans="1:6" ht="18">
      <c r="A4" s="19" t="s">
        <v>574</v>
      </c>
      <c r="B4" s="19"/>
      <c r="C4" s="6"/>
      <c r="D4" s="19"/>
      <c r="E4" s="51"/>
      <c r="F4" s="52"/>
    </row>
    <row r="5" spans="1:6" ht="15.75">
      <c r="A5" s="19" t="s">
        <v>590</v>
      </c>
      <c r="B5" s="19"/>
      <c r="C5" s="12"/>
      <c r="D5" s="19"/>
      <c r="E5" s="51"/>
      <c r="F5" s="52"/>
    </row>
    <row r="6" spans="1:6" ht="13.5" thickBot="1">
      <c r="A6" s="1"/>
      <c r="D6" s="17"/>
      <c r="F6" s="13" t="s">
        <v>134</v>
      </c>
    </row>
    <row r="7" spans="1:6" s="94" customFormat="1" ht="33" customHeight="1" thickBot="1">
      <c r="A7" s="20" t="s">
        <v>185</v>
      </c>
      <c r="B7" s="21"/>
      <c r="C7" s="70" t="s">
        <v>186</v>
      </c>
      <c r="D7" s="1523" t="s">
        <v>664</v>
      </c>
      <c r="E7" s="1532" t="s">
        <v>130</v>
      </c>
      <c r="F7" s="133" t="s">
        <v>660</v>
      </c>
    </row>
    <row r="8" spans="1:6" ht="13.5" thickBot="1">
      <c r="A8" s="45">
        <v>1</v>
      </c>
      <c r="B8" s="46">
        <v>2</v>
      </c>
      <c r="C8" s="47"/>
      <c r="D8" s="1315">
        <v>3</v>
      </c>
      <c r="E8" s="1316">
        <v>4</v>
      </c>
      <c r="F8" s="1317">
        <v>5</v>
      </c>
    </row>
    <row r="9" spans="1:11" s="521" customFormat="1" ht="24.75" customHeight="1" thickBot="1">
      <c r="A9" s="300" t="s">
        <v>95</v>
      </c>
      <c r="B9" s="1971" t="s">
        <v>187</v>
      </c>
      <c r="C9" s="1972"/>
      <c r="D9" s="548">
        <v>150000</v>
      </c>
      <c r="E9" s="549">
        <f>F9-D9</f>
        <v>-72475</v>
      </c>
      <c r="F9" s="550">
        <v>77525</v>
      </c>
      <c r="G9" s="522" t="s">
        <v>467</v>
      </c>
      <c r="I9" s="661"/>
      <c r="K9" s="522"/>
    </row>
    <row r="10" spans="1:11" s="525" customFormat="1" ht="18.75" customHeight="1">
      <c r="A10" s="523"/>
      <c r="B10" s="1518" t="s">
        <v>188</v>
      </c>
      <c r="C10" s="530"/>
      <c r="D10" s="1181"/>
      <c r="E10" s="1182"/>
      <c r="F10" s="1183"/>
      <c r="I10" s="94"/>
      <c r="J10" s="526"/>
      <c r="K10" s="527"/>
    </row>
    <row r="11" spans="1:11" s="525" customFormat="1" ht="18.75" customHeight="1">
      <c r="A11" s="523"/>
      <c r="B11" s="530"/>
      <c r="C11" s="139" t="s">
        <v>66</v>
      </c>
      <c r="D11" s="186">
        <v>34786</v>
      </c>
      <c r="E11" s="531">
        <f>-31089-3697</f>
        <v>-34786</v>
      </c>
      <c r="F11" s="528">
        <f>SUM(D11:E11)</f>
        <v>0</v>
      </c>
      <c r="G11" s="529" t="s">
        <v>467</v>
      </c>
      <c r="I11" s="94"/>
      <c r="J11" s="526"/>
      <c r="K11" s="527"/>
    </row>
    <row r="12" spans="1:11" s="525" customFormat="1" ht="18.75" customHeight="1">
      <c r="A12" s="523"/>
      <c r="B12" s="530"/>
      <c r="C12" s="532" t="s">
        <v>141</v>
      </c>
      <c r="D12" s="185">
        <v>10003</v>
      </c>
      <c r="E12" s="531">
        <f>-196-383-24-1000+500</f>
        <v>-1103</v>
      </c>
      <c r="F12" s="528">
        <f aca="true" t="shared" si="0" ref="F12:F23">SUM(D12:E12)</f>
        <v>8900</v>
      </c>
      <c r="G12" s="529"/>
      <c r="I12" s="94"/>
      <c r="K12" s="527"/>
    </row>
    <row r="13" spans="1:11" s="545" customFormat="1" ht="18.75" customHeight="1">
      <c r="A13" s="523"/>
      <c r="B13" s="1162"/>
      <c r="C13" s="1163" t="s">
        <v>164</v>
      </c>
      <c r="D13" s="185">
        <v>203527</v>
      </c>
      <c r="E13" s="1164">
        <f>-20000-343-211-656-401+665-142581</f>
        <v>-163527</v>
      </c>
      <c r="F13" s="1165">
        <f t="shared" si="0"/>
        <v>40000</v>
      </c>
      <c r="G13" s="1022"/>
      <c r="I13" s="208"/>
      <c r="K13" s="1023"/>
    </row>
    <row r="14" spans="1:7" s="525" customFormat="1" ht="18.75" customHeight="1">
      <c r="A14" s="523"/>
      <c r="B14" s="530"/>
      <c r="C14" s="139" t="s">
        <v>150</v>
      </c>
      <c r="D14" s="185">
        <v>55137</v>
      </c>
      <c r="E14" s="531">
        <f>60-2700+71+108</f>
        <v>-2461</v>
      </c>
      <c r="F14" s="528">
        <f t="shared" si="0"/>
        <v>52676</v>
      </c>
      <c r="G14" s="529" t="s">
        <v>467</v>
      </c>
    </row>
    <row r="15" spans="1:11" s="525" customFormat="1" ht="18.75" customHeight="1">
      <c r="A15" s="523"/>
      <c r="B15" s="530"/>
      <c r="C15" s="139" t="s">
        <v>313</v>
      </c>
      <c r="D15" s="187">
        <v>760</v>
      </c>
      <c r="E15" s="531">
        <v>-760</v>
      </c>
      <c r="F15" s="528">
        <f t="shared" si="0"/>
        <v>0</v>
      </c>
      <c r="G15" s="529" t="s">
        <v>467</v>
      </c>
      <c r="I15" s="94"/>
      <c r="J15" s="94"/>
      <c r="K15" s="94"/>
    </row>
    <row r="16" spans="1:7" s="525" customFormat="1" ht="18.75" customHeight="1">
      <c r="A16" s="523"/>
      <c r="B16" s="530"/>
      <c r="C16" s="139" t="s">
        <v>317</v>
      </c>
      <c r="D16" s="187">
        <v>1191</v>
      </c>
      <c r="E16" s="531">
        <f>1648-2839</f>
        <v>-1191</v>
      </c>
      <c r="F16" s="528">
        <f t="shared" si="0"/>
        <v>0</v>
      </c>
      <c r="G16" s="529"/>
    </row>
    <row r="17" spans="1:7" s="525" customFormat="1" ht="18.75" customHeight="1">
      <c r="A17" s="523"/>
      <c r="B17" s="530"/>
      <c r="C17" s="1341" t="s">
        <v>600</v>
      </c>
      <c r="D17" s="187">
        <v>4727</v>
      </c>
      <c r="E17" s="531"/>
      <c r="F17" s="528">
        <f t="shared" si="0"/>
        <v>4727</v>
      </c>
      <c r="G17" s="529"/>
    </row>
    <row r="18" spans="1:7" s="525" customFormat="1" ht="18.75" customHeight="1">
      <c r="A18" s="523"/>
      <c r="B18" s="530"/>
      <c r="C18" s="1525" t="s">
        <v>669</v>
      </c>
      <c r="D18" s="187">
        <v>6231</v>
      </c>
      <c r="E18" s="1524">
        <v>-6231</v>
      </c>
      <c r="F18" s="528">
        <f t="shared" si="0"/>
        <v>0</v>
      </c>
      <c r="G18" s="529"/>
    </row>
    <row r="19" spans="1:7" s="525" customFormat="1" ht="18.75" customHeight="1">
      <c r="A19" s="523"/>
      <c r="B19" s="530"/>
      <c r="C19" s="1526" t="s">
        <v>670</v>
      </c>
      <c r="D19" s="187">
        <v>2000</v>
      </c>
      <c r="E19" s="1524"/>
      <c r="F19" s="528">
        <f t="shared" si="0"/>
        <v>2000</v>
      </c>
      <c r="G19" s="529"/>
    </row>
    <row r="20" spans="1:7" s="525" customFormat="1" ht="18.75" customHeight="1">
      <c r="A20" s="523"/>
      <c r="B20" s="530"/>
      <c r="C20" s="1527" t="s">
        <v>671</v>
      </c>
      <c r="D20" s="187">
        <v>3328</v>
      </c>
      <c r="E20" s="1524"/>
      <c r="F20" s="528">
        <f t="shared" si="0"/>
        <v>3328</v>
      </c>
      <c r="G20" s="529"/>
    </row>
    <row r="21" spans="1:7" s="525" customFormat="1" ht="18.75" customHeight="1">
      <c r="A21" s="523"/>
      <c r="B21" s="530"/>
      <c r="C21" s="139" t="s">
        <v>78</v>
      </c>
      <c r="D21" s="187">
        <v>600</v>
      </c>
      <c r="E21" s="1524">
        <v>-600</v>
      </c>
      <c r="F21" s="528">
        <f t="shared" si="0"/>
        <v>0</v>
      </c>
      <c r="G21" s="529"/>
    </row>
    <row r="22" spans="1:7" s="525" customFormat="1" ht="18.75" customHeight="1">
      <c r="A22" s="523"/>
      <c r="B22" s="530"/>
      <c r="C22" s="139" t="s">
        <v>65</v>
      </c>
      <c r="D22" s="187">
        <v>6500</v>
      </c>
      <c r="E22" s="1524">
        <f>-4425-2075</f>
        <v>-6500</v>
      </c>
      <c r="F22" s="528">
        <f t="shared" si="0"/>
        <v>0</v>
      </c>
      <c r="G22" s="529"/>
    </row>
    <row r="23" spans="1:7" s="525" customFormat="1" ht="18.75" customHeight="1">
      <c r="A23" s="523"/>
      <c r="B23" s="530"/>
      <c r="C23" s="1341" t="s">
        <v>661</v>
      </c>
      <c r="D23" s="185">
        <v>95196</v>
      </c>
      <c r="E23" s="1524">
        <f>-250-16215-8800-11000-7030-15-6071-10000-3120-3000-478-29217</f>
        <v>-95196</v>
      </c>
      <c r="F23" s="528">
        <f t="shared" si="0"/>
        <v>0</v>
      </c>
      <c r="G23" s="529"/>
    </row>
    <row r="24" spans="1:7" s="525" customFormat="1" ht="18.75" customHeight="1">
      <c r="A24" s="523"/>
      <c r="B24" s="530"/>
      <c r="C24" s="1341" t="s">
        <v>755</v>
      </c>
      <c r="D24" s="185">
        <v>572421</v>
      </c>
      <c r="E24" s="1524">
        <v>-572421</v>
      </c>
      <c r="F24" s="528">
        <f>SUM(D24:E24)</f>
        <v>0</v>
      </c>
      <c r="G24" s="529"/>
    </row>
    <row r="25" spans="1:7" s="525" customFormat="1" ht="18.75" customHeight="1">
      <c r="A25" s="523"/>
      <c r="B25" s="530"/>
      <c r="C25" s="1720" t="s">
        <v>756</v>
      </c>
      <c r="D25" s="185">
        <v>17850</v>
      </c>
      <c r="E25" s="1524">
        <v>-17850</v>
      </c>
      <c r="F25" s="1719">
        <f>SUM(D25:E25)</f>
        <v>0</v>
      </c>
      <c r="G25" s="529"/>
    </row>
    <row r="26" spans="1:7" s="525" customFormat="1" ht="18.75" customHeight="1">
      <c r="A26" s="523"/>
      <c r="B26" s="530"/>
      <c r="C26" s="1720" t="s">
        <v>806</v>
      </c>
      <c r="D26" s="1763">
        <v>83612</v>
      </c>
      <c r="E26" s="1764">
        <f>-12604-4539-66469</f>
        <v>-83612</v>
      </c>
      <c r="F26" s="1719">
        <f>SUM(D26:E26)</f>
        <v>0</v>
      </c>
      <c r="G26" s="529"/>
    </row>
    <row r="27" spans="1:7" s="525" customFormat="1" ht="18.75" customHeight="1">
      <c r="A27" s="523"/>
      <c r="B27" s="530"/>
      <c r="C27" s="1720" t="s">
        <v>849</v>
      </c>
      <c r="D27" s="185"/>
      <c r="E27" s="1524">
        <v>1500</v>
      </c>
      <c r="F27" s="1719">
        <f>SUM(D27:E27)</f>
        <v>1500</v>
      </c>
      <c r="G27" s="529"/>
    </row>
    <row r="28" spans="1:7" s="525" customFormat="1" ht="18.75" customHeight="1" thickBot="1">
      <c r="A28" s="523"/>
      <c r="B28" s="530"/>
      <c r="C28" s="1777" t="s">
        <v>870</v>
      </c>
      <c r="D28" s="1717"/>
      <c r="E28" s="1718">
        <v>126</v>
      </c>
      <c r="F28" s="1719">
        <f>SUM(D28:E28)</f>
        <v>126</v>
      </c>
      <c r="G28" s="529"/>
    </row>
    <row r="29" spans="1:7" s="545" customFormat="1" ht="18.75" customHeight="1" thickBot="1">
      <c r="A29" s="546" t="s">
        <v>57</v>
      </c>
      <c r="B29" s="1973" t="s">
        <v>318</v>
      </c>
      <c r="C29" s="1974"/>
      <c r="D29" s="1691">
        <f>SUM(D11:D28)</f>
        <v>1097869</v>
      </c>
      <c r="E29" s="1530">
        <f>SUM(E11:E28)</f>
        <v>-984612</v>
      </c>
      <c r="F29" s="1692">
        <f>SUM(F11:F28)</f>
        <v>113257</v>
      </c>
      <c r="G29" s="547">
        <f>SUM(D29:E29)</f>
        <v>113257</v>
      </c>
    </row>
    <row r="30" spans="1:11" s="525" customFormat="1" ht="18.75" customHeight="1">
      <c r="A30" s="523"/>
      <c r="B30" s="530"/>
      <c r="C30" s="532" t="s">
        <v>534</v>
      </c>
      <c r="D30" s="1515">
        <v>70630</v>
      </c>
      <c r="E30" s="1516">
        <f>-28245-27385</f>
        <v>-55630</v>
      </c>
      <c r="F30" s="1416">
        <f aca="true" t="shared" si="1" ref="F30:F36">SUM(D30:E30)</f>
        <v>15000</v>
      </c>
      <c r="G30" s="529"/>
      <c r="I30" s="728"/>
      <c r="K30" s="527"/>
    </row>
    <row r="31" spans="1:11" s="525" customFormat="1" ht="18.75" customHeight="1">
      <c r="A31" s="523"/>
      <c r="B31" s="530"/>
      <c r="C31" s="532" t="s">
        <v>662</v>
      </c>
      <c r="D31" s="1528">
        <v>151893</v>
      </c>
      <c r="E31" s="531">
        <f>-45000-2294-2223-1290-1304-419-161-60715-30147-8340</f>
        <v>-151893</v>
      </c>
      <c r="F31" s="528">
        <f t="shared" si="1"/>
        <v>0</v>
      </c>
      <c r="G31" s="529"/>
      <c r="I31" s="728"/>
      <c r="K31" s="527"/>
    </row>
    <row r="32" spans="1:11" s="525" customFormat="1" ht="18.75" customHeight="1">
      <c r="A32" s="523"/>
      <c r="B32" s="530"/>
      <c r="C32" s="532" t="s">
        <v>500</v>
      </c>
      <c r="D32" s="1528">
        <v>15700</v>
      </c>
      <c r="E32" s="531"/>
      <c r="F32" s="528">
        <f t="shared" si="1"/>
        <v>15700</v>
      </c>
      <c r="G32" s="529"/>
      <c r="I32" s="728"/>
      <c r="K32" s="527"/>
    </row>
    <row r="33" spans="1:11" s="525" customFormat="1" ht="18.75" customHeight="1">
      <c r="A33" s="523"/>
      <c r="B33" s="530"/>
      <c r="C33" s="532" t="s">
        <v>432</v>
      </c>
      <c r="D33" s="1528">
        <v>150000</v>
      </c>
      <c r="E33" s="531">
        <f>-35000-11300-103700</f>
        <v>-150000</v>
      </c>
      <c r="F33" s="528">
        <f t="shared" si="1"/>
        <v>0</v>
      </c>
      <c r="G33" s="529"/>
      <c r="I33" s="728"/>
      <c r="K33" s="527"/>
    </row>
    <row r="34" spans="1:11" s="525" customFormat="1" ht="18.75" customHeight="1">
      <c r="A34" s="523"/>
      <c r="B34" s="530"/>
      <c r="C34" s="532" t="s">
        <v>672</v>
      </c>
      <c r="D34" s="1528">
        <v>3000</v>
      </c>
      <c r="E34" s="531">
        <v>-3000</v>
      </c>
      <c r="F34" s="528">
        <f t="shared" si="1"/>
        <v>0</v>
      </c>
      <c r="G34" s="529"/>
      <c r="I34" s="728"/>
      <c r="K34" s="527"/>
    </row>
    <row r="35" spans="1:11" s="525" customFormat="1" ht="18.75" customHeight="1">
      <c r="A35" s="523"/>
      <c r="B35" s="530"/>
      <c r="C35" s="532" t="s">
        <v>796</v>
      </c>
      <c r="D35" s="1528">
        <v>30000</v>
      </c>
      <c r="E35" s="531">
        <v>-30000</v>
      </c>
      <c r="F35" s="528">
        <f t="shared" si="1"/>
        <v>0</v>
      </c>
      <c r="G35" s="529"/>
      <c r="I35" s="728"/>
      <c r="K35" s="527"/>
    </row>
    <row r="36" spans="1:11" s="525" customFormat="1" ht="18.75" customHeight="1" thickBot="1">
      <c r="A36" s="523"/>
      <c r="B36" s="530"/>
      <c r="C36" s="532" t="s">
        <v>876</v>
      </c>
      <c r="D36" s="1696"/>
      <c r="E36" s="1697">
        <v>1825</v>
      </c>
      <c r="F36" s="528">
        <f t="shared" si="1"/>
        <v>1825</v>
      </c>
      <c r="G36" s="529"/>
      <c r="I36" s="728"/>
      <c r="K36" s="527"/>
    </row>
    <row r="37" spans="1:7" s="525" customFormat="1" ht="18.75" customHeight="1" thickBot="1">
      <c r="A37" s="546" t="s">
        <v>58</v>
      </c>
      <c r="B37" s="1975" t="s">
        <v>319</v>
      </c>
      <c r="C37" s="1976"/>
      <c r="D37" s="1184">
        <f>SUM(D30:D36)</f>
        <v>421223</v>
      </c>
      <c r="E37" s="1531">
        <f>SUM(E30:E36)</f>
        <v>-388698</v>
      </c>
      <c r="F37" s="1529">
        <f>SUM(F30:F36)</f>
        <v>32525</v>
      </c>
      <c r="G37" s="547">
        <f>SUM(D37:E37)</f>
        <v>32525</v>
      </c>
    </row>
    <row r="38" spans="1:11" s="94" customFormat="1" ht="24.75" customHeight="1" thickBot="1" thickTop="1">
      <c r="A38" s="533" t="s">
        <v>102</v>
      </c>
      <c r="B38" s="1977" t="s">
        <v>189</v>
      </c>
      <c r="C38" s="1978"/>
      <c r="D38" s="1166">
        <f>D29+D37</f>
        <v>1519092</v>
      </c>
      <c r="E38" s="926">
        <f>E29+E37</f>
        <v>-1373310</v>
      </c>
      <c r="F38" s="925">
        <f>F29+F37</f>
        <v>145782</v>
      </c>
      <c r="G38" s="111">
        <f>SUM(D38:E38)</f>
        <v>145782</v>
      </c>
      <c r="I38" s="525"/>
      <c r="J38" s="525"/>
      <c r="K38" s="525"/>
    </row>
    <row r="39" spans="1:157" s="94" customFormat="1" ht="23.25" customHeight="1" thickBot="1" thickTop="1">
      <c r="A39" s="534" t="s">
        <v>190</v>
      </c>
      <c r="B39" s="535"/>
      <c r="C39" s="535"/>
      <c r="D39" s="536">
        <f>SUM(D9+D38)</f>
        <v>1669092</v>
      </c>
      <c r="E39" s="537">
        <f>SUM(E9,E38)</f>
        <v>-1445785</v>
      </c>
      <c r="F39" s="538">
        <f>SUM(F9,F38)</f>
        <v>223307</v>
      </c>
      <c r="G39" s="939">
        <f>+hivatal9!K22-tartalék!F39</f>
        <v>0</v>
      </c>
      <c r="H39" s="233"/>
      <c r="I39" s="525"/>
      <c r="J39" s="525"/>
      <c r="K39" s="525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</row>
    <row r="40" spans="9:11" ht="15">
      <c r="I40" s="71"/>
      <c r="J40" s="71"/>
      <c r="K40" s="71"/>
    </row>
    <row r="41" spans="6:11" ht="15">
      <c r="F41" s="18"/>
      <c r="I41" s="71"/>
      <c r="J41" s="71"/>
      <c r="K41" s="71"/>
    </row>
    <row r="42" spans="6:11" ht="15">
      <c r="F42" s="18"/>
      <c r="I42" s="117"/>
      <c r="J42" s="71"/>
      <c r="K42" s="71"/>
    </row>
    <row r="43" spans="9:11" ht="12.75">
      <c r="I43" s="18"/>
      <c r="K43" s="18"/>
    </row>
    <row r="44" spans="9:11" ht="12.75">
      <c r="I44" s="31"/>
      <c r="J44" s="31"/>
      <c r="K44" s="31"/>
    </row>
  </sheetData>
  <sheetProtection/>
  <mergeCells count="4">
    <mergeCell ref="B9:C9"/>
    <mergeCell ref="B29:C29"/>
    <mergeCell ref="B37:C37"/>
    <mergeCell ref="B38:C38"/>
  </mergeCells>
  <printOptions horizontalCentered="1" verticalCentered="1"/>
  <pageMargins left="0.41" right="0.17" top="0.5905511811023623" bottom="3.582677165354331" header="0.5118110236220472" footer="0.5118110236220472"/>
  <pageSetup horizontalDpi="600" verticalDpi="600" orientation="portrait" paperSize="9" scale="71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8" sqref="Q8"/>
    </sheetView>
  </sheetViews>
  <sheetFormatPr defaultColWidth="10.625" defaultRowHeight="12.75"/>
  <cols>
    <col min="1" max="1" width="6.50390625" style="1481" customWidth="1"/>
    <col min="2" max="2" width="44.50390625" style="1485" customWidth="1"/>
    <col min="3" max="3" width="37.625" style="1486" customWidth="1"/>
    <col min="4" max="5" width="14.125" style="1486" customWidth="1"/>
    <col min="6" max="6" width="15.50390625" style="1486" customWidth="1"/>
    <col min="7" max="7" width="15.00390625" style="1481" customWidth="1"/>
    <col min="8" max="8" width="12.875" style="1481" customWidth="1"/>
    <col min="9" max="9" width="13.875" style="1481" customWidth="1"/>
    <col min="10" max="10" width="12.875" style="1481" customWidth="1"/>
    <col min="11" max="11" width="12.00390625" style="1481" customWidth="1"/>
    <col min="12" max="12" width="13.00390625" style="1481" customWidth="1"/>
    <col min="13" max="13" width="13.50390625" style="1481" customWidth="1"/>
    <col min="14" max="14" width="15.50390625" style="1481" customWidth="1"/>
    <col min="15" max="15" width="12.50390625" style="1481" bestFit="1" customWidth="1"/>
    <col min="16" max="16384" width="10.625" style="1481" customWidth="1"/>
  </cols>
  <sheetData>
    <row r="1" spans="2:15" s="140" customFormat="1" ht="15.75">
      <c r="B1" s="188"/>
      <c r="C1" s="189"/>
      <c r="D1" s="190"/>
      <c r="E1" s="191"/>
      <c r="F1" s="192"/>
      <c r="H1" s="192"/>
      <c r="I1" s="193"/>
      <c r="K1" s="192"/>
      <c r="L1" s="193"/>
      <c r="N1" s="192"/>
      <c r="O1" s="193" t="s">
        <v>885</v>
      </c>
    </row>
    <row r="2" spans="2:15" s="140" customFormat="1" ht="12.75">
      <c r="B2" s="188"/>
      <c r="C2" s="189"/>
      <c r="D2" s="190"/>
      <c r="E2" s="191"/>
      <c r="F2" s="199"/>
      <c r="G2" s="199"/>
      <c r="H2" s="199"/>
      <c r="I2" s="199"/>
      <c r="K2" s="199"/>
      <c r="L2" s="199"/>
      <c r="N2" s="199"/>
      <c r="O2" s="199" t="s">
        <v>93</v>
      </c>
    </row>
    <row r="3" spans="2:15" s="140" customFormat="1" ht="12.75">
      <c r="B3" s="188"/>
      <c r="C3" s="194"/>
      <c r="D3" s="195"/>
      <c r="E3" s="196"/>
      <c r="F3" s="197"/>
      <c r="G3" s="141"/>
      <c r="L3" s="1420"/>
      <c r="O3" s="1420" t="s">
        <v>123</v>
      </c>
    </row>
    <row r="4" spans="1:15" s="140" customFormat="1" ht="20.25">
      <c r="A4" s="1979" t="s">
        <v>574</v>
      </c>
      <c r="B4" s="1979"/>
      <c r="C4" s="1979"/>
      <c r="D4" s="1979"/>
      <c r="E4" s="1979"/>
      <c r="F4" s="1979"/>
      <c r="G4" s="1979"/>
      <c r="H4" s="1979"/>
      <c r="I4" s="1979"/>
      <c r="J4" s="1979"/>
      <c r="K4" s="1979"/>
      <c r="L4" s="1979"/>
      <c r="M4" s="1979"/>
      <c r="N4" s="1979"/>
      <c r="O4" s="1979"/>
    </row>
    <row r="5" spans="1:15" s="143" customFormat="1" ht="23.25" customHeight="1">
      <c r="A5" s="1980" t="s">
        <v>638</v>
      </c>
      <c r="B5" s="1980"/>
      <c r="C5" s="1980"/>
      <c r="D5" s="1980"/>
      <c r="E5" s="1980"/>
      <c r="F5" s="1980"/>
      <c r="G5" s="1980"/>
      <c r="H5" s="1980"/>
      <c r="I5" s="1980"/>
      <c r="J5" s="1980"/>
      <c r="K5" s="1980"/>
      <c r="L5" s="1980"/>
      <c r="M5" s="1980"/>
      <c r="N5" s="1980"/>
      <c r="O5" s="1980"/>
    </row>
    <row r="6" spans="2:15" s="143" customFormat="1" ht="25.5" customHeight="1" thickBot="1">
      <c r="B6" s="198"/>
      <c r="C6" s="1226"/>
      <c r="D6" s="1226"/>
      <c r="E6" s="1226"/>
      <c r="F6" s="1226"/>
      <c r="G6" s="142"/>
      <c r="L6" s="130"/>
      <c r="M6" s="130"/>
      <c r="N6" s="130"/>
      <c r="O6" s="130" t="s">
        <v>134</v>
      </c>
    </row>
    <row r="7" spans="1:15" s="1421" customFormat="1" ht="26.25" customHeight="1" thickBot="1">
      <c r="A7" s="1981" t="s">
        <v>185</v>
      </c>
      <c r="B7" s="1983" t="s">
        <v>330</v>
      </c>
      <c r="C7" s="1985" t="s">
        <v>331</v>
      </c>
      <c r="D7" s="1987" t="s">
        <v>433</v>
      </c>
      <c r="E7" s="1988"/>
      <c r="F7" s="1989"/>
      <c r="G7" s="1987" t="s">
        <v>532</v>
      </c>
      <c r="H7" s="1988"/>
      <c r="I7" s="1989"/>
      <c r="J7" s="1987" t="s">
        <v>591</v>
      </c>
      <c r="K7" s="1988"/>
      <c r="L7" s="1989"/>
      <c r="M7" s="1987" t="s">
        <v>639</v>
      </c>
      <c r="N7" s="1988"/>
      <c r="O7" s="1989"/>
    </row>
    <row r="8" spans="1:15" s="1421" customFormat="1" ht="39" thickBot="1">
      <c r="A8" s="1982"/>
      <c r="B8" s="1984"/>
      <c r="C8" s="1986"/>
      <c r="D8" s="1422" t="s">
        <v>434</v>
      </c>
      <c r="E8" s="1423" t="s">
        <v>332</v>
      </c>
      <c r="F8" s="1424" t="s">
        <v>333</v>
      </c>
      <c r="G8" s="1425" t="s">
        <v>334</v>
      </c>
      <c r="H8" s="1423" t="s">
        <v>332</v>
      </c>
      <c r="I8" s="1424" t="s">
        <v>333</v>
      </c>
      <c r="J8" s="1426" t="s">
        <v>334</v>
      </c>
      <c r="K8" s="1423" t="s">
        <v>332</v>
      </c>
      <c r="L8" s="1424" t="s">
        <v>333</v>
      </c>
      <c r="M8" s="1426" t="s">
        <v>334</v>
      </c>
      <c r="N8" s="1423" t="s">
        <v>332</v>
      </c>
      <c r="O8" s="1424" t="s">
        <v>333</v>
      </c>
    </row>
    <row r="9" spans="1:15" s="1421" customFormat="1" ht="13.5" thickBot="1">
      <c r="A9" s="1427" t="s">
        <v>112</v>
      </c>
      <c r="B9" s="1428" t="s">
        <v>114</v>
      </c>
      <c r="C9" s="1429" t="s">
        <v>115</v>
      </c>
      <c r="D9" s="1430" t="s">
        <v>117</v>
      </c>
      <c r="E9" s="1431" t="s">
        <v>53</v>
      </c>
      <c r="F9" s="1432" t="s">
        <v>54</v>
      </c>
      <c r="G9" s="1433" t="s">
        <v>118</v>
      </c>
      <c r="H9" s="1428" t="s">
        <v>119</v>
      </c>
      <c r="I9" s="1432" t="s">
        <v>56</v>
      </c>
      <c r="J9" s="1430" t="s">
        <v>435</v>
      </c>
      <c r="K9" s="1431" t="s">
        <v>436</v>
      </c>
      <c r="L9" s="1432" t="s">
        <v>437</v>
      </c>
      <c r="M9" s="1429" t="s">
        <v>640</v>
      </c>
      <c r="N9" s="1431" t="s">
        <v>641</v>
      </c>
      <c r="O9" s="1432" t="s">
        <v>642</v>
      </c>
    </row>
    <row r="10" spans="1:15" s="1421" customFormat="1" ht="99.75">
      <c r="A10" s="1434">
        <v>1</v>
      </c>
      <c r="B10" s="1435" t="s">
        <v>643</v>
      </c>
      <c r="C10" s="1436" t="s">
        <v>521</v>
      </c>
      <c r="D10" s="1437">
        <f>SUM(E10:F10)</f>
        <v>258993</v>
      </c>
      <c r="E10" s="1438">
        <v>108384</v>
      </c>
      <c r="F10" s="1439">
        <v>150609</v>
      </c>
      <c r="G10" s="1440">
        <f>SUM(H10:I10)</f>
        <v>0</v>
      </c>
      <c r="H10" s="1441">
        <v>0</v>
      </c>
      <c r="I10" s="1442">
        <v>0</v>
      </c>
      <c r="J10" s="1443">
        <f>SUM(K10:L10)</f>
        <v>89588</v>
      </c>
      <c r="K10" s="1444">
        <v>74716</v>
      </c>
      <c r="L10" s="1442">
        <v>14872</v>
      </c>
      <c r="M10" s="1443">
        <f>SUM(N10:O10)</f>
        <v>0</v>
      </c>
      <c r="N10" s="1444"/>
      <c r="O10" s="1442"/>
    </row>
    <row r="11" spans="1:15" s="1421" customFormat="1" ht="26.25" customHeight="1">
      <c r="A11" s="1445">
        <f>A10+1</f>
        <v>2</v>
      </c>
      <c r="B11" s="1446" t="s">
        <v>512</v>
      </c>
      <c r="C11" s="1447" t="s">
        <v>513</v>
      </c>
      <c r="D11" s="1448">
        <f>SUM(E11:F11)</f>
        <v>142981</v>
      </c>
      <c r="E11" s="1441">
        <v>135038</v>
      </c>
      <c r="F11" s="1439">
        <v>7943</v>
      </c>
      <c r="G11" s="1440">
        <f>SUM(H11:I11)</f>
        <v>446</v>
      </c>
      <c r="H11" s="1487">
        <v>0</v>
      </c>
      <c r="I11" s="1442">
        <v>446</v>
      </c>
      <c r="J11" s="1443">
        <f>SUM(K11:L11)</f>
        <v>0</v>
      </c>
      <c r="K11" s="1444">
        <v>0</v>
      </c>
      <c r="L11" s="1442">
        <v>0</v>
      </c>
      <c r="M11" s="1443">
        <f>SUM(N11:O11)</f>
        <v>0</v>
      </c>
      <c r="N11" s="1444"/>
      <c r="O11" s="1442"/>
    </row>
    <row r="12" spans="1:15" s="1421" customFormat="1" ht="42.75">
      <c r="A12" s="1445">
        <f>A11+1</f>
        <v>3</v>
      </c>
      <c r="B12" s="1446" t="s">
        <v>575</v>
      </c>
      <c r="C12" s="1492" t="s">
        <v>644</v>
      </c>
      <c r="D12" s="1448">
        <f>SUM(E12:F12)</f>
        <v>6202</v>
      </c>
      <c r="E12" s="1449">
        <v>3260</v>
      </c>
      <c r="F12" s="1441">
        <v>2942</v>
      </c>
      <c r="G12" s="1440">
        <f>SUM(H12:I12)</f>
        <v>2942</v>
      </c>
      <c r="H12" s="1450">
        <v>0</v>
      </c>
      <c r="I12" s="1452">
        <v>2942</v>
      </c>
      <c r="J12" s="1443">
        <f>SUM(K12:L12)</f>
        <v>0</v>
      </c>
      <c r="K12" s="1451">
        <v>0</v>
      </c>
      <c r="L12" s="1442">
        <v>0</v>
      </c>
      <c r="M12" s="1443">
        <f>SUM(N12:O12)</f>
        <v>0</v>
      </c>
      <c r="N12" s="1451"/>
      <c r="O12" s="1442"/>
    </row>
    <row r="13" spans="1:15" s="1421" customFormat="1" ht="57">
      <c r="A13" s="1445">
        <f>A12+1</f>
        <v>4</v>
      </c>
      <c r="B13" s="1453" t="s">
        <v>645</v>
      </c>
      <c r="C13" s="1454" t="s">
        <v>646</v>
      </c>
      <c r="D13" s="1448">
        <f>SUM(E13:F13)</f>
        <v>16000</v>
      </c>
      <c r="E13" s="1451">
        <v>11200</v>
      </c>
      <c r="F13" s="1488">
        <v>4800</v>
      </c>
      <c r="G13" s="1448">
        <f>SUM(H13:I13)</f>
        <v>379</v>
      </c>
      <c r="H13" s="1489">
        <v>265</v>
      </c>
      <c r="I13" s="1490">
        <v>114</v>
      </c>
      <c r="J13" s="1443">
        <f>SUM(K13:L13)</f>
        <v>15591</v>
      </c>
      <c r="K13" s="1451">
        <v>10914</v>
      </c>
      <c r="L13" s="1452">
        <v>4677</v>
      </c>
      <c r="M13" s="1443">
        <f>SUM(N13:O13)</f>
        <v>0</v>
      </c>
      <c r="N13" s="1451"/>
      <c r="O13" s="1452"/>
    </row>
    <row r="14" spans="1:17" s="1421" customFormat="1" ht="50.25" customHeight="1" thickBot="1">
      <c r="A14" s="1445">
        <f>A13+1</f>
        <v>5</v>
      </c>
      <c r="B14" s="1453" t="s">
        <v>647</v>
      </c>
      <c r="C14" s="1454" t="s">
        <v>648</v>
      </c>
      <c r="D14" s="1455">
        <f>SUM(E14:F14)</f>
        <v>20000</v>
      </c>
      <c r="E14" s="1456">
        <v>20000</v>
      </c>
      <c r="F14" s="1457">
        <v>0</v>
      </c>
      <c r="G14" s="1440">
        <f>SUM(H14:I14)</f>
        <v>1998</v>
      </c>
      <c r="H14" s="1458">
        <v>1998</v>
      </c>
      <c r="I14" s="1459">
        <v>0</v>
      </c>
      <c r="J14" s="1443">
        <f>SUM(K14:L14)</f>
        <v>18002</v>
      </c>
      <c r="K14" s="1460">
        <v>18002</v>
      </c>
      <c r="L14" s="1459">
        <v>0</v>
      </c>
      <c r="M14" s="1443">
        <f>SUM(N14:O14)</f>
        <v>0</v>
      </c>
      <c r="N14" s="1460"/>
      <c r="O14" s="1459"/>
      <c r="Q14" s="1461"/>
    </row>
    <row r="15" spans="1:15" s="1421" customFormat="1" ht="18" customHeight="1" thickBot="1">
      <c r="A15" s="1462" t="s">
        <v>95</v>
      </c>
      <c r="B15" s="1463" t="s">
        <v>335</v>
      </c>
      <c r="C15" s="1464"/>
      <c r="D15" s="1465">
        <f>SUM(D10:D14)</f>
        <v>444176</v>
      </c>
      <c r="E15" s="1702">
        <f aca="true" t="shared" si="0" ref="E15:O15">SUM(E10:E14)</f>
        <v>277882</v>
      </c>
      <c r="F15" s="1782">
        <f t="shared" si="0"/>
        <v>166294</v>
      </c>
      <c r="G15" s="1465">
        <f t="shared" si="0"/>
        <v>5765</v>
      </c>
      <c r="H15" s="1702">
        <f t="shared" si="0"/>
        <v>2263</v>
      </c>
      <c r="I15" s="1782">
        <f t="shared" si="0"/>
        <v>3502</v>
      </c>
      <c r="J15" s="1465">
        <f t="shared" si="0"/>
        <v>123181</v>
      </c>
      <c r="K15" s="1702">
        <f t="shared" si="0"/>
        <v>103632</v>
      </c>
      <c r="L15" s="1782">
        <f t="shared" si="0"/>
        <v>19549</v>
      </c>
      <c r="M15" s="1465">
        <f t="shared" si="0"/>
        <v>0</v>
      </c>
      <c r="N15" s="1782">
        <f t="shared" si="0"/>
        <v>0</v>
      </c>
      <c r="O15" s="1466">
        <f t="shared" si="0"/>
        <v>0</v>
      </c>
    </row>
    <row r="16" spans="1:15" s="1421" customFormat="1" ht="18" customHeight="1">
      <c r="A16" s="1434">
        <v>1</v>
      </c>
      <c r="B16" s="1467"/>
      <c r="C16" s="1447"/>
      <c r="D16" s="1437">
        <f>SUM(E16:F16)</f>
        <v>0</v>
      </c>
      <c r="E16" s="1438"/>
      <c r="F16" s="1468"/>
      <c r="G16" s="1437">
        <f>SUM(H16:I16)</f>
        <v>0</v>
      </c>
      <c r="H16" s="1438"/>
      <c r="I16" s="1442"/>
      <c r="J16" s="1443">
        <f>SUM(K16:L16)</f>
        <v>0</v>
      </c>
      <c r="K16" s="1438"/>
      <c r="L16" s="1442"/>
      <c r="M16" s="1443">
        <f>SUM(N16:O16)</f>
        <v>0</v>
      </c>
      <c r="N16" s="1444"/>
      <c r="O16" s="1442"/>
    </row>
    <row r="17" spans="1:15" s="1421" customFormat="1" ht="18" customHeight="1" thickBot="1">
      <c r="A17" s="1434">
        <f>A16+1</f>
        <v>2</v>
      </c>
      <c r="B17" s="1469"/>
      <c r="C17" s="1470"/>
      <c r="D17" s="1455">
        <f>SUM(E17:F17)</f>
        <v>0</v>
      </c>
      <c r="E17" s="1451"/>
      <c r="F17" s="1471"/>
      <c r="G17" s="1437">
        <f>SUM(H17:I17)</f>
        <v>0</v>
      </c>
      <c r="H17" s="1451"/>
      <c r="I17" s="1452"/>
      <c r="J17" s="1443">
        <f>SUM(K17:L17)</f>
        <v>0</v>
      </c>
      <c r="K17" s="1451"/>
      <c r="L17" s="1442"/>
      <c r="M17" s="1443">
        <f>SUM(N17:O17)</f>
        <v>0</v>
      </c>
      <c r="N17" s="1451"/>
      <c r="O17" s="1442"/>
    </row>
    <row r="18" spans="1:15" s="1421" customFormat="1" ht="18" customHeight="1" thickBot="1">
      <c r="A18" s="1462" t="s">
        <v>102</v>
      </c>
      <c r="B18" s="1463" t="s">
        <v>336</v>
      </c>
      <c r="C18" s="1464"/>
      <c r="D18" s="1465">
        <f aca="true" t="shared" si="1" ref="D18:O18">SUM(D16:D17)</f>
        <v>0</v>
      </c>
      <c r="E18" s="1702">
        <f t="shared" si="1"/>
        <v>0</v>
      </c>
      <c r="F18" s="1700">
        <f t="shared" si="1"/>
        <v>0</v>
      </c>
      <c r="G18" s="1465">
        <f t="shared" si="1"/>
        <v>0</v>
      </c>
      <c r="H18" s="1702">
        <f t="shared" si="1"/>
        <v>0</v>
      </c>
      <c r="I18" s="1700">
        <f t="shared" si="1"/>
        <v>0</v>
      </c>
      <c r="J18" s="1465">
        <f t="shared" si="1"/>
        <v>0</v>
      </c>
      <c r="K18" s="1702">
        <f t="shared" si="1"/>
        <v>0</v>
      </c>
      <c r="L18" s="1704">
        <f t="shared" si="1"/>
        <v>0</v>
      </c>
      <c r="M18" s="1465">
        <f t="shared" si="1"/>
        <v>0</v>
      </c>
      <c r="N18" s="1702">
        <f t="shared" si="1"/>
        <v>0</v>
      </c>
      <c r="O18" s="1704">
        <f t="shared" si="1"/>
        <v>0</v>
      </c>
    </row>
    <row r="19" spans="1:17" s="1421" customFormat="1" ht="28.5">
      <c r="A19" s="1434">
        <v>1</v>
      </c>
      <c r="B19" s="1472" t="s">
        <v>649</v>
      </c>
      <c r="C19" s="1473" t="s">
        <v>650</v>
      </c>
      <c r="D19" s="1455">
        <f aca="true" t="shared" si="2" ref="D19:D27">SUM(E19:F19)</f>
        <v>403854</v>
      </c>
      <c r="E19" s="1474">
        <v>200000</v>
      </c>
      <c r="F19" s="1475">
        <f>199454+4400</f>
        <v>203854</v>
      </c>
      <c r="G19" s="1437">
        <f aca="true" t="shared" si="3" ref="G19:G27">SUM(H19:I19)</f>
        <v>190128</v>
      </c>
      <c r="H19" s="1474">
        <v>94157</v>
      </c>
      <c r="I19" s="1452">
        <v>95971</v>
      </c>
      <c r="J19" s="1443">
        <f aca="true" t="shared" si="4" ref="J19:J27">SUM(K19:L19)</f>
        <v>118619</v>
      </c>
      <c r="K19" s="1474">
        <v>58744</v>
      </c>
      <c r="L19" s="1442">
        <v>59875</v>
      </c>
      <c r="M19" s="1443">
        <f aca="true" t="shared" si="5" ref="M19:M27">SUM(N19:O19)</f>
        <v>0</v>
      </c>
      <c r="N19" s="1474"/>
      <c r="O19" s="1442"/>
      <c r="P19" s="1461"/>
      <c r="Q19" s="1461"/>
    </row>
    <row r="20" spans="1:15" s="1421" customFormat="1" ht="17.25" customHeight="1">
      <c r="A20" s="1434">
        <v>2</v>
      </c>
      <c r="B20" s="1476" t="s">
        <v>651</v>
      </c>
      <c r="C20" s="1699" t="s">
        <v>798</v>
      </c>
      <c r="D20" s="1455">
        <f t="shared" si="2"/>
        <v>60000</v>
      </c>
      <c r="E20" s="1477">
        <v>30000</v>
      </c>
      <c r="F20" s="1478">
        <v>30000</v>
      </c>
      <c r="G20" s="1437">
        <f t="shared" si="3"/>
        <v>0</v>
      </c>
      <c r="H20" s="1477">
        <v>0</v>
      </c>
      <c r="I20" s="1442">
        <v>0</v>
      </c>
      <c r="J20" s="1443">
        <f t="shared" si="4"/>
        <v>60000</v>
      </c>
      <c r="K20" s="1474">
        <v>30000</v>
      </c>
      <c r="L20" s="1442">
        <v>30000</v>
      </c>
      <c r="M20" s="1443">
        <f t="shared" si="5"/>
        <v>0</v>
      </c>
      <c r="N20" s="1474"/>
      <c r="O20" s="1442"/>
    </row>
    <row r="21" spans="1:15" s="1421" customFormat="1" ht="28.5">
      <c r="A21" s="1434">
        <v>3</v>
      </c>
      <c r="B21" s="1472" t="s">
        <v>652</v>
      </c>
      <c r="C21" s="1447" t="s">
        <v>653</v>
      </c>
      <c r="D21" s="1455">
        <f t="shared" si="2"/>
        <v>41452</v>
      </c>
      <c r="E21" s="1474">
        <v>10000</v>
      </c>
      <c r="F21" s="1475">
        <v>31452</v>
      </c>
      <c r="G21" s="1437">
        <f t="shared" si="3"/>
        <v>46640</v>
      </c>
      <c r="H21" s="1477">
        <v>10000</v>
      </c>
      <c r="I21" s="1442">
        <v>36640</v>
      </c>
      <c r="J21" s="1443">
        <f t="shared" si="4"/>
        <v>0</v>
      </c>
      <c r="K21" s="1474">
        <v>0</v>
      </c>
      <c r="L21" s="1442">
        <v>0</v>
      </c>
      <c r="M21" s="1443">
        <f t="shared" si="5"/>
        <v>0</v>
      </c>
      <c r="N21" s="1474"/>
      <c r="O21" s="1442"/>
    </row>
    <row r="22" spans="1:15" s="1421" customFormat="1" ht="28.5">
      <c r="A22" s="1434">
        <v>4</v>
      </c>
      <c r="B22" s="1476" t="s">
        <v>654</v>
      </c>
      <c r="C22" s="1447" t="s">
        <v>655</v>
      </c>
      <c r="D22" s="1455">
        <f t="shared" si="2"/>
        <v>57000</v>
      </c>
      <c r="E22" s="1477">
        <v>57000</v>
      </c>
      <c r="F22" s="1478">
        <v>0</v>
      </c>
      <c r="G22" s="1437">
        <f t="shared" si="3"/>
        <v>57000</v>
      </c>
      <c r="H22" s="1477">
        <v>57000</v>
      </c>
      <c r="I22" s="1478">
        <v>0</v>
      </c>
      <c r="J22" s="1443">
        <f t="shared" si="4"/>
        <v>0</v>
      </c>
      <c r="K22" s="1474">
        <v>0</v>
      </c>
      <c r="L22" s="1442">
        <v>0</v>
      </c>
      <c r="M22" s="1443">
        <f t="shared" si="5"/>
        <v>0</v>
      </c>
      <c r="N22" s="1474"/>
      <c r="O22" s="1442"/>
    </row>
    <row r="23" spans="1:15" s="1421" customFormat="1" ht="42.75">
      <c r="A23" s="1434">
        <v>5</v>
      </c>
      <c r="B23" s="1472" t="s">
        <v>797</v>
      </c>
      <c r="C23" s="1473" t="s">
        <v>798</v>
      </c>
      <c r="D23" s="1455">
        <f t="shared" si="2"/>
        <v>1504424</v>
      </c>
      <c r="E23" s="1474">
        <v>930200</v>
      </c>
      <c r="F23" s="1475">
        <v>574224</v>
      </c>
      <c r="G23" s="1437">
        <f t="shared" si="3"/>
        <v>703078</v>
      </c>
      <c r="H23" s="1474">
        <v>434502</v>
      </c>
      <c r="I23" s="1452">
        <v>268576</v>
      </c>
      <c r="J23" s="1443">
        <f t="shared" si="4"/>
        <v>612194</v>
      </c>
      <c r="K23" s="1474">
        <v>378526</v>
      </c>
      <c r="L23" s="1442">
        <v>233668</v>
      </c>
      <c r="M23" s="1443">
        <f t="shared" si="5"/>
        <v>0</v>
      </c>
      <c r="N23" s="1474"/>
      <c r="O23" s="1442"/>
    </row>
    <row r="24" spans="1:15" s="1421" customFormat="1" ht="14.25">
      <c r="A24" s="1434">
        <v>6</v>
      </c>
      <c r="B24" s="1472" t="s">
        <v>799</v>
      </c>
      <c r="C24" s="1473" t="s">
        <v>798</v>
      </c>
      <c r="D24" s="1455">
        <f t="shared" si="2"/>
        <v>128500</v>
      </c>
      <c r="E24" s="1474">
        <v>40000</v>
      </c>
      <c r="F24" s="1475">
        <v>88500</v>
      </c>
      <c r="G24" s="1437">
        <f t="shared" si="3"/>
        <v>3645</v>
      </c>
      <c r="H24" s="1474">
        <v>0</v>
      </c>
      <c r="I24" s="1452">
        <v>3645</v>
      </c>
      <c r="J24" s="1443">
        <f t="shared" si="4"/>
        <v>124855</v>
      </c>
      <c r="K24" s="1474">
        <v>40000</v>
      </c>
      <c r="L24" s="1442">
        <v>84855</v>
      </c>
      <c r="M24" s="1443">
        <f t="shared" si="5"/>
        <v>0</v>
      </c>
      <c r="N24" s="1474"/>
      <c r="O24" s="1442"/>
    </row>
    <row r="25" spans="1:15" s="1421" customFormat="1" ht="42.75">
      <c r="A25" s="1434">
        <v>7</v>
      </c>
      <c r="B25" s="1472" t="s">
        <v>800</v>
      </c>
      <c r="C25" s="1473" t="s">
        <v>798</v>
      </c>
      <c r="D25" s="1455">
        <f t="shared" si="2"/>
        <v>90000</v>
      </c>
      <c r="E25" s="1474">
        <v>39500</v>
      </c>
      <c r="F25" s="1475">
        <v>50500</v>
      </c>
      <c r="G25" s="1437">
        <f t="shared" si="3"/>
        <v>90000</v>
      </c>
      <c r="H25" s="1474">
        <v>39500</v>
      </c>
      <c r="I25" s="1452">
        <v>50500</v>
      </c>
      <c r="J25" s="1443">
        <f t="shared" si="4"/>
        <v>0</v>
      </c>
      <c r="K25" s="1491">
        <v>0</v>
      </c>
      <c r="L25" s="1442">
        <v>0</v>
      </c>
      <c r="M25" s="1443">
        <f t="shared" si="5"/>
        <v>0</v>
      </c>
      <c r="N25" s="1474"/>
      <c r="O25" s="1442"/>
    </row>
    <row r="26" spans="1:15" s="1421" customFormat="1" ht="14.25">
      <c r="A26" s="1434">
        <v>8</v>
      </c>
      <c r="B26" s="1472" t="s">
        <v>801</v>
      </c>
      <c r="C26" s="1473" t="s">
        <v>802</v>
      </c>
      <c r="D26" s="1455">
        <f t="shared" si="2"/>
        <v>1085000</v>
      </c>
      <c r="E26" s="1474">
        <v>300000</v>
      </c>
      <c r="F26" s="1475">
        <v>785000</v>
      </c>
      <c r="G26" s="1437">
        <f t="shared" si="3"/>
        <v>3944</v>
      </c>
      <c r="H26" s="1474">
        <v>0</v>
      </c>
      <c r="I26" s="1452">
        <v>3944</v>
      </c>
      <c r="J26" s="1443">
        <f t="shared" si="4"/>
        <v>1081056</v>
      </c>
      <c r="K26" s="1474">
        <v>300000</v>
      </c>
      <c r="L26" s="1442">
        <v>781056</v>
      </c>
      <c r="M26" s="1443">
        <f t="shared" si="5"/>
        <v>0</v>
      </c>
      <c r="N26" s="1474"/>
      <c r="O26" s="1442"/>
    </row>
    <row r="27" spans="1:15" s="1421" customFormat="1" ht="42.75">
      <c r="A27" s="1434">
        <v>9</v>
      </c>
      <c r="B27" s="1467" t="s">
        <v>803</v>
      </c>
      <c r="C27" s="1447" t="s">
        <v>804</v>
      </c>
      <c r="D27" s="1455">
        <f t="shared" si="2"/>
        <v>398979</v>
      </c>
      <c r="E27" s="1474">
        <v>350000</v>
      </c>
      <c r="F27" s="1475">
        <v>48979</v>
      </c>
      <c r="G27" s="1437">
        <f t="shared" si="3"/>
        <v>398979</v>
      </c>
      <c r="H27" s="1474">
        <v>350000</v>
      </c>
      <c r="I27" s="1452">
        <v>48979</v>
      </c>
      <c r="J27" s="1443">
        <f t="shared" si="4"/>
        <v>0</v>
      </c>
      <c r="K27" s="1474">
        <v>0</v>
      </c>
      <c r="L27" s="1442">
        <v>0</v>
      </c>
      <c r="M27" s="1443">
        <f t="shared" si="5"/>
        <v>0</v>
      </c>
      <c r="N27" s="1474"/>
      <c r="O27" s="1442"/>
    </row>
    <row r="28" spans="1:15" s="1421" customFormat="1" ht="42.75">
      <c r="A28" s="1445">
        <v>10</v>
      </c>
      <c r="B28" s="1472" t="s">
        <v>848</v>
      </c>
      <c r="C28" s="1473" t="s">
        <v>798</v>
      </c>
      <c r="D28" s="1455">
        <f>SUM(E28:F28)</f>
        <v>551958</v>
      </c>
      <c r="E28" s="1474">
        <v>352225</v>
      </c>
      <c r="F28" s="1475">
        <v>199733</v>
      </c>
      <c r="G28" s="1437">
        <f>SUM(H28:I28)</f>
        <v>165889</v>
      </c>
      <c r="H28" s="1474">
        <v>135475</v>
      </c>
      <c r="I28" s="1452">
        <v>30414</v>
      </c>
      <c r="J28" s="1443">
        <f>SUM(K28:L28)</f>
        <v>386069</v>
      </c>
      <c r="K28" s="1474">
        <f>E28-H28</f>
        <v>216750</v>
      </c>
      <c r="L28" s="1442">
        <f>F28-I28</f>
        <v>169319</v>
      </c>
      <c r="M28" s="1443">
        <f>SUM(N28:O28)</f>
        <v>0</v>
      </c>
      <c r="N28" s="1474"/>
      <c r="O28" s="1442"/>
    </row>
    <row r="29" spans="1:15" s="1421" customFormat="1" ht="42.75">
      <c r="A29" s="1445">
        <v>11</v>
      </c>
      <c r="B29" s="1472" t="s">
        <v>871</v>
      </c>
      <c r="C29" s="1473" t="s">
        <v>798</v>
      </c>
      <c r="D29" s="1448">
        <f>SUM(E29:F29)</f>
        <v>161215</v>
      </c>
      <c r="E29" s="1474">
        <v>100500</v>
      </c>
      <c r="F29" s="1778">
        <v>60715</v>
      </c>
      <c r="G29" s="1448">
        <f>SUM(H29:I29)</f>
        <v>0</v>
      </c>
      <c r="H29" s="1474">
        <v>0</v>
      </c>
      <c r="I29" s="1779">
        <v>0</v>
      </c>
      <c r="J29" s="1448">
        <f>SUM(K29:L29)</f>
        <v>161215</v>
      </c>
      <c r="K29" s="1474">
        <v>100500</v>
      </c>
      <c r="L29" s="1779">
        <v>60715</v>
      </c>
      <c r="M29" s="1780">
        <f>SUM(N29:O29)</f>
        <v>0</v>
      </c>
      <c r="N29" s="1474"/>
      <c r="O29" s="1779"/>
    </row>
    <row r="30" spans="1:15" s="1421" customFormat="1" ht="42.75">
      <c r="A30" s="1445">
        <v>12</v>
      </c>
      <c r="B30" s="1781" t="s">
        <v>872</v>
      </c>
      <c r="C30" s="1473" t="s">
        <v>873</v>
      </c>
      <c r="D30" s="1448">
        <f>SUM(E30:F30)</f>
        <v>3582</v>
      </c>
      <c r="E30" s="1474">
        <v>1082</v>
      </c>
      <c r="F30" s="1778">
        <v>2500</v>
      </c>
      <c r="G30" s="1448">
        <f>SUM(H30:I30)</f>
        <v>0</v>
      </c>
      <c r="H30" s="1474">
        <v>0</v>
      </c>
      <c r="I30" s="1779">
        <v>0</v>
      </c>
      <c r="J30" s="1448">
        <f>SUM(K30:L30)</f>
        <v>3582</v>
      </c>
      <c r="K30" s="1474">
        <v>1082</v>
      </c>
      <c r="L30" s="1778">
        <v>2500</v>
      </c>
      <c r="M30" s="1780">
        <f>SUM(N30:O30)</f>
        <v>0</v>
      </c>
      <c r="N30" s="1474"/>
      <c r="O30" s="1779"/>
    </row>
    <row r="31" spans="1:15" s="1421" customFormat="1" ht="72" thickBot="1">
      <c r="A31" s="1762">
        <v>13</v>
      </c>
      <c r="B31" s="1781" t="s">
        <v>874</v>
      </c>
      <c r="C31" s="1473" t="s">
        <v>875</v>
      </c>
      <c r="D31" s="1448">
        <f>SUM(E31:F31)</f>
        <v>1825</v>
      </c>
      <c r="E31" s="1474">
        <v>1825</v>
      </c>
      <c r="F31" s="1778">
        <v>0</v>
      </c>
      <c r="G31" s="1448">
        <f>SUM(H31:I31)</f>
        <v>0</v>
      </c>
      <c r="H31" s="1474">
        <v>0</v>
      </c>
      <c r="I31" s="1779">
        <v>0</v>
      </c>
      <c r="J31" s="1448">
        <f>SUM(K31:L31)</f>
        <v>1825</v>
      </c>
      <c r="K31" s="1474">
        <v>1825</v>
      </c>
      <c r="L31" s="1778">
        <v>0</v>
      </c>
      <c r="M31" s="1780">
        <f>SUM(N31:O31)</f>
        <v>0</v>
      </c>
      <c r="N31" s="1474"/>
      <c r="O31" s="1779"/>
    </row>
    <row r="32" spans="1:15" ht="18" customHeight="1" thickBot="1">
      <c r="A32" s="1479" t="s">
        <v>105</v>
      </c>
      <c r="B32" s="1480" t="s">
        <v>656</v>
      </c>
      <c r="C32" s="1480"/>
      <c r="D32" s="1465">
        <f>SUM(D19:D31)</f>
        <v>4487789</v>
      </c>
      <c r="E32" s="1702">
        <f aca="true" t="shared" si="6" ref="E32:O32">SUM(E19:E31)</f>
        <v>2412332</v>
      </c>
      <c r="F32" s="1700">
        <f t="shared" si="6"/>
        <v>2075457</v>
      </c>
      <c r="G32" s="1465">
        <f t="shared" si="6"/>
        <v>1659303</v>
      </c>
      <c r="H32" s="1702">
        <f t="shared" si="6"/>
        <v>1120634</v>
      </c>
      <c r="I32" s="1700">
        <f t="shared" si="6"/>
        <v>538669</v>
      </c>
      <c r="J32" s="1465">
        <f t="shared" si="6"/>
        <v>2549415</v>
      </c>
      <c r="K32" s="1702">
        <f t="shared" si="6"/>
        <v>1127427</v>
      </c>
      <c r="L32" s="1700">
        <f t="shared" si="6"/>
        <v>1421988</v>
      </c>
      <c r="M32" s="1465">
        <f t="shared" si="6"/>
        <v>0</v>
      </c>
      <c r="N32" s="1702">
        <f t="shared" si="6"/>
        <v>0</v>
      </c>
      <c r="O32" s="1704">
        <f t="shared" si="6"/>
        <v>0</v>
      </c>
    </row>
    <row r="33" spans="1:15" ht="21" customHeight="1" thickBot="1">
      <c r="A33" s="1482" t="s">
        <v>337</v>
      </c>
      <c r="B33" s="1483"/>
      <c r="C33" s="1483"/>
      <c r="D33" s="1484">
        <f>D32+D18+D15</f>
        <v>4931965</v>
      </c>
      <c r="E33" s="1703">
        <f aca="true" t="shared" si="7" ref="E33:O33">E32+E18+E15</f>
        <v>2690214</v>
      </c>
      <c r="F33" s="1701">
        <f t="shared" si="7"/>
        <v>2241751</v>
      </c>
      <c r="G33" s="1484">
        <f t="shared" si="7"/>
        <v>1665068</v>
      </c>
      <c r="H33" s="1703">
        <f t="shared" si="7"/>
        <v>1122897</v>
      </c>
      <c r="I33" s="1701">
        <f t="shared" si="7"/>
        <v>542171</v>
      </c>
      <c r="J33" s="1484">
        <f t="shared" si="7"/>
        <v>2672596</v>
      </c>
      <c r="K33" s="1703">
        <f t="shared" si="7"/>
        <v>1231059</v>
      </c>
      <c r="L33" s="1701">
        <f t="shared" si="7"/>
        <v>1441537</v>
      </c>
      <c r="M33" s="1484">
        <f t="shared" si="7"/>
        <v>0</v>
      </c>
      <c r="N33" s="1703">
        <f t="shared" si="7"/>
        <v>0</v>
      </c>
      <c r="O33" s="1705">
        <f t="shared" si="7"/>
        <v>0</v>
      </c>
    </row>
  </sheetData>
  <sheetProtection/>
  <mergeCells count="9">
    <mergeCell ref="A4:O4"/>
    <mergeCell ref="A5:O5"/>
    <mergeCell ref="A7:A8"/>
    <mergeCell ref="B7:B8"/>
    <mergeCell ref="C7:C8"/>
    <mergeCell ref="D7:F7"/>
    <mergeCell ref="G7:I7"/>
    <mergeCell ref="J7:L7"/>
    <mergeCell ref="M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zoomScale="90" zoomScaleNormal="90" zoomScalePageLayoutView="0" workbookViewId="0" topLeftCell="A1">
      <pane xSplit="5" ySplit="8" topLeftCell="F69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H1" sqref="H1"/>
    </sheetView>
  </sheetViews>
  <sheetFormatPr defaultColWidth="9.00390625" defaultRowHeight="12.75"/>
  <cols>
    <col min="1" max="1" width="7.625" style="31" customWidth="1"/>
    <col min="2" max="2" width="7.875" style="31" customWidth="1"/>
    <col min="3" max="3" width="11.50390625" style="31" customWidth="1"/>
    <col min="4" max="4" width="86.875" style="0" customWidth="1"/>
    <col min="5" max="5" width="8.875" style="0" customWidth="1"/>
    <col min="6" max="6" width="16.375" style="695" customWidth="1"/>
    <col min="7" max="7" width="17.375" style="695" customWidth="1"/>
    <col min="8" max="8" width="16.125" style="695" customWidth="1"/>
    <col min="9" max="9" width="14.125" style="1707" customWidth="1"/>
  </cols>
  <sheetData>
    <row r="1" spans="1:8" ht="15.75">
      <c r="A1" s="48"/>
      <c r="B1" s="48"/>
      <c r="H1" s="693" t="s">
        <v>878</v>
      </c>
    </row>
    <row r="2" spans="1:8" ht="15.75">
      <c r="A2" s="48"/>
      <c r="B2" s="48"/>
      <c r="H2" s="693" t="s">
        <v>93</v>
      </c>
    </row>
    <row r="3" spans="1:3" ht="21.75" customHeight="1">
      <c r="A3" s="48"/>
      <c r="B3" s="48"/>
      <c r="C3" s="49"/>
    </row>
    <row r="4" spans="1:9" ht="20.25">
      <c r="A4" s="1816" t="s">
        <v>577</v>
      </c>
      <c r="B4" s="1816"/>
      <c r="C4" s="1816"/>
      <c r="D4" s="1816"/>
      <c r="E4" s="1816"/>
      <c r="F4" s="1816"/>
      <c r="G4" s="1816"/>
      <c r="H4" s="1816"/>
      <c r="I4" s="1708"/>
    </row>
    <row r="5" spans="1:9" ht="18">
      <c r="A5" s="1839" t="s">
        <v>583</v>
      </c>
      <c r="B5" s="1839"/>
      <c r="C5" s="1839"/>
      <c r="D5" s="1839"/>
      <c r="E5" s="1839"/>
      <c r="F5" s="1839"/>
      <c r="G5" s="1839"/>
      <c r="H5" s="1839"/>
      <c r="I5" s="1709"/>
    </row>
    <row r="6" spans="1:8" ht="21" customHeight="1" thickBot="1">
      <c r="A6" s="50"/>
      <c r="B6" s="50"/>
      <c r="H6" s="694" t="s">
        <v>134</v>
      </c>
    </row>
    <row r="7" spans="1:8" ht="62.25" customHeight="1" thickBot="1">
      <c r="A7" s="567" t="s">
        <v>307</v>
      </c>
      <c r="B7" s="1896" t="s">
        <v>308</v>
      </c>
      <c r="C7" s="1897"/>
      <c r="D7" s="1898"/>
      <c r="E7" s="595" t="s">
        <v>221</v>
      </c>
      <c r="F7" s="1009" t="s">
        <v>663</v>
      </c>
      <c r="G7" s="1010" t="s">
        <v>424</v>
      </c>
      <c r="H7" s="590" t="s">
        <v>660</v>
      </c>
    </row>
    <row r="8" spans="1:9" s="1005" customFormat="1" ht="12" customHeight="1" thickBot="1">
      <c r="A8" s="999">
        <v>1</v>
      </c>
      <c r="B8" s="1899">
        <v>2</v>
      </c>
      <c r="C8" s="1900"/>
      <c r="D8" s="1901"/>
      <c r="E8" s="1000">
        <v>3</v>
      </c>
      <c r="F8" s="1004">
        <v>4</v>
      </c>
      <c r="G8" s="1002">
        <v>5</v>
      </c>
      <c r="H8" s="1003">
        <v>6</v>
      </c>
      <c r="I8" s="1171"/>
    </row>
    <row r="9" spans="1:9" s="208" customFormat="1" ht="16.5" customHeight="1" thickBot="1">
      <c r="A9" s="712" t="s">
        <v>95</v>
      </c>
      <c r="B9" s="1809" t="s">
        <v>113</v>
      </c>
      <c r="C9" s="1810"/>
      <c r="D9" s="1869"/>
      <c r="E9" s="713" t="s">
        <v>342</v>
      </c>
      <c r="F9" s="834">
        <f>hivatal9!I11</f>
        <v>3801063</v>
      </c>
      <c r="G9" s="855">
        <f>hivatal9!J11</f>
        <v>24605</v>
      </c>
      <c r="H9" s="855">
        <f>hivatal9!K11</f>
        <v>3825668</v>
      </c>
      <c r="I9" s="732"/>
    </row>
    <row r="10" spans="1:9" s="208" customFormat="1" ht="16.5" customHeight="1" thickBot="1">
      <c r="A10" s="714" t="s">
        <v>102</v>
      </c>
      <c r="B10" s="1809" t="s">
        <v>343</v>
      </c>
      <c r="C10" s="1810"/>
      <c r="D10" s="1869"/>
      <c r="E10" s="715" t="s">
        <v>344</v>
      </c>
      <c r="F10" s="834">
        <f>hivatal9!I12</f>
        <v>792137</v>
      </c>
      <c r="G10" s="855">
        <f>hivatal9!J12</f>
        <v>-35214</v>
      </c>
      <c r="H10" s="855">
        <f>hivatal9!K12</f>
        <v>756923</v>
      </c>
      <c r="I10" s="732"/>
    </row>
    <row r="11" spans="1:9" s="208" customFormat="1" ht="16.5" customHeight="1" thickBot="1">
      <c r="A11" s="712" t="s">
        <v>105</v>
      </c>
      <c r="B11" s="1809" t="s">
        <v>116</v>
      </c>
      <c r="C11" s="1810"/>
      <c r="D11" s="1869"/>
      <c r="E11" s="713" t="s">
        <v>345</v>
      </c>
      <c r="F11" s="834">
        <f>hivatal9!I13</f>
        <v>5379151</v>
      </c>
      <c r="G11" s="855">
        <f>hivatal9!J13</f>
        <v>212412</v>
      </c>
      <c r="H11" s="855">
        <f>hivatal9!K13</f>
        <v>5591563</v>
      </c>
      <c r="I11" s="1710"/>
    </row>
    <row r="12" spans="1:9" s="273" customFormat="1" ht="16.5" customHeight="1" thickBot="1">
      <c r="A12" s="712" t="s">
        <v>106</v>
      </c>
      <c r="B12" s="1809" t="s">
        <v>172</v>
      </c>
      <c r="C12" s="1810"/>
      <c r="D12" s="1869"/>
      <c r="E12" s="713" t="s">
        <v>346</v>
      </c>
      <c r="F12" s="834">
        <f>hivatal9!I14</f>
        <v>91423</v>
      </c>
      <c r="G12" s="855">
        <f>hivatal9!J14</f>
        <v>54</v>
      </c>
      <c r="H12" s="855">
        <f>hivatal9!K14</f>
        <v>91477</v>
      </c>
      <c r="I12" s="1172"/>
    </row>
    <row r="13" spans="1:9" s="208" customFormat="1" ht="16.5" customHeight="1">
      <c r="A13" s="1855"/>
      <c r="B13" s="646">
        <v>1</v>
      </c>
      <c r="C13" s="1836" t="s">
        <v>348</v>
      </c>
      <c r="D13" s="1887"/>
      <c r="E13" s="762" t="s">
        <v>349</v>
      </c>
      <c r="F13" s="835">
        <f>hivatal9!I15</f>
        <v>162435</v>
      </c>
      <c r="G13" s="944">
        <f>hivatal9!J15</f>
        <v>4484</v>
      </c>
      <c r="H13" s="1018">
        <f>hivatal9!K15</f>
        <v>166919</v>
      </c>
      <c r="I13" s="732"/>
    </row>
    <row r="14" spans="1:9" s="208" customFormat="1" ht="16.5" customHeight="1">
      <c r="A14" s="1856"/>
      <c r="B14" s="650">
        <v>2</v>
      </c>
      <c r="C14" s="1805" t="s">
        <v>0</v>
      </c>
      <c r="D14" s="1888"/>
      <c r="E14" s="758" t="s">
        <v>1</v>
      </c>
      <c r="F14" s="835">
        <f>hivatal9!I16</f>
        <v>0</v>
      </c>
      <c r="G14" s="648">
        <f>hivatal9!J16</f>
        <v>0</v>
      </c>
      <c r="H14" s="1019">
        <f>hivatal9!K16</f>
        <v>0</v>
      </c>
      <c r="I14" s="732"/>
    </row>
    <row r="15" spans="1:9" s="208" customFormat="1" ht="16.5" customHeight="1">
      <c r="A15" s="1856"/>
      <c r="B15" s="650">
        <v>3</v>
      </c>
      <c r="C15" s="1805" t="s">
        <v>2</v>
      </c>
      <c r="D15" s="1888"/>
      <c r="E15" s="758" t="s">
        <v>3</v>
      </c>
      <c r="F15" s="835">
        <f>hivatal9!I17</f>
        <v>0</v>
      </c>
      <c r="G15" s="648">
        <f>hivatal9!J17</f>
        <v>0</v>
      </c>
      <c r="H15" s="1019">
        <f>hivatal9!K17</f>
        <v>0</v>
      </c>
      <c r="I15" s="732"/>
    </row>
    <row r="16" spans="1:9" s="208" customFormat="1" ht="16.5" customHeight="1">
      <c r="A16" s="1856"/>
      <c r="B16" s="1862">
        <v>4</v>
      </c>
      <c r="C16" s="1805" t="s">
        <v>4</v>
      </c>
      <c r="D16" s="1888"/>
      <c r="E16" s="758" t="s">
        <v>5</v>
      </c>
      <c r="F16" s="759">
        <f>SUM(F17:F22)</f>
        <v>37653</v>
      </c>
      <c r="G16" s="760">
        <f>SUM(G17:G22)</f>
        <v>1595</v>
      </c>
      <c r="H16" s="848">
        <f>SUM(H17:H22)</f>
        <v>39248</v>
      </c>
      <c r="I16" s="1706">
        <f>hivatal9!K18</f>
        <v>39248</v>
      </c>
    </row>
    <row r="17" spans="1:9" s="208" customFormat="1" ht="16.5" customHeight="1">
      <c r="A17" s="1856"/>
      <c r="B17" s="1863"/>
      <c r="C17" s="704" t="s">
        <v>243</v>
      </c>
      <c r="D17" s="705" t="s">
        <v>389</v>
      </c>
      <c r="E17" s="706" t="str">
        <f>E16</f>
        <v>K506</v>
      </c>
      <c r="F17" s="836">
        <v>23553</v>
      </c>
      <c r="G17" s="856"/>
      <c r="H17" s="942">
        <f aca="true" t="shared" si="0" ref="H17:H22">SUM(F17:G17)</f>
        <v>23553</v>
      </c>
      <c r="I17" s="732"/>
    </row>
    <row r="18" spans="1:9" s="208" customFormat="1" ht="16.5" customHeight="1">
      <c r="A18" s="1856"/>
      <c r="B18" s="1863"/>
      <c r="C18" s="704" t="s">
        <v>243</v>
      </c>
      <c r="D18" s="705" t="s">
        <v>752</v>
      </c>
      <c r="E18" s="706" t="s">
        <v>5</v>
      </c>
      <c r="F18" s="836">
        <v>179</v>
      </c>
      <c r="G18" s="856">
        <v>2943</v>
      </c>
      <c r="H18" s="942">
        <f t="shared" si="0"/>
        <v>3122</v>
      </c>
      <c r="I18" s="732"/>
    </row>
    <row r="19" spans="1:9" s="707" customFormat="1" ht="16.5" customHeight="1">
      <c r="A19" s="1856"/>
      <c r="B19" s="1863"/>
      <c r="C19" s="704" t="s">
        <v>243</v>
      </c>
      <c r="D19" s="705" t="s">
        <v>429</v>
      </c>
      <c r="E19" s="706" t="str">
        <f>E16</f>
        <v>K506</v>
      </c>
      <c r="F19" s="836">
        <v>144</v>
      </c>
      <c r="G19" s="856"/>
      <c r="H19" s="942">
        <f t="shared" si="0"/>
        <v>144</v>
      </c>
      <c r="I19" s="1011"/>
    </row>
    <row r="20" spans="1:9" s="707" customFormat="1" ht="16.5" customHeight="1">
      <c r="A20" s="1856"/>
      <c r="B20" s="1863"/>
      <c r="C20" s="704" t="s">
        <v>243</v>
      </c>
      <c r="D20" s="705" t="s">
        <v>794</v>
      </c>
      <c r="E20" s="706" t="s">
        <v>5</v>
      </c>
      <c r="F20" s="836">
        <v>241</v>
      </c>
      <c r="G20" s="856"/>
      <c r="H20" s="942">
        <f t="shared" si="0"/>
        <v>241</v>
      </c>
      <c r="I20" s="1011"/>
    </row>
    <row r="21" spans="1:9" s="707" customFormat="1" ht="16.5" customHeight="1">
      <c r="A21" s="1856"/>
      <c r="B21" s="1863"/>
      <c r="C21" s="704" t="s">
        <v>243</v>
      </c>
      <c r="D21" s="705" t="s">
        <v>423</v>
      </c>
      <c r="E21" s="706" t="str">
        <f>E16</f>
        <v>K506</v>
      </c>
      <c r="F21" s="836">
        <v>4727</v>
      </c>
      <c r="G21" s="856">
        <v>300</v>
      </c>
      <c r="H21" s="942">
        <f t="shared" si="0"/>
        <v>5027</v>
      </c>
      <c r="I21" s="1011"/>
    </row>
    <row r="22" spans="1:9" s="707" customFormat="1" ht="16.5" customHeight="1">
      <c r="A22" s="1856"/>
      <c r="B22" s="1864"/>
      <c r="C22" s="704" t="s">
        <v>243</v>
      </c>
      <c r="D22" s="705" t="s">
        <v>430</v>
      </c>
      <c r="E22" s="706" t="str">
        <f>E21</f>
        <v>K506</v>
      </c>
      <c r="F22" s="836">
        <v>8809</v>
      </c>
      <c r="G22" s="856">
        <v>-1648</v>
      </c>
      <c r="H22" s="942">
        <f t="shared" si="0"/>
        <v>7161</v>
      </c>
      <c r="I22" s="1011"/>
    </row>
    <row r="23" spans="1:9" s="208" customFormat="1" ht="16.5" customHeight="1">
      <c r="A23" s="1856"/>
      <c r="B23" s="1865">
        <v>5</v>
      </c>
      <c r="C23" s="1805" t="s">
        <v>6</v>
      </c>
      <c r="D23" s="1888"/>
      <c r="E23" s="758" t="s">
        <v>7</v>
      </c>
      <c r="F23" s="759">
        <f>SUM(F24:F28)</f>
        <v>10000</v>
      </c>
      <c r="G23" s="760">
        <f>SUM(G24:G28)</f>
        <v>0</v>
      </c>
      <c r="H23" s="848">
        <f>SUM(H24:H28)</f>
        <v>10000</v>
      </c>
      <c r="I23" s="1706">
        <f>hivatal9!K19</f>
        <v>10000</v>
      </c>
    </row>
    <row r="24" spans="1:9" s="707" customFormat="1" ht="16.5" customHeight="1">
      <c r="A24" s="1856"/>
      <c r="B24" s="1866"/>
      <c r="C24" s="704" t="s">
        <v>243</v>
      </c>
      <c r="D24" s="558" t="s">
        <v>354</v>
      </c>
      <c r="E24" s="560" t="str">
        <f>E23</f>
        <v>K508</v>
      </c>
      <c r="F24" s="837"/>
      <c r="G24" s="580"/>
      <c r="H24" s="943">
        <f>SUM(F24:G24)</f>
        <v>0</v>
      </c>
      <c r="I24" s="1011"/>
    </row>
    <row r="25" spans="1:9" s="707" customFormat="1" ht="16.5" customHeight="1">
      <c r="A25" s="1856"/>
      <c r="B25" s="1866"/>
      <c r="C25" s="704" t="s">
        <v>243</v>
      </c>
      <c r="D25" s="558" t="s">
        <v>355</v>
      </c>
      <c r="E25" s="560" t="str">
        <f>E24</f>
        <v>K508</v>
      </c>
      <c r="F25" s="837">
        <v>10000</v>
      </c>
      <c r="G25" s="580"/>
      <c r="H25" s="943">
        <f>SUM(F25:G25)</f>
        <v>10000</v>
      </c>
      <c r="I25" s="1011"/>
    </row>
    <row r="26" spans="1:9" s="707" customFormat="1" ht="16.5" customHeight="1">
      <c r="A26" s="1856"/>
      <c r="B26" s="1866"/>
      <c r="C26" s="704" t="s">
        <v>243</v>
      </c>
      <c r="D26" s="558" t="s">
        <v>356</v>
      </c>
      <c r="E26" s="560" t="str">
        <f>E25</f>
        <v>K508</v>
      </c>
      <c r="F26" s="837"/>
      <c r="G26" s="580"/>
      <c r="H26" s="943">
        <f>SUM(F26:G26)</f>
        <v>0</v>
      </c>
      <c r="I26" s="1011"/>
    </row>
    <row r="27" spans="1:9" s="707" customFormat="1" ht="16.5" customHeight="1">
      <c r="A27" s="1856"/>
      <c r="B27" s="1866"/>
      <c r="C27" s="704" t="s">
        <v>243</v>
      </c>
      <c r="D27" s="558" t="s">
        <v>357</v>
      </c>
      <c r="E27" s="560" t="str">
        <f>E26</f>
        <v>K508</v>
      </c>
      <c r="F27" s="837"/>
      <c r="G27" s="580"/>
      <c r="H27" s="943">
        <f>SUM(F27:G27)</f>
        <v>0</v>
      </c>
      <c r="I27" s="1011"/>
    </row>
    <row r="28" spans="1:9" s="707" customFormat="1" ht="16.5" customHeight="1">
      <c r="A28" s="1856"/>
      <c r="B28" s="1867"/>
      <c r="C28" s="704" t="s">
        <v>243</v>
      </c>
      <c r="D28" s="558" t="s">
        <v>364</v>
      </c>
      <c r="E28" s="560" t="str">
        <f>E26</f>
        <v>K508</v>
      </c>
      <c r="F28" s="837"/>
      <c r="G28" s="580"/>
      <c r="H28" s="943">
        <f>SUM(F28:G28)</f>
        <v>0</v>
      </c>
      <c r="I28" s="1011"/>
    </row>
    <row r="29" spans="1:11" s="208" customFormat="1" ht="16.5" customHeight="1">
      <c r="A29" s="1856"/>
      <c r="B29" s="1862">
        <v>6</v>
      </c>
      <c r="C29" s="1805" t="s">
        <v>8</v>
      </c>
      <c r="D29" s="1888"/>
      <c r="E29" s="758" t="s">
        <v>9</v>
      </c>
      <c r="F29" s="759">
        <f>SUM(F30:F34)</f>
        <v>822393</v>
      </c>
      <c r="G29" s="760">
        <f>SUM(G30:G34)</f>
        <v>3195</v>
      </c>
      <c r="H29" s="848">
        <f>SUM(H30:H34)</f>
        <v>825588</v>
      </c>
      <c r="I29" s="1706">
        <f>hivatal9!K21</f>
        <v>825588</v>
      </c>
      <c r="K29" s="301">
        <f>I29-H29</f>
        <v>0</v>
      </c>
    </row>
    <row r="30" spans="1:9" s="707" customFormat="1" ht="16.5" customHeight="1">
      <c r="A30" s="1856"/>
      <c r="B30" s="1863"/>
      <c r="C30" s="704" t="s">
        <v>243</v>
      </c>
      <c r="D30" s="558" t="s">
        <v>354</v>
      </c>
      <c r="E30" s="706" t="str">
        <f>E29</f>
        <v>K512</v>
      </c>
      <c r="F30" s="837">
        <v>5966</v>
      </c>
      <c r="G30" s="580">
        <v>2800</v>
      </c>
      <c r="H30" s="943">
        <f>SUM(F30:G30)</f>
        <v>8766</v>
      </c>
      <c r="I30" s="1011"/>
    </row>
    <row r="31" spans="1:9" s="707" customFormat="1" ht="16.5" customHeight="1">
      <c r="A31" s="1856"/>
      <c r="B31" s="1863"/>
      <c r="C31" s="704" t="s">
        <v>243</v>
      </c>
      <c r="D31" s="558" t="s">
        <v>355</v>
      </c>
      <c r="E31" s="706" t="str">
        <f>E30</f>
        <v>K512</v>
      </c>
      <c r="F31" s="836">
        <v>127075</v>
      </c>
      <c r="G31" s="580">
        <f>-3300-3100-500</f>
        <v>-6900</v>
      </c>
      <c r="H31" s="943">
        <f aca="true" t="shared" si="1" ref="H31:H37">SUM(F31:G31)</f>
        <v>120175</v>
      </c>
      <c r="I31" s="1011"/>
    </row>
    <row r="32" spans="1:9" s="707" customFormat="1" ht="16.5" customHeight="1">
      <c r="A32" s="1856"/>
      <c r="B32" s="1863"/>
      <c r="C32" s="704" t="s">
        <v>243</v>
      </c>
      <c r="D32" s="558" t="s">
        <v>356</v>
      </c>
      <c r="E32" s="706" t="str">
        <f>E31</f>
        <v>K512</v>
      </c>
      <c r="F32" s="837">
        <v>80</v>
      </c>
      <c r="G32" s="580"/>
      <c r="H32" s="943">
        <f t="shared" si="1"/>
        <v>80</v>
      </c>
      <c r="I32" s="1011"/>
    </row>
    <row r="33" spans="1:9" s="707" customFormat="1" ht="16.5" customHeight="1">
      <c r="A33" s="1856"/>
      <c r="B33" s="1863"/>
      <c r="C33" s="704" t="s">
        <v>243</v>
      </c>
      <c r="D33" s="558" t="s">
        <v>357</v>
      </c>
      <c r="E33" s="706" t="str">
        <f>E31</f>
        <v>K512</v>
      </c>
      <c r="F33" s="836">
        <v>686199</v>
      </c>
      <c r="G33" s="580">
        <v>7295</v>
      </c>
      <c r="H33" s="943">
        <f t="shared" si="1"/>
        <v>693494</v>
      </c>
      <c r="I33" s="1011"/>
    </row>
    <row r="34" spans="1:9" s="707" customFormat="1" ht="16.5" customHeight="1">
      <c r="A34" s="1856"/>
      <c r="B34" s="1864"/>
      <c r="C34" s="704" t="s">
        <v>243</v>
      </c>
      <c r="D34" s="558" t="s">
        <v>364</v>
      </c>
      <c r="E34" s="706" t="str">
        <f>E32</f>
        <v>K512</v>
      </c>
      <c r="F34" s="837">
        <v>3073</v>
      </c>
      <c r="G34" s="580"/>
      <c r="H34" s="943">
        <f t="shared" si="1"/>
        <v>3073</v>
      </c>
      <c r="I34" s="1011"/>
    </row>
    <row r="35" spans="1:9" s="208" customFormat="1" ht="16.5" customHeight="1">
      <c r="A35" s="1856"/>
      <c r="B35" s="1862">
        <v>7</v>
      </c>
      <c r="C35" s="1805" t="s">
        <v>55</v>
      </c>
      <c r="D35" s="1888"/>
      <c r="E35" s="758" t="s">
        <v>468</v>
      </c>
      <c r="F35" s="838">
        <f>SUM(F36:F37)</f>
        <v>1669092</v>
      </c>
      <c r="G35" s="757">
        <f>SUM(G36:G37)</f>
        <v>-1445785</v>
      </c>
      <c r="H35" s="849">
        <f>SUM(H36:H37)</f>
        <v>223307</v>
      </c>
      <c r="I35" s="1706">
        <f>hivatal9!K22</f>
        <v>223307</v>
      </c>
    </row>
    <row r="36" spans="1:9" s="94" customFormat="1" ht="16.5" customHeight="1">
      <c r="A36" s="1856"/>
      <c r="B36" s="1863"/>
      <c r="C36" s="704" t="s">
        <v>243</v>
      </c>
      <c r="D36" s="556" t="s">
        <v>10</v>
      </c>
      <c r="E36" s="560" t="s">
        <v>468</v>
      </c>
      <c r="F36" s="837">
        <f>tartalék!D9</f>
        <v>150000</v>
      </c>
      <c r="G36" s="580">
        <f>tartalék!E9</f>
        <v>-72475</v>
      </c>
      <c r="H36" s="943">
        <f t="shared" si="1"/>
        <v>77525</v>
      </c>
      <c r="I36" s="732"/>
    </row>
    <row r="37" spans="1:9" s="94" customFormat="1" ht="16.5" customHeight="1" thickBot="1">
      <c r="A37" s="1857"/>
      <c r="B37" s="1868"/>
      <c r="C37" s="704" t="s">
        <v>243</v>
      </c>
      <c r="D37" s="569" t="s">
        <v>350</v>
      </c>
      <c r="E37" s="601" t="s">
        <v>468</v>
      </c>
      <c r="F37" s="1363">
        <f>tartalék!D38</f>
        <v>1519092</v>
      </c>
      <c r="G37" s="945">
        <f>tartalék!E38</f>
        <v>-1373310</v>
      </c>
      <c r="H37" s="943">
        <f t="shared" si="1"/>
        <v>145782</v>
      </c>
      <c r="I37" s="732"/>
    </row>
    <row r="38" spans="1:9" s="273" customFormat="1" ht="18.75" customHeight="1" thickBot="1">
      <c r="A38" s="712" t="s">
        <v>107</v>
      </c>
      <c r="B38" s="1809" t="s">
        <v>171</v>
      </c>
      <c r="C38" s="1810"/>
      <c r="D38" s="1869"/>
      <c r="E38" s="713" t="s">
        <v>347</v>
      </c>
      <c r="F38" s="716">
        <f>F13+F14+F15+F16+F23+F29+F35</f>
        <v>2701573</v>
      </c>
      <c r="G38" s="1020">
        <f>G13+G14+G15+G16+G23+G29+G35</f>
        <v>-1436511</v>
      </c>
      <c r="H38" s="716">
        <f>H13+H14+H15+H16+H23+H29+H35</f>
        <v>1265062</v>
      </c>
      <c r="I38" s="1172"/>
    </row>
    <row r="39" spans="1:9" s="273" customFormat="1" ht="21" customHeight="1" thickBot="1">
      <c r="A39" s="1047" t="s">
        <v>120</v>
      </c>
      <c r="B39" s="1870" t="s">
        <v>404</v>
      </c>
      <c r="C39" s="1871"/>
      <c r="D39" s="1871"/>
      <c r="E39" s="832"/>
      <c r="F39" s="840">
        <f>F9+F10+F11+F12+F38</f>
        <v>12765347</v>
      </c>
      <c r="G39" s="833">
        <f>G9+G10+G11+G12+G38</f>
        <v>-1234654</v>
      </c>
      <c r="H39" s="850">
        <f>H9+H10+H11+H12+H38</f>
        <v>11530693</v>
      </c>
      <c r="I39" s="1172"/>
    </row>
    <row r="40" spans="1:9" s="94" customFormat="1" ht="21" customHeight="1" thickBot="1">
      <c r="A40" s="1877" t="s">
        <v>358</v>
      </c>
      <c r="B40" s="1878"/>
      <c r="C40" s="1878"/>
      <c r="D40" s="1878"/>
      <c r="E40" s="1879"/>
      <c r="F40" s="708">
        <f>'bevétfő '!G61-'kiadfő '!F39</f>
        <v>-2354568</v>
      </c>
      <c r="G40" s="709">
        <f>'bevétfő '!H61-'kiadfő '!G39</f>
        <v>294013</v>
      </c>
      <c r="H40" s="851">
        <f>'bevétfő '!I61-'kiadfő '!H39</f>
        <v>-2060555</v>
      </c>
      <c r="I40" s="732"/>
    </row>
    <row r="41" spans="1:9" s="94" customFormat="1" ht="16.5" customHeight="1">
      <c r="A41" s="1853"/>
      <c r="B41" s="697" t="s">
        <v>57</v>
      </c>
      <c r="C41" s="1842" t="s">
        <v>360</v>
      </c>
      <c r="D41" s="1872"/>
      <c r="E41" s="706" t="s">
        <v>12</v>
      </c>
      <c r="F41" s="841">
        <f>beruházás!C159</f>
        <v>3862060</v>
      </c>
      <c r="G41" s="946">
        <f>beruházás!D159</f>
        <v>14397</v>
      </c>
      <c r="H41" s="946">
        <f>beruházás!E159</f>
        <v>3876457</v>
      </c>
      <c r="I41" s="732"/>
    </row>
    <row r="42" spans="1:9" s="94" customFormat="1" ht="16.5" customHeight="1" thickBot="1">
      <c r="A42" s="1854"/>
      <c r="B42" s="710" t="s">
        <v>58</v>
      </c>
      <c r="C42" s="1813" t="s">
        <v>361</v>
      </c>
      <c r="D42" s="1873"/>
      <c r="E42" s="718" t="s">
        <v>12</v>
      </c>
      <c r="F42" s="841">
        <f>beruházás!C160</f>
        <v>83547</v>
      </c>
      <c r="G42" s="947">
        <f>beruházás!D160</f>
        <v>-949</v>
      </c>
      <c r="H42" s="947">
        <f>beruházás!E160</f>
        <v>82598</v>
      </c>
      <c r="I42" s="732"/>
    </row>
    <row r="43" spans="1:9" s="208" customFormat="1" ht="16.5" customHeight="1" thickBot="1">
      <c r="A43" s="712" t="s">
        <v>315</v>
      </c>
      <c r="B43" s="1809" t="s">
        <v>11</v>
      </c>
      <c r="C43" s="1810"/>
      <c r="D43" s="1869"/>
      <c r="E43" s="713" t="s">
        <v>12</v>
      </c>
      <c r="F43" s="834">
        <f>SUM(F41:F42)</f>
        <v>3945607</v>
      </c>
      <c r="G43" s="855">
        <f>SUM(G41:G42)</f>
        <v>13448</v>
      </c>
      <c r="H43" s="855">
        <f>SUM(H41:H42)</f>
        <v>3959055</v>
      </c>
      <c r="I43" s="1706">
        <f>hivatal9!K24</f>
        <v>3959055</v>
      </c>
    </row>
    <row r="44" spans="1:9" s="94" customFormat="1" ht="16.5" customHeight="1">
      <c r="A44" s="1853"/>
      <c r="B44" s="717" t="s">
        <v>57</v>
      </c>
      <c r="C44" s="1842" t="s">
        <v>362</v>
      </c>
      <c r="D44" s="1872"/>
      <c r="E44" s="719" t="s">
        <v>14</v>
      </c>
      <c r="F44" s="946">
        <f>felújítás!C120</f>
        <v>543442</v>
      </c>
      <c r="G44" s="946">
        <f>felújítás!D120</f>
        <v>75905</v>
      </c>
      <c r="H44" s="946">
        <f>felújítás!E120</f>
        <v>619347</v>
      </c>
      <c r="I44" s="732"/>
    </row>
    <row r="45" spans="1:9" s="94" customFormat="1" ht="16.5" customHeight="1" thickBot="1">
      <c r="A45" s="1854"/>
      <c r="B45" s="710" t="s">
        <v>58</v>
      </c>
      <c r="C45" s="1813" t="s">
        <v>363</v>
      </c>
      <c r="D45" s="1873"/>
      <c r="E45" s="718" t="s">
        <v>14</v>
      </c>
      <c r="F45" s="1264">
        <f>felújítás!C121</f>
        <v>18646</v>
      </c>
      <c r="G45" s="1264">
        <f>felújítás!D121</f>
        <v>233</v>
      </c>
      <c r="H45" s="1264">
        <f>felújítás!E121</f>
        <v>18879</v>
      </c>
      <c r="I45" s="732"/>
    </row>
    <row r="46" spans="1:9" s="208" customFormat="1" ht="16.5" customHeight="1" thickBot="1">
      <c r="A46" s="712" t="s">
        <v>316</v>
      </c>
      <c r="B46" s="1809" t="s">
        <v>13</v>
      </c>
      <c r="C46" s="1810"/>
      <c r="D46" s="1869"/>
      <c r="E46" s="713" t="s">
        <v>14</v>
      </c>
      <c r="F46" s="855">
        <f>SUM(F44:F45)</f>
        <v>562088</v>
      </c>
      <c r="G46" s="834">
        <f>SUM(G44:G45)</f>
        <v>76138</v>
      </c>
      <c r="H46" s="855">
        <f>SUM(H44:H45)</f>
        <v>638226</v>
      </c>
      <c r="I46" s="1706">
        <f>hivatal9!K25</f>
        <v>638226</v>
      </c>
    </row>
    <row r="47" spans="1:9" s="208" customFormat="1" ht="16.5" customHeight="1">
      <c r="A47" s="1880"/>
      <c r="B47" s="763">
        <v>1</v>
      </c>
      <c r="C47" s="1836" t="s">
        <v>16</v>
      </c>
      <c r="D47" s="1887"/>
      <c r="E47" s="758" t="s">
        <v>17</v>
      </c>
      <c r="F47" s="759"/>
      <c r="G47" s="760"/>
      <c r="H47" s="633">
        <f>SUM(F47:G47)</f>
        <v>0</v>
      </c>
      <c r="I47" s="732"/>
    </row>
    <row r="48" spans="1:9" s="208" customFormat="1" ht="16.5" customHeight="1">
      <c r="A48" s="1881"/>
      <c r="B48" s="763">
        <v>2</v>
      </c>
      <c r="C48" s="1805" t="s">
        <v>18</v>
      </c>
      <c r="D48" s="1888"/>
      <c r="E48" s="758" t="s">
        <v>19</v>
      </c>
      <c r="F48" s="759"/>
      <c r="G48" s="760"/>
      <c r="H48" s="852">
        <f>SUM(F48:G48)</f>
        <v>0</v>
      </c>
      <c r="I48" s="732"/>
    </row>
    <row r="49" spans="1:9" s="208" customFormat="1" ht="16.5" customHeight="1">
      <c r="A49" s="1881"/>
      <c r="B49" s="1858">
        <v>3</v>
      </c>
      <c r="C49" s="1805" t="s">
        <v>20</v>
      </c>
      <c r="D49" s="1888"/>
      <c r="E49" s="758" t="s">
        <v>21</v>
      </c>
      <c r="F49" s="759">
        <f>SUM(F50:F53)</f>
        <v>7184</v>
      </c>
      <c r="G49" s="760">
        <f>SUM(G50:G53)</f>
        <v>0</v>
      </c>
      <c r="H49" s="848">
        <f>SUM(H50:H53)</f>
        <v>7184</v>
      </c>
      <c r="I49" s="1706">
        <f>hivatal9!K28</f>
        <v>7184</v>
      </c>
    </row>
    <row r="50" spans="1:9" s="707" customFormat="1" ht="16.5" customHeight="1">
      <c r="A50" s="1881"/>
      <c r="B50" s="1859"/>
      <c r="C50" s="704" t="s">
        <v>243</v>
      </c>
      <c r="D50" s="705" t="s">
        <v>389</v>
      </c>
      <c r="E50" s="706" t="str">
        <f>E49</f>
        <v>K84</v>
      </c>
      <c r="F50" s="836"/>
      <c r="G50" s="856"/>
      <c r="H50" s="943">
        <f aca="true" t="shared" si="2" ref="H50:H65">SUM(F50:G50)</f>
        <v>0</v>
      </c>
      <c r="I50" s="1011"/>
    </row>
    <row r="51" spans="1:9" s="707" customFormat="1" ht="16.5" customHeight="1">
      <c r="A51" s="1881"/>
      <c r="B51" s="1859"/>
      <c r="C51" s="704" t="s">
        <v>243</v>
      </c>
      <c r="D51" s="705" t="s">
        <v>429</v>
      </c>
      <c r="E51" s="706" t="s">
        <v>21</v>
      </c>
      <c r="F51" s="836">
        <v>7184</v>
      </c>
      <c r="G51" s="856"/>
      <c r="H51" s="943">
        <f t="shared" si="2"/>
        <v>7184</v>
      </c>
      <c r="I51" s="1011"/>
    </row>
    <row r="52" spans="1:9" s="707" customFormat="1" ht="16.5" customHeight="1">
      <c r="A52" s="1881"/>
      <c r="B52" s="1859"/>
      <c r="C52" s="704" t="s">
        <v>243</v>
      </c>
      <c r="D52" s="705" t="s">
        <v>845</v>
      </c>
      <c r="E52" s="706" t="str">
        <f>E49</f>
        <v>K84</v>
      </c>
      <c r="F52" s="836"/>
      <c r="G52" s="856"/>
      <c r="H52" s="943">
        <f t="shared" si="2"/>
        <v>0</v>
      </c>
      <c r="I52" s="1011"/>
    </row>
    <row r="53" spans="1:9" s="707" customFormat="1" ht="16.5" customHeight="1">
      <c r="A53" s="1881"/>
      <c r="B53" s="1861"/>
      <c r="C53" s="704" t="s">
        <v>243</v>
      </c>
      <c r="D53" s="705" t="s">
        <v>430</v>
      </c>
      <c r="E53" s="706" t="str">
        <f>E50</f>
        <v>K84</v>
      </c>
      <c r="F53" s="836"/>
      <c r="G53" s="856"/>
      <c r="H53" s="943">
        <f t="shared" si="2"/>
        <v>0</v>
      </c>
      <c r="I53" s="1011"/>
    </row>
    <row r="54" spans="1:9" s="302" customFormat="1" ht="16.5" customHeight="1">
      <c r="A54" s="1881"/>
      <c r="B54" s="1858">
        <v>4</v>
      </c>
      <c r="C54" s="1805" t="s">
        <v>22</v>
      </c>
      <c r="D54" s="1888"/>
      <c r="E54" s="758" t="s">
        <v>23</v>
      </c>
      <c r="F54" s="759">
        <f>SUM(F56:F59)</f>
        <v>12859</v>
      </c>
      <c r="G54" s="760">
        <f>SUM(G56:G59)</f>
        <v>459</v>
      </c>
      <c r="H54" s="848">
        <f>SUM(H56:H59)</f>
        <v>13318</v>
      </c>
      <c r="I54" s="1175">
        <f>hivatal9!K29</f>
        <v>13318</v>
      </c>
    </row>
    <row r="55" spans="1:9" s="707" customFormat="1" ht="16.5" customHeight="1">
      <c r="A55" s="1881"/>
      <c r="B55" s="1859"/>
      <c r="C55" s="704" t="s">
        <v>243</v>
      </c>
      <c r="D55" s="558" t="s">
        <v>354</v>
      </c>
      <c r="E55" s="560" t="str">
        <f>E54</f>
        <v>K86</v>
      </c>
      <c r="F55" s="837"/>
      <c r="G55" s="580"/>
      <c r="H55" s="943">
        <f t="shared" si="2"/>
        <v>0</v>
      </c>
      <c r="I55" s="1011"/>
    </row>
    <row r="56" spans="1:9" s="707" customFormat="1" ht="16.5" customHeight="1">
      <c r="A56" s="1881"/>
      <c r="B56" s="1859"/>
      <c r="C56" s="704" t="s">
        <v>243</v>
      </c>
      <c r="D56" s="558" t="s">
        <v>355</v>
      </c>
      <c r="E56" s="560" t="str">
        <f>E55</f>
        <v>K86</v>
      </c>
      <c r="F56" s="837"/>
      <c r="G56" s="580"/>
      <c r="H56" s="943">
        <f t="shared" si="2"/>
        <v>0</v>
      </c>
      <c r="I56" s="1011"/>
    </row>
    <row r="57" spans="1:9" s="707" customFormat="1" ht="16.5" customHeight="1">
      <c r="A57" s="1881"/>
      <c r="B57" s="1859"/>
      <c r="C57" s="704" t="s">
        <v>243</v>
      </c>
      <c r="D57" s="558" t="s">
        <v>356</v>
      </c>
      <c r="E57" s="560" t="str">
        <f>E56</f>
        <v>K86</v>
      </c>
      <c r="F57" s="837">
        <v>12859</v>
      </c>
      <c r="G57" s="580">
        <v>459</v>
      </c>
      <c r="H57" s="943">
        <f t="shared" si="2"/>
        <v>13318</v>
      </c>
      <c r="I57" s="1011"/>
    </row>
    <row r="58" spans="1:9" s="707" customFormat="1" ht="16.5" customHeight="1">
      <c r="A58" s="1881"/>
      <c r="B58" s="1859"/>
      <c r="C58" s="704" t="s">
        <v>243</v>
      </c>
      <c r="D58" s="558" t="s">
        <v>357</v>
      </c>
      <c r="E58" s="560" t="str">
        <f>E57</f>
        <v>K86</v>
      </c>
      <c r="F58" s="837"/>
      <c r="G58" s="580"/>
      <c r="H58" s="943">
        <f t="shared" si="2"/>
        <v>0</v>
      </c>
      <c r="I58" s="1011"/>
    </row>
    <row r="59" spans="1:9" s="707" customFormat="1" ht="16.5" customHeight="1">
      <c r="A59" s="1881"/>
      <c r="B59" s="1861"/>
      <c r="C59" s="704" t="s">
        <v>243</v>
      </c>
      <c r="D59" s="558" t="s">
        <v>364</v>
      </c>
      <c r="E59" s="560" t="str">
        <f>E57</f>
        <v>K86</v>
      </c>
      <c r="F59" s="837"/>
      <c r="G59" s="580"/>
      <c r="H59" s="943">
        <f t="shared" si="2"/>
        <v>0</v>
      </c>
      <c r="I59" s="1011"/>
    </row>
    <row r="60" spans="1:9" s="208" customFormat="1" ht="16.5" customHeight="1">
      <c r="A60" s="1881"/>
      <c r="B60" s="1858">
        <v>5</v>
      </c>
      <c r="C60" s="1805" t="s">
        <v>24</v>
      </c>
      <c r="D60" s="1888"/>
      <c r="E60" s="1068" t="s">
        <v>469</v>
      </c>
      <c r="F60" s="764">
        <f>SUM(F61:F65)</f>
        <v>456628</v>
      </c>
      <c r="G60" s="765">
        <f>SUM(G61:G65)</f>
        <v>28973</v>
      </c>
      <c r="H60" s="760">
        <f>SUM(H61:H65)</f>
        <v>485601</v>
      </c>
      <c r="I60" s="1706">
        <f>hivatal9!K30</f>
        <v>485601</v>
      </c>
    </row>
    <row r="61" spans="1:9" s="707" customFormat="1" ht="16.5" customHeight="1">
      <c r="A61" s="1881"/>
      <c r="B61" s="1859"/>
      <c r="C61" s="704" t="s">
        <v>243</v>
      </c>
      <c r="D61" s="558" t="s">
        <v>354</v>
      </c>
      <c r="E61" s="560" t="str">
        <f>E60</f>
        <v>K89</v>
      </c>
      <c r="F61" s="837">
        <v>10175</v>
      </c>
      <c r="G61" s="580">
        <v>1000</v>
      </c>
      <c r="H61" s="943">
        <f t="shared" si="2"/>
        <v>11175</v>
      </c>
      <c r="I61" s="1011"/>
    </row>
    <row r="62" spans="1:9" s="707" customFormat="1" ht="16.5" customHeight="1">
      <c r="A62" s="1881"/>
      <c r="B62" s="1859"/>
      <c r="C62" s="704" t="s">
        <v>243</v>
      </c>
      <c r="D62" s="558" t="s">
        <v>355</v>
      </c>
      <c r="E62" s="560" t="str">
        <f>E61</f>
        <v>K89</v>
      </c>
      <c r="F62" s="837">
        <v>44858</v>
      </c>
      <c r="G62" s="580">
        <v>-272</v>
      </c>
      <c r="H62" s="943">
        <f t="shared" si="2"/>
        <v>44586</v>
      </c>
      <c r="I62" s="1011"/>
    </row>
    <row r="63" spans="1:9" s="707" customFormat="1" ht="16.5" customHeight="1">
      <c r="A63" s="1881"/>
      <c r="B63" s="1859"/>
      <c r="C63" s="704" t="s">
        <v>243</v>
      </c>
      <c r="D63" s="558" t="s">
        <v>356</v>
      </c>
      <c r="E63" s="560" t="str">
        <f>E62</f>
        <v>K89</v>
      </c>
      <c r="F63" s="837">
        <v>15382</v>
      </c>
      <c r="G63" s="580"/>
      <c r="H63" s="943">
        <f t="shared" si="2"/>
        <v>15382</v>
      </c>
      <c r="I63" s="1011"/>
    </row>
    <row r="64" spans="1:9" s="707" customFormat="1" ht="16.5" customHeight="1">
      <c r="A64" s="1881"/>
      <c r="B64" s="1859"/>
      <c r="C64" s="704" t="s">
        <v>243</v>
      </c>
      <c r="D64" s="558" t="s">
        <v>357</v>
      </c>
      <c r="E64" s="560" t="str">
        <f>E63</f>
        <v>K89</v>
      </c>
      <c r="F64" s="837">
        <v>370734</v>
      </c>
      <c r="G64" s="580">
        <v>28245</v>
      </c>
      <c r="H64" s="943">
        <f t="shared" si="2"/>
        <v>398979</v>
      </c>
      <c r="I64" s="1011"/>
    </row>
    <row r="65" spans="1:9" s="707" customFormat="1" ht="16.5" customHeight="1" thickBot="1">
      <c r="A65" s="1883"/>
      <c r="B65" s="1860"/>
      <c r="C65" s="704" t="s">
        <v>243</v>
      </c>
      <c r="D65" s="558" t="s">
        <v>364</v>
      </c>
      <c r="E65" s="560" t="str">
        <f>E63</f>
        <v>K89</v>
      </c>
      <c r="F65" s="1359">
        <v>15479</v>
      </c>
      <c r="G65" s="857"/>
      <c r="H65" s="943">
        <f t="shared" si="2"/>
        <v>15479</v>
      </c>
      <c r="I65" s="1011"/>
    </row>
    <row r="66" spans="1:9" s="273" customFormat="1" ht="16.5" customHeight="1" thickBot="1">
      <c r="A66" s="754" t="s">
        <v>110</v>
      </c>
      <c r="B66" s="1890" t="s">
        <v>173</v>
      </c>
      <c r="C66" s="1891"/>
      <c r="D66" s="1892"/>
      <c r="E66" s="755" t="s">
        <v>15</v>
      </c>
      <c r="F66" s="948">
        <f>F47+F48+F49+F54+F60</f>
        <v>476671</v>
      </c>
      <c r="G66" s="756">
        <f>G47+G48+G49+G54+G60</f>
        <v>29432</v>
      </c>
      <c r="H66" s="949">
        <f>H47+H48+H49+H54+H60</f>
        <v>506103</v>
      </c>
      <c r="I66" s="1172"/>
    </row>
    <row r="67" spans="1:9" s="521" customFormat="1" ht="21" customHeight="1" thickBot="1">
      <c r="A67" s="1048" t="s">
        <v>121</v>
      </c>
      <c r="B67" s="1893" t="s">
        <v>405</v>
      </c>
      <c r="C67" s="1894"/>
      <c r="D67" s="1894"/>
      <c r="E67" s="830"/>
      <c r="F67" s="842">
        <f>F43+F46+F66</f>
        <v>4984366</v>
      </c>
      <c r="G67" s="831">
        <f>G43+G46+G66</f>
        <v>119018</v>
      </c>
      <c r="H67" s="853">
        <f>H43+H46+H66</f>
        <v>5103384</v>
      </c>
      <c r="I67" s="1172"/>
    </row>
    <row r="68" spans="1:9" s="94" customFormat="1" ht="21.75" customHeight="1" thickBot="1">
      <c r="A68" s="1877" t="s">
        <v>359</v>
      </c>
      <c r="B68" s="1878"/>
      <c r="C68" s="1878"/>
      <c r="D68" s="1878"/>
      <c r="E68" s="1879"/>
      <c r="F68" s="708">
        <f>'bevétfő '!G80-'kiadfő '!F67</f>
        <v>-3202011</v>
      </c>
      <c r="G68" s="709">
        <f>'bevétfő '!H80-'kiadfő '!G67</f>
        <v>-281677</v>
      </c>
      <c r="H68" s="851">
        <f>'bevétfő '!I80-'kiadfő '!H67</f>
        <v>-3483688</v>
      </c>
      <c r="I68" s="732"/>
    </row>
    <row r="69" spans="1:9" s="273" customFormat="1" ht="21" customHeight="1" thickBot="1">
      <c r="A69" s="720" t="s">
        <v>111</v>
      </c>
      <c r="B69" s="1895" t="s">
        <v>365</v>
      </c>
      <c r="C69" s="1787"/>
      <c r="D69" s="1787"/>
      <c r="E69" s="1788"/>
      <c r="F69" s="721">
        <f>F39+F67</f>
        <v>17749713</v>
      </c>
      <c r="G69" s="711">
        <f>G39+G67</f>
        <v>-1115636</v>
      </c>
      <c r="H69" s="854">
        <f>H39+H67</f>
        <v>16634077</v>
      </c>
      <c r="I69" s="1172"/>
    </row>
    <row r="70" spans="1:9" s="94" customFormat="1" ht="21.75" customHeight="1" thickBot="1">
      <c r="A70" s="1884" t="s">
        <v>425</v>
      </c>
      <c r="B70" s="1885"/>
      <c r="C70" s="1885"/>
      <c r="D70" s="1885"/>
      <c r="E70" s="1886"/>
      <c r="F70" s="709">
        <f>'bevétfő '!G81-'kiadfő '!F69</f>
        <v>-5556579</v>
      </c>
      <c r="G70" s="708">
        <f>'bevétfő '!H81-'kiadfő '!G69</f>
        <v>12336</v>
      </c>
      <c r="H70" s="709">
        <f>'bevétfő '!I81-'kiadfő '!H69</f>
        <v>-5544243</v>
      </c>
      <c r="I70" s="732"/>
    </row>
    <row r="71" spans="1:9" s="208" customFormat="1" ht="16.5" customHeight="1">
      <c r="A71" s="1880"/>
      <c r="B71" s="1882">
        <v>1</v>
      </c>
      <c r="C71" s="1836" t="s">
        <v>353</v>
      </c>
      <c r="D71" s="1887"/>
      <c r="E71" s="767" t="s">
        <v>27</v>
      </c>
      <c r="F71" s="843">
        <f>SUM(F72:F74)</f>
        <v>0</v>
      </c>
      <c r="G71" s="668">
        <f>SUM(G72:G74)</f>
        <v>0</v>
      </c>
      <c r="H71" s="852">
        <f>SUM(H72:H74)</f>
        <v>0</v>
      </c>
      <c r="I71" s="732"/>
    </row>
    <row r="72" spans="1:9" s="94" customFormat="1" ht="16.5" customHeight="1">
      <c r="A72" s="1881"/>
      <c r="B72" s="1863"/>
      <c r="C72" s="557" t="s">
        <v>98</v>
      </c>
      <c r="D72" s="556" t="s">
        <v>28</v>
      </c>
      <c r="E72" s="602" t="s">
        <v>29</v>
      </c>
      <c r="F72" s="839"/>
      <c r="G72" s="593"/>
      <c r="H72" s="943">
        <f aca="true" t="shared" si="3" ref="H72:H77">SUM(F72:G72)</f>
        <v>0</v>
      </c>
      <c r="I72" s="732"/>
    </row>
    <row r="73" spans="1:9" s="94" customFormat="1" ht="16.5" customHeight="1">
      <c r="A73" s="1881"/>
      <c r="B73" s="1863"/>
      <c r="C73" s="557" t="s">
        <v>99</v>
      </c>
      <c r="D73" s="556" t="s">
        <v>30</v>
      </c>
      <c r="E73" s="602" t="s">
        <v>31</v>
      </c>
      <c r="F73" s="839"/>
      <c r="G73" s="593"/>
      <c r="H73" s="943">
        <f t="shared" si="3"/>
        <v>0</v>
      </c>
      <c r="I73" s="732"/>
    </row>
    <row r="74" spans="1:9" s="273" customFormat="1" ht="16.5" customHeight="1">
      <c r="A74" s="1881"/>
      <c r="B74" s="1864"/>
      <c r="C74" s="557" t="s">
        <v>100</v>
      </c>
      <c r="D74" s="753" t="s">
        <v>32</v>
      </c>
      <c r="E74" s="602" t="s">
        <v>33</v>
      </c>
      <c r="F74" s="839"/>
      <c r="G74" s="593"/>
      <c r="H74" s="943">
        <f t="shared" si="3"/>
        <v>0</v>
      </c>
      <c r="I74" s="1172"/>
    </row>
    <row r="75" spans="1:9" s="208" customFormat="1" ht="16.5" customHeight="1">
      <c r="A75" s="1881"/>
      <c r="B75" s="766">
        <v>2</v>
      </c>
      <c r="C75" s="1805" t="s">
        <v>34</v>
      </c>
      <c r="D75" s="1888"/>
      <c r="E75" s="653" t="s">
        <v>35</v>
      </c>
      <c r="F75" s="844"/>
      <c r="G75" s="652"/>
      <c r="H75" s="847">
        <f t="shared" si="3"/>
        <v>0</v>
      </c>
      <c r="I75" s="732"/>
    </row>
    <row r="76" spans="1:9" s="208" customFormat="1" ht="16.5" customHeight="1">
      <c r="A76" s="1881"/>
      <c r="B76" s="1039">
        <v>3</v>
      </c>
      <c r="C76" s="1418" t="s">
        <v>658</v>
      </c>
      <c r="D76" s="1419"/>
      <c r="E76" s="655" t="s">
        <v>637</v>
      </c>
      <c r="F76" s="1040">
        <v>72111</v>
      </c>
      <c r="G76" s="657">
        <v>114695</v>
      </c>
      <c r="H76" s="847">
        <f t="shared" si="3"/>
        <v>186806</v>
      </c>
      <c r="I76" s="1706">
        <f>hivatal9!K32</f>
        <v>186806</v>
      </c>
    </row>
    <row r="77" spans="1:9" s="273" customFormat="1" ht="16.5" customHeight="1" thickBot="1">
      <c r="A77" s="1881"/>
      <c r="B77" s="1039">
        <v>4</v>
      </c>
      <c r="C77" s="1845" t="s">
        <v>36</v>
      </c>
      <c r="D77" s="1889"/>
      <c r="E77" s="655" t="s">
        <v>37</v>
      </c>
      <c r="F77" s="1040"/>
      <c r="G77" s="657"/>
      <c r="H77" s="1041">
        <f t="shared" si="3"/>
        <v>0</v>
      </c>
      <c r="I77" s="1172"/>
    </row>
    <row r="78" spans="1:9" s="208" customFormat="1" ht="16.5" customHeight="1" thickBot="1">
      <c r="A78" s="679" t="s">
        <v>122</v>
      </c>
      <c r="B78" s="1809" t="s">
        <v>25</v>
      </c>
      <c r="C78" s="1810"/>
      <c r="D78" s="1869"/>
      <c r="E78" s="713" t="s">
        <v>26</v>
      </c>
      <c r="F78" s="1503">
        <f>F71+F75+F77+F76</f>
        <v>72111</v>
      </c>
      <c r="G78" s="1503">
        <f>G71+G75+G77+G76</f>
        <v>114695</v>
      </c>
      <c r="H78" s="1503">
        <f>H71+H75+H77+H76</f>
        <v>186806</v>
      </c>
      <c r="I78" s="732"/>
    </row>
    <row r="79" spans="1:9" s="208" customFormat="1" ht="16.5" customHeight="1" thickBot="1">
      <c r="A79" s="1042" t="s">
        <v>322</v>
      </c>
      <c r="B79" s="1874" t="s">
        <v>38</v>
      </c>
      <c r="C79" s="1875"/>
      <c r="D79" s="1876"/>
      <c r="E79" s="1043" t="s">
        <v>39</v>
      </c>
      <c r="F79" s="1044"/>
      <c r="G79" s="1045"/>
      <c r="H79" s="1046">
        <f>SUM(F79:G79)</f>
        <v>0</v>
      </c>
      <c r="I79" s="732"/>
    </row>
    <row r="80" spans="1:9" s="521" customFormat="1" ht="21" customHeight="1" thickBot="1">
      <c r="A80" s="829" t="s">
        <v>42</v>
      </c>
      <c r="B80" s="1893" t="s">
        <v>408</v>
      </c>
      <c r="C80" s="1894"/>
      <c r="D80" s="1894"/>
      <c r="E80" s="830"/>
      <c r="F80" s="845">
        <f>SUM(F78:F79)</f>
        <v>72111</v>
      </c>
      <c r="G80" s="828">
        <f>SUM(G78:G79)</f>
        <v>114695</v>
      </c>
      <c r="H80" s="828">
        <f>SUM(H78:H79)</f>
        <v>186806</v>
      </c>
      <c r="I80" s="1172"/>
    </row>
    <row r="81" spans="1:9" s="521" customFormat="1" ht="22.5" customHeight="1" thickBot="1">
      <c r="A81" s="722" t="s">
        <v>43</v>
      </c>
      <c r="B81" s="1787" t="s">
        <v>366</v>
      </c>
      <c r="C81" s="1787"/>
      <c r="D81" s="1787"/>
      <c r="E81" s="1788"/>
      <c r="F81" s="846">
        <f>F69+F80</f>
        <v>17821824</v>
      </c>
      <c r="G81" s="950">
        <f>G69+G80</f>
        <v>-1000941</v>
      </c>
      <c r="H81" s="950">
        <f>H69+H80</f>
        <v>16820883</v>
      </c>
      <c r="I81" s="1175">
        <f>hivatal9!K34</f>
        <v>16820883</v>
      </c>
    </row>
    <row r="82" spans="1:9" s="94" customFormat="1" ht="12.75">
      <c r="A82" s="698"/>
      <c r="B82" s="698"/>
      <c r="C82" s="698"/>
      <c r="D82" s="700"/>
      <c r="E82" s="700"/>
      <c r="F82" s="701"/>
      <c r="G82" s="701"/>
      <c r="H82" s="701"/>
      <c r="I82" s="732"/>
    </row>
    <row r="83" spans="1:9" s="94" customFormat="1" ht="12.75">
      <c r="A83" s="699"/>
      <c r="B83" s="698"/>
      <c r="C83" s="698"/>
      <c r="D83" s="700"/>
      <c r="E83" s="700"/>
      <c r="F83" s="701"/>
      <c r="G83" s="701"/>
      <c r="H83" s="701">
        <f>'bevétfő '!I92-'kiadfő '!H81</f>
        <v>0</v>
      </c>
      <c r="I83" s="732"/>
    </row>
    <row r="84" spans="1:9" s="94" customFormat="1" ht="12.75">
      <c r="A84" s="698"/>
      <c r="B84" s="698"/>
      <c r="C84" s="698"/>
      <c r="D84" s="700"/>
      <c r="E84" s="700"/>
      <c r="F84" s="701"/>
      <c r="G84" s="701"/>
      <c r="H84" s="701"/>
      <c r="I84" s="732"/>
    </row>
    <row r="85" spans="1:9" s="94" customFormat="1" ht="12.75">
      <c r="A85" s="698"/>
      <c r="B85" s="698"/>
      <c r="C85" s="698"/>
      <c r="D85" s="700"/>
      <c r="E85" s="700"/>
      <c r="F85" s="701"/>
      <c r="G85" s="701"/>
      <c r="H85" s="701"/>
      <c r="I85" s="732"/>
    </row>
    <row r="86" spans="1:9" s="94" customFormat="1" ht="12.75">
      <c r="A86" s="698"/>
      <c r="B86" s="698"/>
      <c r="C86" s="698"/>
      <c r="D86" s="700"/>
      <c r="E86" s="700"/>
      <c r="F86" s="701"/>
      <c r="G86" s="701"/>
      <c r="H86" s="701"/>
      <c r="I86" s="732"/>
    </row>
    <row r="87" spans="1:9" s="94" customFormat="1" ht="12.75">
      <c r="A87" s="233"/>
      <c r="B87" s="233"/>
      <c r="C87" s="233"/>
      <c r="F87" s="696"/>
      <c r="G87" s="696"/>
      <c r="H87" s="696"/>
      <c r="I87" s="732"/>
    </row>
    <row r="88" spans="1:9" s="94" customFormat="1" ht="12.75">
      <c r="A88" s="233"/>
      <c r="B88" s="233"/>
      <c r="C88" s="233"/>
      <c r="F88" s="696"/>
      <c r="G88" s="696"/>
      <c r="H88" s="696"/>
      <c r="I88" s="732"/>
    </row>
    <row r="89" spans="1:9" s="94" customFormat="1" ht="12.75">
      <c r="A89" s="233"/>
      <c r="B89" s="233"/>
      <c r="C89" s="233"/>
      <c r="F89" s="696"/>
      <c r="G89" s="696"/>
      <c r="H89" s="696"/>
      <c r="I89" s="732"/>
    </row>
    <row r="90" spans="1:9" s="94" customFormat="1" ht="12.75">
      <c r="A90" s="233"/>
      <c r="B90" s="233"/>
      <c r="C90" s="233"/>
      <c r="F90" s="696"/>
      <c r="G90" s="696"/>
      <c r="H90" s="696"/>
      <c r="I90" s="732"/>
    </row>
    <row r="91" spans="1:9" s="94" customFormat="1" ht="12.75">
      <c r="A91" s="233"/>
      <c r="B91" s="233"/>
      <c r="C91" s="233"/>
      <c r="F91" s="696"/>
      <c r="G91" s="696"/>
      <c r="H91" s="696"/>
      <c r="I91" s="732"/>
    </row>
    <row r="92" spans="1:9" s="94" customFormat="1" ht="12.75">
      <c r="A92" s="233"/>
      <c r="B92" s="233"/>
      <c r="C92" s="233"/>
      <c r="F92" s="696"/>
      <c r="G92" s="696"/>
      <c r="H92" s="696"/>
      <c r="I92" s="732"/>
    </row>
    <row r="93" spans="1:9" s="94" customFormat="1" ht="12.75">
      <c r="A93" s="233"/>
      <c r="B93" s="233"/>
      <c r="C93" s="233"/>
      <c r="F93" s="696"/>
      <c r="G93" s="696"/>
      <c r="H93" s="696"/>
      <c r="I93" s="732"/>
    </row>
    <row r="94" spans="1:9" s="94" customFormat="1" ht="12.75">
      <c r="A94" s="233"/>
      <c r="B94" s="233"/>
      <c r="C94" s="233"/>
      <c r="F94" s="696"/>
      <c r="G94" s="696"/>
      <c r="H94" s="696"/>
      <c r="I94" s="732"/>
    </row>
    <row r="95" spans="1:9" s="94" customFormat="1" ht="12.75">
      <c r="A95" s="233"/>
      <c r="B95" s="233"/>
      <c r="C95" s="233"/>
      <c r="F95" s="696"/>
      <c r="G95" s="696"/>
      <c r="H95" s="696"/>
      <c r="I95" s="732"/>
    </row>
    <row r="96" spans="1:9" s="94" customFormat="1" ht="12.75">
      <c r="A96" s="233"/>
      <c r="B96" s="233"/>
      <c r="C96" s="233"/>
      <c r="F96" s="696"/>
      <c r="G96" s="696"/>
      <c r="H96" s="696"/>
      <c r="I96" s="732"/>
    </row>
    <row r="97" spans="1:9" s="94" customFormat="1" ht="12.75">
      <c r="A97" s="233"/>
      <c r="B97" s="233"/>
      <c r="C97" s="233"/>
      <c r="F97" s="696"/>
      <c r="G97" s="696"/>
      <c r="H97" s="696"/>
      <c r="I97" s="732"/>
    </row>
    <row r="98" spans="1:9" s="94" customFormat="1" ht="12.75">
      <c r="A98" s="233"/>
      <c r="B98" s="233"/>
      <c r="C98" s="233"/>
      <c r="F98" s="696"/>
      <c r="G98" s="696"/>
      <c r="H98" s="696"/>
      <c r="I98" s="732"/>
    </row>
    <row r="99" spans="1:9" s="94" customFormat="1" ht="12.75">
      <c r="A99" s="233"/>
      <c r="B99" s="233"/>
      <c r="C99" s="233"/>
      <c r="F99" s="696"/>
      <c r="G99" s="696"/>
      <c r="H99" s="696"/>
      <c r="I99" s="732"/>
    </row>
    <row r="100" spans="1:9" s="94" customFormat="1" ht="12.75">
      <c r="A100" s="233"/>
      <c r="B100" s="233"/>
      <c r="C100" s="233"/>
      <c r="F100" s="696"/>
      <c r="G100" s="696"/>
      <c r="H100" s="696"/>
      <c r="I100" s="732"/>
    </row>
    <row r="101" spans="1:9" s="94" customFormat="1" ht="12.75">
      <c r="A101" s="233"/>
      <c r="B101" s="233"/>
      <c r="C101" s="233"/>
      <c r="F101" s="696"/>
      <c r="G101" s="696"/>
      <c r="H101" s="696"/>
      <c r="I101" s="732"/>
    </row>
    <row r="102" spans="1:9" s="94" customFormat="1" ht="12.75">
      <c r="A102" s="233"/>
      <c r="B102" s="233"/>
      <c r="C102" s="233"/>
      <c r="F102" s="696"/>
      <c r="G102" s="696"/>
      <c r="H102" s="696"/>
      <c r="I102" s="732"/>
    </row>
    <row r="103" spans="1:9" s="94" customFormat="1" ht="12.75">
      <c r="A103" s="233"/>
      <c r="B103" s="233"/>
      <c r="C103" s="233"/>
      <c r="F103" s="696"/>
      <c r="G103" s="696"/>
      <c r="H103" s="696"/>
      <c r="I103" s="732"/>
    </row>
    <row r="104" spans="1:9" s="94" customFormat="1" ht="12.75">
      <c r="A104" s="233"/>
      <c r="B104" s="233"/>
      <c r="C104" s="233"/>
      <c r="F104" s="696"/>
      <c r="G104" s="696"/>
      <c r="H104" s="696"/>
      <c r="I104" s="732"/>
    </row>
    <row r="105" spans="1:9" s="94" customFormat="1" ht="12.75">
      <c r="A105" s="233"/>
      <c r="B105" s="233"/>
      <c r="C105" s="233"/>
      <c r="F105" s="696"/>
      <c r="G105" s="696"/>
      <c r="H105" s="696"/>
      <c r="I105" s="732"/>
    </row>
    <row r="106" spans="1:9" s="94" customFormat="1" ht="12.75">
      <c r="A106" s="233"/>
      <c r="B106" s="233"/>
      <c r="C106" s="233"/>
      <c r="F106" s="696"/>
      <c r="G106" s="696"/>
      <c r="H106" s="696"/>
      <c r="I106" s="732"/>
    </row>
    <row r="107" spans="1:9" s="94" customFormat="1" ht="12.75">
      <c r="A107" s="233"/>
      <c r="B107" s="233"/>
      <c r="C107" s="233"/>
      <c r="F107" s="696"/>
      <c r="G107" s="696"/>
      <c r="H107" s="696"/>
      <c r="I107" s="732"/>
    </row>
    <row r="108" spans="1:9" s="94" customFormat="1" ht="12.75">
      <c r="A108" s="233"/>
      <c r="B108" s="233"/>
      <c r="C108" s="233"/>
      <c r="F108" s="696"/>
      <c r="G108" s="696"/>
      <c r="H108" s="696"/>
      <c r="I108" s="732"/>
    </row>
    <row r="109" spans="1:9" s="94" customFormat="1" ht="12.75">
      <c r="A109" s="233"/>
      <c r="B109" s="233"/>
      <c r="C109" s="233"/>
      <c r="F109" s="696"/>
      <c r="G109" s="696"/>
      <c r="H109" s="696"/>
      <c r="I109" s="732"/>
    </row>
    <row r="110" spans="1:9" s="94" customFormat="1" ht="12.75">
      <c r="A110" s="233"/>
      <c r="B110" s="233"/>
      <c r="C110" s="233"/>
      <c r="F110" s="696"/>
      <c r="G110" s="696"/>
      <c r="H110" s="696"/>
      <c r="I110" s="732"/>
    </row>
    <row r="111" spans="1:9" s="94" customFormat="1" ht="12.75">
      <c r="A111" s="233"/>
      <c r="B111" s="233"/>
      <c r="C111" s="233"/>
      <c r="F111" s="696"/>
      <c r="G111" s="696"/>
      <c r="H111" s="696"/>
      <c r="I111" s="732"/>
    </row>
    <row r="112" spans="1:9" s="94" customFormat="1" ht="12.75">
      <c r="A112" s="233"/>
      <c r="B112" s="233"/>
      <c r="C112" s="233"/>
      <c r="F112" s="696"/>
      <c r="G112" s="696"/>
      <c r="H112" s="696"/>
      <c r="I112" s="732"/>
    </row>
    <row r="113" spans="1:9" s="94" customFormat="1" ht="12.75">
      <c r="A113" s="233"/>
      <c r="B113" s="233"/>
      <c r="C113" s="233"/>
      <c r="F113" s="696"/>
      <c r="G113" s="696"/>
      <c r="H113" s="696"/>
      <c r="I113" s="732"/>
    </row>
    <row r="114" spans="1:9" s="94" customFormat="1" ht="12.75">
      <c r="A114" s="233"/>
      <c r="B114" s="233"/>
      <c r="C114" s="233"/>
      <c r="F114" s="696"/>
      <c r="G114" s="696"/>
      <c r="H114" s="696"/>
      <c r="I114" s="732"/>
    </row>
    <row r="115" spans="1:9" s="94" customFormat="1" ht="12.75">
      <c r="A115" s="233"/>
      <c r="B115" s="233"/>
      <c r="C115" s="233"/>
      <c r="F115" s="696"/>
      <c r="G115" s="696"/>
      <c r="H115" s="696"/>
      <c r="I115" s="732"/>
    </row>
    <row r="116" spans="1:9" s="94" customFormat="1" ht="12.75">
      <c r="A116" s="233"/>
      <c r="B116" s="233"/>
      <c r="C116" s="233"/>
      <c r="F116" s="696"/>
      <c r="G116" s="696"/>
      <c r="H116" s="696"/>
      <c r="I116" s="732"/>
    </row>
    <row r="117" spans="1:9" s="94" customFormat="1" ht="12.75">
      <c r="A117" s="233"/>
      <c r="B117" s="233"/>
      <c r="C117" s="233"/>
      <c r="F117" s="696"/>
      <c r="G117" s="696"/>
      <c r="H117" s="696"/>
      <c r="I117" s="732"/>
    </row>
    <row r="118" spans="1:9" s="94" customFormat="1" ht="12.75">
      <c r="A118" s="233"/>
      <c r="B118" s="233"/>
      <c r="C118" s="233"/>
      <c r="F118" s="696"/>
      <c r="G118" s="696"/>
      <c r="H118" s="696"/>
      <c r="I118" s="732"/>
    </row>
    <row r="119" spans="1:9" s="94" customFormat="1" ht="12.75">
      <c r="A119" s="233"/>
      <c r="B119" s="233"/>
      <c r="C119" s="233"/>
      <c r="F119" s="696"/>
      <c r="G119" s="696"/>
      <c r="H119" s="696"/>
      <c r="I119" s="732"/>
    </row>
    <row r="120" spans="1:9" s="94" customFormat="1" ht="12.75">
      <c r="A120" s="233"/>
      <c r="B120" s="233"/>
      <c r="C120" s="233"/>
      <c r="F120" s="696"/>
      <c r="G120" s="696"/>
      <c r="H120" s="696"/>
      <c r="I120" s="732"/>
    </row>
    <row r="121" spans="1:9" s="94" customFormat="1" ht="12.75">
      <c r="A121" s="233"/>
      <c r="B121" s="233"/>
      <c r="C121" s="233"/>
      <c r="F121" s="696"/>
      <c r="G121" s="696"/>
      <c r="H121" s="696"/>
      <c r="I121" s="732"/>
    </row>
    <row r="122" spans="1:3" ht="12.75">
      <c r="A122" s="233"/>
      <c r="B122" s="233"/>
      <c r="C122" s="233"/>
    </row>
  </sheetData>
  <sheetProtection/>
  <mergeCells count="54">
    <mergeCell ref="C13:D13"/>
    <mergeCell ref="C14:D14"/>
    <mergeCell ref="C15:D15"/>
    <mergeCell ref="C16:D16"/>
    <mergeCell ref="C23:D23"/>
    <mergeCell ref="C29:D29"/>
    <mergeCell ref="A4:H4"/>
    <mergeCell ref="A5:H5"/>
    <mergeCell ref="B7:D7"/>
    <mergeCell ref="B10:D10"/>
    <mergeCell ref="A40:E40"/>
    <mergeCell ref="B11:D11"/>
    <mergeCell ref="C35:D35"/>
    <mergeCell ref="B8:D8"/>
    <mergeCell ref="B9:D9"/>
    <mergeCell ref="B12:D12"/>
    <mergeCell ref="B78:D78"/>
    <mergeCell ref="B80:D80"/>
    <mergeCell ref="C44:D44"/>
    <mergeCell ref="C45:D45"/>
    <mergeCell ref="B69:E69"/>
    <mergeCell ref="C47:D47"/>
    <mergeCell ref="C48:D48"/>
    <mergeCell ref="C49:D49"/>
    <mergeCell ref="C54:D54"/>
    <mergeCell ref="C60:D60"/>
    <mergeCell ref="B71:B74"/>
    <mergeCell ref="A47:A65"/>
    <mergeCell ref="A70:E70"/>
    <mergeCell ref="C71:D71"/>
    <mergeCell ref="C75:D75"/>
    <mergeCell ref="C77:D77"/>
    <mergeCell ref="B66:D66"/>
    <mergeCell ref="B67:D67"/>
    <mergeCell ref="B38:D38"/>
    <mergeCell ref="B39:D39"/>
    <mergeCell ref="C41:D41"/>
    <mergeCell ref="C42:D42"/>
    <mergeCell ref="B81:E81"/>
    <mergeCell ref="B79:D79"/>
    <mergeCell ref="A68:E68"/>
    <mergeCell ref="B43:D43"/>
    <mergeCell ref="B46:D46"/>
    <mergeCell ref="A71:A77"/>
    <mergeCell ref="A41:A42"/>
    <mergeCell ref="A44:A45"/>
    <mergeCell ref="A13:A37"/>
    <mergeCell ref="B60:B65"/>
    <mergeCell ref="B54:B59"/>
    <mergeCell ref="B49:B53"/>
    <mergeCell ref="B16:B22"/>
    <mergeCell ref="B23:B28"/>
    <mergeCell ref="B29:B34"/>
    <mergeCell ref="B35:B37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1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3"/>
  <sheetViews>
    <sheetView showGridLines="0" tabSelected="1" zoomScale="87" zoomScaleNormal="87" zoomScalePageLayoutView="0" workbookViewId="0" topLeftCell="A1">
      <pane xSplit="3" ySplit="11" topLeftCell="D51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O55" sqref="O55"/>
    </sheetView>
  </sheetViews>
  <sheetFormatPr defaultColWidth="10.625" defaultRowHeight="12.75"/>
  <cols>
    <col min="1" max="1" width="1.625" style="140" customWidth="1"/>
    <col min="2" max="2" width="9.125" style="276" customWidth="1"/>
    <col min="3" max="3" width="62.625" style="277" customWidth="1"/>
    <col min="4" max="7" width="21.00390625" style="277" customWidth="1"/>
    <col min="8" max="8" width="19.50390625" style="277" customWidth="1"/>
    <col min="9" max="9" width="21.00390625" style="280" customWidth="1"/>
    <col min="10" max="10" width="21.00390625" style="279" customWidth="1"/>
    <col min="11" max="11" width="20.125" style="279" customWidth="1"/>
    <col min="12" max="12" width="18.625" style="279" customWidth="1"/>
    <col min="13" max="13" width="22.00390625" style="515" customWidth="1"/>
    <col min="14" max="14" width="25.875" style="507" customWidth="1"/>
    <col min="15" max="16" width="24.50390625" style="507" customWidth="1"/>
    <col min="17" max="18" width="10.625" style="507" customWidth="1"/>
    <col min="19" max="16384" width="10.625" style="140" customWidth="1"/>
  </cols>
  <sheetData>
    <row r="1" spans="2:18" s="188" customFormat="1" ht="15.75">
      <c r="B1" s="189"/>
      <c r="C1" s="190"/>
      <c r="D1" s="190"/>
      <c r="E1" s="190"/>
      <c r="F1" s="190"/>
      <c r="G1" s="190"/>
      <c r="H1" s="190"/>
      <c r="I1" s="191"/>
      <c r="J1" s="192"/>
      <c r="K1" s="192"/>
      <c r="L1" s="193" t="s">
        <v>886</v>
      </c>
      <c r="M1" s="510"/>
      <c r="N1" s="493"/>
      <c r="O1" s="494"/>
      <c r="P1" s="494"/>
      <c r="Q1" s="494"/>
      <c r="R1" s="494"/>
    </row>
    <row r="2" spans="2:18" s="188" customFormat="1" ht="12.75">
      <c r="B2" s="189"/>
      <c r="C2" s="190"/>
      <c r="D2" s="190"/>
      <c r="E2" s="190"/>
      <c r="F2" s="190"/>
      <c r="G2" s="190"/>
      <c r="H2" s="190"/>
      <c r="I2" s="191"/>
      <c r="J2" s="460" t="s">
        <v>84</v>
      </c>
      <c r="K2" s="460"/>
      <c r="L2" s="232" t="s">
        <v>93</v>
      </c>
      <c r="M2" s="511"/>
      <c r="N2" s="494"/>
      <c r="O2" s="494"/>
      <c r="P2" s="494"/>
      <c r="Q2" s="494"/>
      <c r="R2" s="494"/>
    </row>
    <row r="3" spans="2:18" s="188" customFormat="1" ht="12.75">
      <c r="B3" s="194"/>
      <c r="C3" s="195"/>
      <c r="D3" s="195"/>
      <c r="E3" s="195"/>
      <c r="F3" s="195"/>
      <c r="G3" s="195"/>
      <c r="H3" s="195"/>
      <c r="I3" s="196"/>
      <c r="J3" s="197"/>
      <c r="K3" s="197"/>
      <c r="L3" s="197"/>
      <c r="M3" s="512"/>
      <c r="N3" s="495"/>
      <c r="O3" s="495"/>
      <c r="P3" s="495"/>
      <c r="Q3" s="494"/>
      <c r="R3" s="494"/>
    </row>
    <row r="4" spans="2:18" s="188" customFormat="1" ht="20.25">
      <c r="B4" s="1997" t="s">
        <v>574</v>
      </c>
      <c r="C4" s="1997"/>
      <c r="D4" s="1997"/>
      <c r="E4" s="1997"/>
      <c r="F4" s="1997"/>
      <c r="G4" s="1997"/>
      <c r="H4" s="1997"/>
      <c r="I4" s="1997"/>
      <c r="J4" s="1997"/>
      <c r="K4" s="1997"/>
      <c r="L4" s="1997"/>
      <c r="M4" s="496"/>
      <c r="N4" s="495"/>
      <c r="O4" s="495"/>
      <c r="P4" s="495"/>
      <c r="Q4" s="494"/>
      <c r="R4" s="494"/>
    </row>
    <row r="5" spans="2:18" s="188" customFormat="1" ht="20.25">
      <c r="B5" s="1997" t="s">
        <v>592</v>
      </c>
      <c r="C5" s="1997"/>
      <c r="D5" s="1997"/>
      <c r="E5" s="1997"/>
      <c r="F5" s="1997"/>
      <c r="G5" s="1997"/>
      <c r="H5" s="1997"/>
      <c r="I5" s="1997"/>
      <c r="J5" s="1997"/>
      <c r="K5" s="1997"/>
      <c r="L5" s="1997"/>
      <c r="M5" s="496"/>
      <c r="N5" s="495"/>
      <c r="O5" s="495"/>
      <c r="P5" s="495"/>
      <c r="Q5" s="494"/>
      <c r="R5" s="494"/>
    </row>
    <row r="6" spans="2:18" s="198" customFormat="1" ht="26.25" customHeight="1">
      <c r="B6" s="1990" t="s">
        <v>88</v>
      </c>
      <c r="C6" s="1990"/>
      <c r="D6" s="1990"/>
      <c r="E6" s="1990"/>
      <c r="F6" s="1990"/>
      <c r="G6" s="1990"/>
      <c r="H6" s="1990"/>
      <c r="I6" s="1990"/>
      <c r="J6" s="1990"/>
      <c r="K6" s="1990"/>
      <c r="L6" s="1990"/>
      <c r="M6" s="496"/>
      <c r="N6" s="495"/>
      <c r="O6" s="495"/>
      <c r="P6" s="495"/>
      <c r="Q6" s="497"/>
      <c r="R6" s="497"/>
    </row>
    <row r="7" spans="2:18" s="198" customFormat="1" ht="20.25" customHeight="1" thickBot="1">
      <c r="B7" s="461"/>
      <c r="C7" s="462"/>
      <c r="D7" s="462"/>
      <c r="E7" s="462"/>
      <c r="F7" s="462"/>
      <c r="G7" s="462"/>
      <c r="H7" s="462"/>
      <c r="I7" s="463"/>
      <c r="J7" s="464"/>
      <c r="K7" s="464"/>
      <c r="L7" s="465" t="s">
        <v>134</v>
      </c>
      <c r="M7" s="512"/>
      <c r="N7" s="495"/>
      <c r="O7" s="495"/>
      <c r="P7" s="495"/>
      <c r="Q7" s="497"/>
      <c r="R7" s="497"/>
    </row>
    <row r="8" spans="2:18" s="191" customFormat="1" ht="22.5" customHeight="1" thickBot="1">
      <c r="B8" s="2001" t="s">
        <v>94</v>
      </c>
      <c r="C8" s="1998" t="s">
        <v>125</v>
      </c>
      <c r="D8" s="2006" t="s">
        <v>70</v>
      </c>
      <c r="E8" s="2007"/>
      <c r="F8" s="2007"/>
      <c r="G8" s="2007"/>
      <c r="H8" s="2008"/>
      <c r="I8" s="2006" t="s">
        <v>71</v>
      </c>
      <c r="J8" s="2007"/>
      <c r="K8" s="2007"/>
      <c r="L8" s="2008"/>
      <c r="M8" s="509"/>
      <c r="N8" s="498"/>
      <c r="O8" s="498"/>
      <c r="P8" s="498"/>
      <c r="Q8" s="499"/>
      <c r="R8" s="499"/>
    </row>
    <row r="9" spans="2:18" s="191" customFormat="1" ht="15.75" customHeight="1">
      <c r="B9" s="2002"/>
      <c r="C9" s="1999"/>
      <c r="D9" s="2009" t="s">
        <v>75</v>
      </c>
      <c r="E9" s="2011" t="s">
        <v>411</v>
      </c>
      <c r="F9" s="2004" t="s">
        <v>159</v>
      </c>
      <c r="G9" s="1995" t="s">
        <v>533</v>
      </c>
      <c r="H9" s="1993" t="s">
        <v>76</v>
      </c>
      <c r="I9" s="1991" t="s">
        <v>85</v>
      </c>
      <c r="J9" s="1991" t="s">
        <v>72</v>
      </c>
      <c r="K9" s="1991" t="s">
        <v>73</v>
      </c>
      <c r="L9" s="1993" t="s">
        <v>74</v>
      </c>
      <c r="M9" s="500"/>
      <c r="N9" s="498"/>
      <c r="O9" s="498"/>
      <c r="P9" s="498"/>
      <c r="Q9" s="499"/>
      <c r="R9" s="499"/>
    </row>
    <row r="10" spans="2:18" s="191" customFormat="1" ht="48" customHeight="1" thickBot="1">
      <c r="B10" s="2003"/>
      <c r="C10" s="2000"/>
      <c r="D10" s="2010"/>
      <c r="E10" s="2012"/>
      <c r="F10" s="2005"/>
      <c r="G10" s="1996"/>
      <c r="H10" s="1994"/>
      <c r="I10" s="1992"/>
      <c r="J10" s="1992"/>
      <c r="K10" s="1992"/>
      <c r="L10" s="1994"/>
      <c r="M10" s="500"/>
      <c r="N10" s="499"/>
      <c r="O10" s="498"/>
      <c r="P10" s="498"/>
      <c r="Q10" s="499"/>
      <c r="R10" s="499"/>
    </row>
    <row r="11" spans="2:16" s="467" customFormat="1" ht="12" thickBot="1">
      <c r="B11" s="466">
        <v>1</v>
      </c>
      <c r="C11" s="466">
        <v>2</v>
      </c>
      <c r="D11" s="1168">
        <v>3</v>
      </c>
      <c r="E11" s="1169">
        <v>4</v>
      </c>
      <c r="F11" s="1318">
        <v>5</v>
      </c>
      <c r="G11" s="1324">
        <v>6</v>
      </c>
      <c r="H11" s="466">
        <v>7</v>
      </c>
      <c r="I11" s="516">
        <v>8</v>
      </c>
      <c r="J11" s="466">
        <v>9</v>
      </c>
      <c r="K11" s="516">
        <v>10</v>
      </c>
      <c r="L11" s="466">
        <v>11</v>
      </c>
      <c r="M11" s="496"/>
      <c r="O11" s="468"/>
      <c r="P11" s="468"/>
    </row>
    <row r="12" spans="2:18" s="191" customFormat="1" ht="18" customHeight="1">
      <c r="B12" s="469">
        <v>1</v>
      </c>
      <c r="C12" s="470" t="s">
        <v>203</v>
      </c>
      <c r="D12" s="490"/>
      <c r="E12" s="517">
        <v>92743</v>
      </c>
      <c r="F12" s="1497">
        <f>H12-D12-E12-G12</f>
        <v>648471</v>
      </c>
      <c r="G12" s="1325">
        <f>72111+665000-665000+40070+5039+800+665000+4727+114695-12600-665000</f>
        <v>224842</v>
      </c>
      <c r="H12" s="471">
        <f>L12</f>
        <v>966056</v>
      </c>
      <c r="I12" s="1493">
        <f>L12*0.6</f>
        <v>579633.6</v>
      </c>
      <c r="J12" s="1494">
        <f>L12-I12</f>
        <v>386422.4</v>
      </c>
      <c r="K12" s="472"/>
      <c r="L12" s="473">
        <f>hivatal1!E34</f>
        <v>966056</v>
      </c>
      <c r="M12" s="1037"/>
      <c r="N12" s="1038"/>
      <c r="O12" s="498"/>
      <c r="P12" s="498"/>
      <c r="Q12" s="499"/>
      <c r="R12" s="499"/>
    </row>
    <row r="13" spans="2:18" s="191" customFormat="1" ht="18" customHeight="1">
      <c r="B13" s="474">
        <f aca="true" t="shared" si="0" ref="B13:B32">B12+1</f>
        <v>2</v>
      </c>
      <c r="C13" s="470" t="s">
        <v>204</v>
      </c>
      <c r="D13" s="490"/>
      <c r="E13" s="517"/>
      <c r="F13" s="1497">
        <f aca="true" t="shared" si="1" ref="F13:F31">H13-D13-E13-G13</f>
        <v>121399</v>
      </c>
      <c r="G13" s="1325"/>
      <c r="H13" s="471">
        <f aca="true" t="shared" si="2" ref="H13:H64">L13</f>
        <v>121399</v>
      </c>
      <c r="I13" s="1493">
        <f>H13-J13</f>
        <v>113141</v>
      </c>
      <c r="J13" s="1494">
        <v>8258</v>
      </c>
      <c r="K13" s="475"/>
      <c r="L13" s="473">
        <f>hivatal1!H34</f>
        <v>121399</v>
      </c>
      <c r="M13" s="513"/>
      <c r="N13" s="498"/>
      <c r="O13" s="498"/>
      <c r="P13" s="498"/>
      <c r="Q13" s="499"/>
      <c r="R13" s="499"/>
    </row>
    <row r="14" spans="2:18" s="191" customFormat="1" ht="18" customHeight="1">
      <c r="B14" s="474">
        <f t="shared" si="0"/>
        <v>3</v>
      </c>
      <c r="C14" s="470" t="s">
        <v>135</v>
      </c>
      <c r="D14" s="490"/>
      <c r="E14" s="517"/>
      <c r="F14" s="1497">
        <f t="shared" si="1"/>
        <v>182533</v>
      </c>
      <c r="G14" s="1325">
        <f>25053+30059</f>
        <v>55112</v>
      </c>
      <c r="H14" s="471">
        <f t="shared" si="2"/>
        <v>237645</v>
      </c>
      <c r="I14" s="1493">
        <f>L14-J14</f>
        <v>150277</v>
      </c>
      <c r="J14" s="1494">
        <f>47990-2000+4000+37378</f>
        <v>87368</v>
      </c>
      <c r="K14" s="475"/>
      <c r="L14" s="473">
        <f>hivatal1!K34</f>
        <v>237645</v>
      </c>
      <c r="M14" s="513"/>
      <c r="N14" s="498"/>
      <c r="O14" s="498"/>
      <c r="P14" s="498"/>
      <c r="Q14" s="499"/>
      <c r="R14" s="499"/>
    </row>
    <row r="15" spans="2:18" s="191" customFormat="1" ht="18" customHeight="1">
      <c r="B15" s="474">
        <f t="shared" si="0"/>
        <v>4</v>
      </c>
      <c r="C15" s="470" t="s">
        <v>136</v>
      </c>
      <c r="D15" s="490">
        <v>1082</v>
      </c>
      <c r="E15" s="517"/>
      <c r="F15" s="1497">
        <f t="shared" si="1"/>
        <v>98010</v>
      </c>
      <c r="G15" s="1325">
        <f>34129+2500</f>
        <v>36629</v>
      </c>
      <c r="H15" s="471">
        <f t="shared" si="2"/>
        <v>135721</v>
      </c>
      <c r="I15" s="1388"/>
      <c r="J15" s="1494">
        <f>L15-I15-K15</f>
        <v>135721</v>
      </c>
      <c r="K15" s="475"/>
      <c r="L15" s="473">
        <f>hivatal1!N34</f>
        <v>135721</v>
      </c>
      <c r="M15" s="513"/>
      <c r="N15" s="498"/>
      <c r="O15" s="498"/>
      <c r="P15" s="498"/>
      <c r="Q15" s="499"/>
      <c r="R15" s="499"/>
    </row>
    <row r="16" spans="2:18" s="477" customFormat="1" ht="18" customHeight="1">
      <c r="B16" s="474">
        <f t="shared" si="0"/>
        <v>5</v>
      </c>
      <c r="C16" s="470" t="s">
        <v>205</v>
      </c>
      <c r="D16" s="490"/>
      <c r="E16" s="517"/>
      <c r="F16" s="1497">
        <f t="shared" si="1"/>
        <v>40520</v>
      </c>
      <c r="G16" s="1325">
        <f>1254+2223</f>
        <v>3477</v>
      </c>
      <c r="H16" s="471">
        <f t="shared" si="2"/>
        <v>43997</v>
      </c>
      <c r="I16" s="1388"/>
      <c r="J16" s="1494">
        <f>L16-I16-K16</f>
        <v>43997</v>
      </c>
      <c r="K16" s="476"/>
      <c r="L16" s="473">
        <f>hivatal1!Q34</f>
        <v>43997</v>
      </c>
      <c r="M16" s="513"/>
      <c r="N16" s="495"/>
      <c r="O16" s="495"/>
      <c r="P16" s="495"/>
      <c r="Q16" s="497"/>
      <c r="R16" s="497"/>
    </row>
    <row r="17" spans="2:18" s="477" customFormat="1" ht="18" customHeight="1">
      <c r="B17" s="474">
        <f t="shared" si="0"/>
        <v>6</v>
      </c>
      <c r="C17" s="470" t="s">
        <v>137</v>
      </c>
      <c r="D17" s="490"/>
      <c r="E17" s="517"/>
      <c r="F17" s="1497">
        <f t="shared" si="1"/>
        <v>119660</v>
      </c>
      <c r="G17" s="1325">
        <v>15643</v>
      </c>
      <c r="H17" s="471">
        <f t="shared" si="2"/>
        <v>135303</v>
      </c>
      <c r="I17" s="1493">
        <f>L17-J17</f>
        <v>78476</v>
      </c>
      <c r="J17" s="1494">
        <f>53660+3167</f>
        <v>56827</v>
      </c>
      <c r="K17" s="476"/>
      <c r="L17" s="473">
        <f>hivatal2!E34</f>
        <v>135303</v>
      </c>
      <c r="M17" s="513"/>
      <c r="N17" s="495"/>
      <c r="O17" s="495"/>
      <c r="P17" s="495"/>
      <c r="Q17" s="497"/>
      <c r="R17" s="497"/>
    </row>
    <row r="18" spans="2:18" s="477" customFormat="1" ht="18" customHeight="1">
      <c r="B18" s="474">
        <f t="shared" si="0"/>
        <v>7</v>
      </c>
      <c r="C18" s="470" t="s">
        <v>138</v>
      </c>
      <c r="D18" s="491"/>
      <c r="E18" s="518"/>
      <c r="F18" s="1497">
        <f t="shared" si="1"/>
        <v>46946</v>
      </c>
      <c r="G18" s="1325">
        <f>1416+20000</f>
        <v>21416</v>
      </c>
      <c r="H18" s="471">
        <f t="shared" si="2"/>
        <v>68362</v>
      </c>
      <c r="I18" s="1493">
        <f>+L18-J18</f>
        <v>33962</v>
      </c>
      <c r="J18" s="1494">
        <v>34400</v>
      </c>
      <c r="K18" s="476"/>
      <c r="L18" s="473">
        <f>hivatal2!H34</f>
        <v>68362</v>
      </c>
      <c r="M18" s="513"/>
      <c r="N18" s="495"/>
      <c r="O18" s="495"/>
      <c r="P18" s="495"/>
      <c r="Q18" s="497"/>
      <c r="R18" s="497"/>
    </row>
    <row r="19" spans="2:18" s="477" customFormat="1" ht="18" customHeight="1">
      <c r="B19" s="474">
        <f t="shared" si="0"/>
        <v>8</v>
      </c>
      <c r="C19" s="470" t="s">
        <v>140</v>
      </c>
      <c r="D19" s="490"/>
      <c r="E19" s="517"/>
      <c r="F19" s="1497">
        <f t="shared" si="1"/>
        <v>8132</v>
      </c>
      <c r="G19" s="1325"/>
      <c r="H19" s="471">
        <f t="shared" si="2"/>
        <v>8132</v>
      </c>
      <c r="I19" s="1388"/>
      <c r="J19" s="1494">
        <f>L19-I19-K19</f>
        <v>8132</v>
      </c>
      <c r="K19" s="476"/>
      <c r="L19" s="473">
        <f>hivatal2!K34</f>
        <v>8132</v>
      </c>
      <c r="M19" s="513"/>
      <c r="N19" s="495"/>
      <c r="O19" s="495"/>
      <c r="P19" s="495"/>
      <c r="Q19" s="497"/>
      <c r="R19" s="497"/>
    </row>
    <row r="20" spans="2:18" s="477" customFormat="1" ht="18" customHeight="1">
      <c r="B20" s="474">
        <f t="shared" si="0"/>
        <v>9</v>
      </c>
      <c r="C20" s="470" t="s">
        <v>141</v>
      </c>
      <c r="D20" s="490"/>
      <c r="E20" s="517"/>
      <c r="F20" s="1497">
        <f t="shared" si="1"/>
        <v>7268</v>
      </c>
      <c r="G20" s="1325">
        <f>2279+3080</f>
        <v>5359</v>
      </c>
      <c r="H20" s="471">
        <f t="shared" si="2"/>
        <v>12627</v>
      </c>
      <c r="I20" s="1388"/>
      <c r="J20" s="1494">
        <f>L20-I20-K20</f>
        <v>12627</v>
      </c>
      <c r="K20" s="476"/>
      <c r="L20" s="473">
        <f>hivatal2!N34</f>
        <v>12627</v>
      </c>
      <c r="M20" s="513"/>
      <c r="N20" s="495"/>
      <c r="O20" s="495"/>
      <c r="P20" s="495"/>
      <c r="Q20" s="497"/>
      <c r="R20" s="497"/>
    </row>
    <row r="21" spans="2:18" s="477" customFormat="1" ht="18" customHeight="1">
      <c r="B21" s="474">
        <f t="shared" si="0"/>
        <v>10</v>
      </c>
      <c r="C21" s="470" t="s">
        <v>412</v>
      </c>
      <c r="D21" s="490"/>
      <c r="E21" s="517"/>
      <c r="F21" s="1497">
        <f t="shared" si="1"/>
        <v>80521</v>
      </c>
      <c r="G21" s="1326">
        <f>600+4686</f>
        <v>5286</v>
      </c>
      <c r="H21" s="471">
        <f t="shared" si="2"/>
        <v>85807</v>
      </c>
      <c r="I21" s="1493">
        <f>59930+10+4600</f>
        <v>64540</v>
      </c>
      <c r="J21" s="1494">
        <f>L21-I21-K21</f>
        <v>21267</v>
      </c>
      <c r="K21" s="476"/>
      <c r="L21" s="478">
        <f>hivatal2!Q34</f>
        <v>85807</v>
      </c>
      <c r="M21" s="513"/>
      <c r="N21" s="495"/>
      <c r="O21" s="495"/>
      <c r="P21" s="495"/>
      <c r="Q21" s="497"/>
      <c r="R21" s="497"/>
    </row>
    <row r="22" spans="2:18" s="477" customFormat="1" ht="18" customHeight="1">
      <c r="B22" s="474">
        <f t="shared" si="0"/>
        <v>11</v>
      </c>
      <c r="C22" s="540" t="s">
        <v>417</v>
      </c>
      <c r="D22" s="954"/>
      <c r="E22" s="542">
        <f>308+2911</f>
        <v>3219</v>
      </c>
      <c r="F22" s="1498">
        <f t="shared" si="1"/>
        <v>95581</v>
      </c>
      <c r="G22" s="1327">
        <v>6533</v>
      </c>
      <c r="H22" s="483">
        <f t="shared" si="2"/>
        <v>105333</v>
      </c>
      <c r="I22" s="543">
        <f>H22-J22</f>
        <v>94033</v>
      </c>
      <c r="J22" s="1495">
        <v>11300</v>
      </c>
      <c r="K22" s="544"/>
      <c r="L22" s="473">
        <f>hivatal3!E34</f>
        <v>105333</v>
      </c>
      <c r="M22" s="513"/>
      <c r="N22" s="495"/>
      <c r="O22" s="495"/>
      <c r="P22" s="495"/>
      <c r="Q22" s="497"/>
      <c r="R22" s="497"/>
    </row>
    <row r="23" spans="2:18" s="477" customFormat="1" ht="18" customHeight="1">
      <c r="B23" s="474">
        <f t="shared" si="0"/>
        <v>12</v>
      </c>
      <c r="C23" s="540" t="str">
        <f>hivatal3!F7</f>
        <v>Szociális feladatellátás</v>
      </c>
      <c r="D23" s="541"/>
      <c r="E23" s="542"/>
      <c r="F23" s="1498">
        <f t="shared" si="1"/>
        <v>75856</v>
      </c>
      <c r="G23" s="1327">
        <v>13398</v>
      </c>
      <c r="H23" s="483">
        <f t="shared" si="2"/>
        <v>89254</v>
      </c>
      <c r="I23" s="543">
        <f>+L23-J23</f>
        <v>29866</v>
      </c>
      <c r="J23" s="1495">
        <f>46617+12771</f>
        <v>59388</v>
      </c>
      <c r="K23" s="544"/>
      <c r="L23" s="473">
        <f>hivatal3!H34</f>
        <v>89254</v>
      </c>
      <c r="M23" s="513"/>
      <c r="N23" s="495"/>
      <c r="O23" s="495"/>
      <c r="P23" s="495"/>
      <c r="Q23" s="497"/>
      <c r="R23" s="497"/>
    </row>
    <row r="24" spans="2:18" s="477" customFormat="1" ht="18" customHeight="1">
      <c r="B24" s="474">
        <f t="shared" si="0"/>
        <v>13</v>
      </c>
      <c r="C24" s="540" t="s">
        <v>78</v>
      </c>
      <c r="D24" s="541"/>
      <c r="E24" s="542"/>
      <c r="F24" s="1498">
        <f t="shared" si="1"/>
        <v>700</v>
      </c>
      <c r="G24" s="1328">
        <v>2000</v>
      </c>
      <c r="H24" s="483">
        <f t="shared" si="2"/>
        <v>2700</v>
      </c>
      <c r="I24" s="1389"/>
      <c r="J24" s="1495">
        <f>L24-I24-K24</f>
        <v>2700</v>
      </c>
      <c r="K24" s="544"/>
      <c r="L24" s="473">
        <f>hivatal3!K34</f>
        <v>2700</v>
      </c>
      <c r="M24" s="513"/>
      <c r="N24" s="495"/>
      <c r="O24" s="495"/>
      <c r="P24" s="495"/>
      <c r="Q24" s="497"/>
      <c r="R24" s="497"/>
    </row>
    <row r="25" spans="2:18" s="477" customFormat="1" ht="18" customHeight="1">
      <c r="B25" s="474">
        <f t="shared" si="0"/>
        <v>14</v>
      </c>
      <c r="C25" s="470" t="s">
        <v>193</v>
      </c>
      <c r="D25" s="490"/>
      <c r="E25" s="517"/>
      <c r="F25" s="1497">
        <f t="shared" si="1"/>
        <v>10000</v>
      </c>
      <c r="G25" s="1325"/>
      <c r="H25" s="471">
        <f t="shared" si="2"/>
        <v>10000</v>
      </c>
      <c r="I25" s="1388"/>
      <c r="J25" s="1494">
        <f>L25-I25-K25</f>
        <v>10000</v>
      </c>
      <c r="K25" s="476"/>
      <c r="L25" s="473">
        <f>hivatal3!N34</f>
        <v>10000</v>
      </c>
      <c r="M25" s="513"/>
      <c r="N25" s="495"/>
      <c r="O25" s="495"/>
      <c r="P25" s="495"/>
      <c r="Q25" s="497"/>
      <c r="R25" s="497"/>
    </row>
    <row r="26" spans="2:18" s="477" customFormat="1" ht="18" customHeight="1">
      <c r="B26" s="474">
        <f t="shared" si="0"/>
        <v>15</v>
      </c>
      <c r="C26" s="470" t="s">
        <v>565</v>
      </c>
      <c r="D26" s="490"/>
      <c r="E26" s="517"/>
      <c r="F26" s="1497">
        <f t="shared" si="1"/>
        <v>8901</v>
      </c>
      <c r="G26" s="1325"/>
      <c r="H26" s="471">
        <f t="shared" si="2"/>
        <v>8901</v>
      </c>
      <c r="I26" s="1493">
        <v>1740</v>
      </c>
      <c r="J26" s="1494">
        <f>L26-I26</f>
        <v>7161</v>
      </c>
      <c r="K26" s="476"/>
      <c r="L26" s="473">
        <f>hivatal3!Q34</f>
        <v>8901</v>
      </c>
      <c r="M26" s="513"/>
      <c r="N26" s="495"/>
      <c r="O26" s="495"/>
      <c r="P26" s="495"/>
      <c r="Q26" s="497"/>
      <c r="R26" s="497"/>
    </row>
    <row r="27" spans="2:18" s="477" customFormat="1" ht="18" customHeight="1">
      <c r="B27" s="474">
        <f t="shared" si="0"/>
        <v>16</v>
      </c>
      <c r="C27" s="470" t="s">
        <v>462</v>
      </c>
      <c r="D27" s="490"/>
      <c r="E27" s="517">
        <v>4954</v>
      </c>
      <c r="F27" s="1497">
        <f t="shared" si="1"/>
        <v>8880</v>
      </c>
      <c r="G27" s="1325">
        <f>2884+10634+1874</f>
        <v>15392</v>
      </c>
      <c r="H27" s="471">
        <f t="shared" si="2"/>
        <v>29226</v>
      </c>
      <c r="I27" s="1493">
        <v>29226</v>
      </c>
      <c r="J27" s="1494">
        <f>L27-I27</f>
        <v>0</v>
      </c>
      <c r="K27" s="476"/>
      <c r="L27" s="473">
        <f>hivatal4!E34</f>
        <v>29226</v>
      </c>
      <c r="M27" s="513"/>
      <c r="N27" s="495"/>
      <c r="O27" s="495"/>
      <c r="P27" s="495"/>
      <c r="Q27" s="497"/>
      <c r="R27" s="497"/>
    </row>
    <row r="28" spans="2:18" s="477" customFormat="1" ht="18" customHeight="1">
      <c r="B28" s="474">
        <f t="shared" si="0"/>
        <v>17</v>
      </c>
      <c r="C28" s="470" t="s">
        <v>314</v>
      </c>
      <c r="D28" s="490"/>
      <c r="E28" s="517"/>
      <c r="F28" s="1497">
        <f t="shared" si="1"/>
        <v>44808</v>
      </c>
      <c r="G28" s="1325">
        <f>11010+580</f>
        <v>11590</v>
      </c>
      <c r="H28" s="471">
        <f t="shared" si="2"/>
        <v>56398</v>
      </c>
      <c r="I28" s="1493">
        <f>L28-J28-K28</f>
        <v>53333</v>
      </c>
      <c r="J28" s="1494">
        <f>2270+795</f>
        <v>3065</v>
      </c>
      <c r="K28" s="476"/>
      <c r="L28" s="473">
        <f>hivatal4!H34</f>
        <v>56398</v>
      </c>
      <c r="M28" s="513"/>
      <c r="N28" s="495"/>
      <c r="O28" s="495"/>
      <c r="P28" s="495"/>
      <c r="Q28" s="497"/>
      <c r="R28" s="497"/>
    </row>
    <row r="29" spans="2:18" s="477" customFormat="1" ht="18" customHeight="1">
      <c r="B29" s="474">
        <f t="shared" si="0"/>
        <v>18</v>
      </c>
      <c r="C29" s="470" t="s">
        <v>79</v>
      </c>
      <c r="D29" s="490"/>
      <c r="E29" s="517"/>
      <c r="F29" s="1497">
        <f t="shared" si="1"/>
        <v>26305</v>
      </c>
      <c r="G29" s="1325">
        <v>5503</v>
      </c>
      <c r="H29" s="471">
        <f t="shared" si="2"/>
        <v>31808</v>
      </c>
      <c r="I29" s="1493">
        <v>13303</v>
      </c>
      <c r="J29" s="1494">
        <f>L29-I29-K29</f>
        <v>18505</v>
      </c>
      <c r="K29" s="476"/>
      <c r="L29" s="473">
        <f>hivatal4!K34</f>
        <v>31808</v>
      </c>
      <c r="M29" s="513"/>
      <c r="N29" s="495"/>
      <c r="O29" s="495"/>
      <c r="P29" s="495"/>
      <c r="Q29" s="497"/>
      <c r="R29" s="497"/>
    </row>
    <row r="30" spans="2:18" s="477" customFormat="1" ht="18" customHeight="1">
      <c r="B30" s="474">
        <f t="shared" si="0"/>
        <v>19</v>
      </c>
      <c r="C30" s="470" t="s">
        <v>61</v>
      </c>
      <c r="D30" s="490">
        <v>300000</v>
      </c>
      <c r="E30" s="517"/>
      <c r="F30" s="1497">
        <f t="shared" si="1"/>
        <v>537830</v>
      </c>
      <c r="G30" s="1325">
        <f>195622+30000+2294+11800+665000</f>
        <v>904716</v>
      </c>
      <c r="H30" s="471">
        <f>L30</f>
        <v>1742546</v>
      </c>
      <c r="I30" s="1493">
        <f>L30-J30-K30</f>
        <v>811211</v>
      </c>
      <c r="J30" s="1494">
        <f>891700-767587+807222</f>
        <v>931335</v>
      </c>
      <c r="K30" s="476"/>
      <c r="L30" s="473">
        <f>hivatal4!N34</f>
        <v>1742546</v>
      </c>
      <c r="M30" s="513"/>
      <c r="N30" s="495"/>
      <c r="O30" s="495"/>
      <c r="P30" s="495"/>
      <c r="Q30" s="497"/>
      <c r="R30" s="497"/>
    </row>
    <row r="31" spans="2:18" s="477" customFormat="1" ht="18" customHeight="1" thickBot="1">
      <c r="B31" s="1698">
        <f t="shared" si="0"/>
        <v>20</v>
      </c>
      <c r="C31" s="540" t="s">
        <v>500</v>
      </c>
      <c r="D31" s="541"/>
      <c r="E31" s="542"/>
      <c r="F31" s="1497">
        <f t="shared" si="1"/>
        <v>0</v>
      </c>
      <c r="G31" s="1325"/>
      <c r="H31" s="471">
        <f>L31</f>
        <v>0</v>
      </c>
      <c r="I31" s="543"/>
      <c r="J31" s="543"/>
      <c r="K31" s="544"/>
      <c r="L31" s="473">
        <f>hivatal4!Q34</f>
        <v>0</v>
      </c>
      <c r="M31" s="513"/>
      <c r="N31" s="495"/>
      <c r="O31" s="495"/>
      <c r="P31" s="495"/>
      <c r="Q31" s="497"/>
      <c r="R31" s="497"/>
    </row>
    <row r="32" spans="2:18" s="477" customFormat="1" ht="18" customHeight="1">
      <c r="B32" s="539">
        <f t="shared" si="0"/>
        <v>21</v>
      </c>
      <c r="C32" s="1659" t="s">
        <v>86</v>
      </c>
      <c r="D32" s="551"/>
      <c r="E32" s="552"/>
      <c r="F32" s="1319"/>
      <c r="G32" s="1329"/>
      <c r="H32" s="553"/>
      <c r="I32" s="553"/>
      <c r="J32" s="1243"/>
      <c r="K32" s="1241"/>
      <c r="L32" s="554"/>
      <c r="M32" s="513"/>
      <c r="N32" s="501"/>
      <c r="O32" s="495"/>
      <c r="P32" s="495"/>
      <c r="Q32" s="497"/>
      <c r="R32" s="497"/>
    </row>
    <row r="33" spans="2:18" s="191" customFormat="1" ht="18" customHeight="1">
      <c r="B33" s="1658"/>
      <c r="C33" s="1660" t="s">
        <v>481</v>
      </c>
      <c r="D33" s="492"/>
      <c r="E33" s="519">
        <f>40000+30000</f>
        <v>70000</v>
      </c>
      <c r="F33" s="1497">
        <f aca="true" t="shared" si="3" ref="F33:F64">H33-D33-E33-G33</f>
        <v>565190</v>
      </c>
      <c r="G33" s="1325">
        <f>39205+91640+85000+6970</f>
        <v>222815</v>
      </c>
      <c r="H33" s="471">
        <f>L33</f>
        <v>858005</v>
      </c>
      <c r="I33" s="1493">
        <f>H33</f>
        <v>858005</v>
      </c>
      <c r="J33" s="1494"/>
      <c r="K33" s="1242"/>
      <c r="L33" s="478">
        <f>'[4]Városüzemeltetés'!$T$36</f>
        <v>858005</v>
      </c>
      <c r="M33" s="513"/>
      <c r="N33" s="498"/>
      <c r="O33" s="498"/>
      <c r="P33" s="498"/>
      <c r="Q33" s="499"/>
      <c r="R33" s="499"/>
    </row>
    <row r="34" spans="2:18" s="191" customFormat="1" ht="18" customHeight="1">
      <c r="B34" s="1200"/>
      <c r="C34" s="1660" t="s">
        <v>212</v>
      </c>
      <c r="D34" s="492"/>
      <c r="E34" s="519"/>
      <c r="F34" s="1497">
        <f t="shared" si="3"/>
        <v>500</v>
      </c>
      <c r="G34" s="1325">
        <f>1022+17511-1309</f>
        <v>17224</v>
      </c>
      <c r="H34" s="471">
        <f t="shared" si="2"/>
        <v>17724</v>
      </c>
      <c r="I34" s="1493"/>
      <c r="J34" s="1494">
        <f>L34-I34-K34</f>
        <v>17724</v>
      </c>
      <c r="K34" s="1242"/>
      <c r="L34" s="478">
        <f>'[4]Városüzemeltetés'!$T$38</f>
        <v>17724</v>
      </c>
      <c r="M34" s="513"/>
      <c r="N34" s="498"/>
      <c r="O34" s="498"/>
      <c r="P34" s="498"/>
      <c r="Q34" s="499"/>
      <c r="R34" s="499"/>
    </row>
    <row r="35" spans="2:18" s="191" customFormat="1" ht="18" customHeight="1">
      <c r="B35" s="1200"/>
      <c r="C35" s="1660" t="s">
        <v>211</v>
      </c>
      <c r="D35" s="492"/>
      <c r="E35" s="519"/>
      <c r="F35" s="1497">
        <f t="shared" si="3"/>
        <v>30500</v>
      </c>
      <c r="G35" s="1325">
        <v>633</v>
      </c>
      <c r="H35" s="471">
        <f t="shared" si="2"/>
        <v>31133</v>
      </c>
      <c r="I35" s="1493">
        <f>H35</f>
        <v>31133</v>
      </c>
      <c r="J35" s="1494"/>
      <c r="K35" s="1242"/>
      <c r="L35" s="478">
        <f>'[4]Városüzemeltetés'!$T$42</f>
        <v>31133</v>
      </c>
      <c r="M35" s="513"/>
      <c r="N35" s="498"/>
      <c r="O35" s="498"/>
      <c r="P35" s="498"/>
      <c r="Q35" s="499"/>
      <c r="R35" s="499"/>
    </row>
    <row r="36" spans="2:18" s="191" customFormat="1" ht="18" customHeight="1">
      <c r="B36" s="1200"/>
      <c r="C36" s="1660" t="s">
        <v>458</v>
      </c>
      <c r="D36" s="492"/>
      <c r="E36" s="519"/>
      <c r="F36" s="1497">
        <f t="shared" si="3"/>
        <v>500</v>
      </c>
      <c r="G36" s="1325">
        <v>840</v>
      </c>
      <c r="H36" s="471">
        <f t="shared" si="2"/>
        <v>1340</v>
      </c>
      <c r="I36" s="1493">
        <f>H36</f>
        <v>1340</v>
      </c>
      <c r="J36" s="1494"/>
      <c r="K36" s="1242"/>
      <c r="L36" s="478">
        <f>'[4]Városüzemeltetés'!$T$45</f>
        <v>1340</v>
      </c>
      <c r="M36" s="513"/>
      <c r="N36" s="498"/>
      <c r="O36" s="498"/>
      <c r="P36" s="498"/>
      <c r="Q36" s="499"/>
      <c r="R36" s="499"/>
    </row>
    <row r="37" spans="2:18" s="191" customFormat="1" ht="18" customHeight="1">
      <c r="B37" s="1200"/>
      <c r="C37" s="1660" t="s">
        <v>213</v>
      </c>
      <c r="D37" s="492"/>
      <c r="E37" s="519"/>
      <c r="F37" s="1497">
        <f t="shared" si="3"/>
        <v>22225</v>
      </c>
      <c r="G37" s="1325">
        <f>18524+11000</f>
        <v>29524</v>
      </c>
      <c r="H37" s="471">
        <f t="shared" si="2"/>
        <v>51749</v>
      </c>
      <c r="I37" s="1493"/>
      <c r="J37" s="1494">
        <f>L37</f>
        <v>51749</v>
      </c>
      <c r="K37" s="1242"/>
      <c r="L37" s="478">
        <f>'[4]Városüzemeltetés'!$T$48</f>
        <v>51749</v>
      </c>
      <c r="M37" s="513"/>
      <c r="N37" s="502"/>
      <c r="O37" s="498"/>
      <c r="P37" s="498"/>
      <c r="Q37" s="499"/>
      <c r="R37" s="499"/>
    </row>
    <row r="38" spans="2:18" s="191" customFormat="1" ht="18" customHeight="1">
      <c r="B38" s="1200"/>
      <c r="C38" s="1660" t="s">
        <v>459</v>
      </c>
      <c r="D38" s="492"/>
      <c r="E38" s="519">
        <f>352225+100500</f>
        <v>452725</v>
      </c>
      <c r="F38" s="1497">
        <f t="shared" si="3"/>
        <v>193545</v>
      </c>
      <c r="G38" s="1325">
        <f>162067+1286886+469+60715</f>
        <v>1510137</v>
      </c>
      <c r="H38" s="471">
        <f t="shared" si="2"/>
        <v>2156407</v>
      </c>
      <c r="I38" s="1493"/>
      <c r="J38" s="1494">
        <f aca="true" t="shared" si="4" ref="J38:J46">L38-I38-K38</f>
        <v>2156407</v>
      </c>
      <c r="K38" s="1242"/>
      <c r="L38" s="478">
        <f>'[4]Városüzemeltetés'!$T$103</f>
        <v>2156407</v>
      </c>
      <c r="M38" s="513"/>
      <c r="N38" s="498"/>
      <c r="O38" s="498"/>
      <c r="P38" s="498"/>
      <c r="Q38" s="499"/>
      <c r="R38" s="499"/>
    </row>
    <row r="39" spans="2:18" s="191" customFormat="1" ht="18" customHeight="1">
      <c r="B39" s="1200"/>
      <c r="C39" s="1660" t="s">
        <v>460</v>
      </c>
      <c r="D39" s="492"/>
      <c r="E39" s="519"/>
      <c r="F39" s="1497">
        <f t="shared" si="3"/>
        <v>2700</v>
      </c>
      <c r="G39" s="1325">
        <v>895</v>
      </c>
      <c r="H39" s="471">
        <f>L39</f>
        <v>3595</v>
      </c>
      <c r="I39" s="1493">
        <f>L39</f>
        <v>3595</v>
      </c>
      <c r="J39" s="1494">
        <f t="shared" si="4"/>
        <v>0</v>
      </c>
      <c r="K39" s="1242"/>
      <c r="L39" s="478">
        <f>'[4]Városüzemeltetés'!$V$110</f>
        <v>3595</v>
      </c>
      <c r="M39" s="513"/>
      <c r="N39" s="498"/>
      <c r="O39" s="498"/>
      <c r="P39" s="498"/>
      <c r="Q39" s="499"/>
      <c r="R39" s="499"/>
    </row>
    <row r="40" spans="2:18" s="191" customFormat="1" ht="18" customHeight="1">
      <c r="B40" s="1200"/>
      <c r="C40" s="1660" t="s">
        <v>461</v>
      </c>
      <c r="D40" s="492"/>
      <c r="E40" s="519"/>
      <c r="F40" s="1497">
        <f t="shared" si="3"/>
        <v>37021</v>
      </c>
      <c r="G40" s="1325">
        <v>1242</v>
      </c>
      <c r="H40" s="471">
        <f>L40</f>
        <v>38263</v>
      </c>
      <c r="I40" s="1493">
        <f>L40</f>
        <v>38263</v>
      </c>
      <c r="J40" s="1494">
        <f t="shared" si="4"/>
        <v>0</v>
      </c>
      <c r="K40" s="1242"/>
      <c r="L40" s="478">
        <f>'[4]Városüzemeltetés'!$V$106</f>
        <v>38263</v>
      </c>
      <c r="M40" s="513"/>
      <c r="N40" s="498"/>
      <c r="O40" s="498"/>
      <c r="P40" s="498"/>
      <c r="Q40" s="499"/>
      <c r="R40" s="499"/>
    </row>
    <row r="41" spans="2:18" s="191" customFormat="1" ht="18" customHeight="1">
      <c r="B41" s="1200"/>
      <c r="C41" s="1660" t="s">
        <v>465</v>
      </c>
      <c r="D41" s="492"/>
      <c r="E41" s="519"/>
      <c r="F41" s="1497">
        <f t="shared" si="3"/>
        <v>1500</v>
      </c>
      <c r="G41" s="1325">
        <v>10921</v>
      </c>
      <c r="H41" s="471">
        <f>L41</f>
        <v>12421</v>
      </c>
      <c r="I41" s="1493">
        <f>L41</f>
        <v>12421</v>
      </c>
      <c r="J41" s="1494">
        <f t="shared" si="4"/>
        <v>0</v>
      </c>
      <c r="K41" s="1242"/>
      <c r="L41" s="478">
        <f>'[4]Városüzemeltetés'!$V$113</f>
        <v>12421</v>
      </c>
      <c r="M41" s="513"/>
      <c r="N41" s="498"/>
      <c r="O41" s="498"/>
      <c r="P41" s="498"/>
      <c r="Q41" s="499"/>
      <c r="R41" s="499"/>
    </row>
    <row r="42" spans="2:18" s="191" customFormat="1" ht="18" customHeight="1">
      <c r="B42" s="1200"/>
      <c r="C42" s="1660" t="s">
        <v>466</v>
      </c>
      <c r="D42" s="492"/>
      <c r="E42" s="519"/>
      <c r="F42" s="1497">
        <f t="shared" si="3"/>
        <v>5000</v>
      </c>
      <c r="G42" s="1325">
        <f>10148+1758</f>
        <v>11906</v>
      </c>
      <c r="H42" s="471">
        <f t="shared" si="2"/>
        <v>16906</v>
      </c>
      <c r="I42" s="1493">
        <f>L42</f>
        <v>16906</v>
      </c>
      <c r="J42" s="1494">
        <f t="shared" si="4"/>
        <v>0</v>
      </c>
      <c r="K42" s="1242"/>
      <c r="L42" s="478">
        <f>'[4]Városüzemeltetés'!$V$117</f>
        <v>16906</v>
      </c>
      <c r="M42" s="513"/>
      <c r="N42" s="498"/>
      <c r="O42" s="498"/>
      <c r="P42" s="498"/>
      <c r="Q42" s="499"/>
      <c r="R42" s="499"/>
    </row>
    <row r="43" spans="2:18" s="191" customFormat="1" ht="18" customHeight="1">
      <c r="B43" s="1200"/>
      <c r="C43" s="1660" t="s">
        <v>208</v>
      </c>
      <c r="D43" s="492"/>
      <c r="E43" s="519"/>
      <c r="F43" s="1497">
        <f t="shared" si="3"/>
        <v>319198</v>
      </c>
      <c r="G43" s="1325">
        <f>9049-5000+102196+10000</f>
        <v>116245</v>
      </c>
      <c r="H43" s="471">
        <f t="shared" si="2"/>
        <v>435443</v>
      </c>
      <c r="I43" s="1493">
        <f>H43</f>
        <v>435443</v>
      </c>
      <c r="J43" s="1494">
        <f t="shared" si="4"/>
        <v>0</v>
      </c>
      <c r="K43" s="1242"/>
      <c r="L43" s="478">
        <f>'[4]Városüzemeltetés'!$T$140</f>
        <v>435443</v>
      </c>
      <c r="M43" s="513"/>
      <c r="N43" s="498"/>
      <c r="O43" s="498"/>
      <c r="P43" s="498"/>
      <c r="Q43" s="499"/>
      <c r="R43" s="499"/>
    </row>
    <row r="44" spans="2:18" s="191" customFormat="1" ht="18" customHeight="1">
      <c r="B44" s="1200"/>
      <c r="C44" s="1660" t="s">
        <v>214</v>
      </c>
      <c r="D44" s="492"/>
      <c r="E44" s="519"/>
      <c r="F44" s="1497">
        <f t="shared" si="3"/>
        <v>1500</v>
      </c>
      <c r="G44" s="1325">
        <f>3200-1000-200</f>
        <v>2000</v>
      </c>
      <c r="H44" s="471">
        <f t="shared" si="2"/>
        <v>3500</v>
      </c>
      <c r="I44" s="1493">
        <f>L44</f>
        <v>3500</v>
      </c>
      <c r="J44" s="1494">
        <f t="shared" si="4"/>
        <v>0</v>
      </c>
      <c r="K44" s="1242"/>
      <c r="L44" s="478">
        <f>'[4]Városüzemeltetés'!$T$141</f>
        <v>3500</v>
      </c>
      <c r="M44" s="513"/>
      <c r="N44" s="498"/>
      <c r="O44" s="498"/>
      <c r="P44" s="498"/>
      <c r="Q44" s="499"/>
      <c r="R44" s="499"/>
    </row>
    <row r="45" spans="2:18" s="191" customFormat="1" ht="18" customHeight="1">
      <c r="B45" s="1200"/>
      <c r="C45" s="1660" t="s">
        <v>215</v>
      </c>
      <c r="D45" s="492"/>
      <c r="E45" s="519">
        <v>10000</v>
      </c>
      <c r="F45" s="1497">
        <f t="shared" si="3"/>
        <v>5329</v>
      </c>
      <c r="G45" s="1325">
        <f>54552-1500-2500-2224-2000-2000+94776-5772-2276+32741-7908</f>
        <v>155889</v>
      </c>
      <c r="H45" s="471">
        <f t="shared" si="2"/>
        <v>171218</v>
      </c>
      <c r="I45" s="1493">
        <f>L45</f>
        <v>171218</v>
      </c>
      <c r="J45" s="1494">
        <f t="shared" si="4"/>
        <v>0</v>
      </c>
      <c r="K45" s="1242"/>
      <c r="L45" s="478">
        <f>'[4]Városüzemeltetés'!$T$142</f>
        <v>171218</v>
      </c>
      <c r="M45" s="513"/>
      <c r="N45" s="498"/>
      <c r="O45" s="498"/>
      <c r="P45" s="498"/>
      <c r="Q45" s="499"/>
      <c r="R45" s="499"/>
    </row>
    <row r="46" spans="2:18" s="191" customFormat="1" ht="18" customHeight="1">
      <c r="B46" s="1200"/>
      <c r="C46" s="1660" t="s">
        <v>216</v>
      </c>
      <c r="D46" s="492"/>
      <c r="E46" s="519"/>
      <c r="F46" s="1497">
        <f t="shared" si="3"/>
        <v>1774</v>
      </c>
      <c r="G46" s="1325">
        <f>5772+2276+3120+7908</f>
        <v>19076</v>
      </c>
      <c r="H46" s="471">
        <f t="shared" si="2"/>
        <v>20850</v>
      </c>
      <c r="I46" s="1493">
        <f>L46</f>
        <v>20850</v>
      </c>
      <c r="J46" s="1494">
        <f t="shared" si="4"/>
        <v>0</v>
      </c>
      <c r="K46" s="1242"/>
      <c r="L46" s="478">
        <f>'[4]Városüzemeltetés'!$T$143</f>
        <v>20850</v>
      </c>
      <c r="M46" s="513"/>
      <c r="N46" s="498"/>
      <c r="O46" s="498"/>
      <c r="P46" s="498"/>
      <c r="Q46" s="499"/>
      <c r="R46" s="499"/>
    </row>
    <row r="47" spans="2:18" s="191" customFormat="1" ht="18" customHeight="1">
      <c r="B47" s="1200"/>
      <c r="C47" s="1660" t="s">
        <v>209</v>
      </c>
      <c r="D47" s="492"/>
      <c r="E47" s="519"/>
      <c r="F47" s="1497">
        <f t="shared" si="3"/>
        <v>149754</v>
      </c>
      <c r="G47" s="1325">
        <f>5000+55746</f>
        <v>60746</v>
      </c>
      <c r="H47" s="471">
        <f t="shared" si="2"/>
        <v>210500</v>
      </c>
      <c r="I47" s="1493">
        <f>L47</f>
        <v>210500</v>
      </c>
      <c r="J47" s="1494"/>
      <c r="K47" s="1242"/>
      <c r="L47" s="478">
        <f>'[4]Városüzemeltetés'!$T$161</f>
        <v>210500</v>
      </c>
      <c r="M47" s="513"/>
      <c r="N47" s="498"/>
      <c r="O47" s="498"/>
      <c r="P47" s="498"/>
      <c r="Q47" s="499"/>
      <c r="R47" s="499"/>
    </row>
    <row r="48" spans="2:18" s="191" customFormat="1" ht="18" customHeight="1">
      <c r="B48" s="1200"/>
      <c r="C48" s="1661" t="s">
        <v>210</v>
      </c>
      <c r="D48" s="951"/>
      <c r="E48" s="952"/>
      <c r="F48" s="1497">
        <f t="shared" si="3"/>
        <v>30000</v>
      </c>
      <c r="G48" s="1325">
        <v>54180</v>
      </c>
      <c r="H48" s="471">
        <f t="shared" si="2"/>
        <v>84180</v>
      </c>
      <c r="I48" s="1493"/>
      <c r="J48" s="1494">
        <f>L48-I48-K48</f>
        <v>84180</v>
      </c>
      <c r="K48" s="1242"/>
      <c r="L48" s="478">
        <f>'[4]Városüzemeltetés'!$T$162</f>
        <v>84180</v>
      </c>
      <c r="M48" s="513"/>
      <c r="N48" s="502"/>
      <c r="O48" s="498"/>
      <c r="P48" s="502"/>
      <c r="Q48" s="499"/>
      <c r="R48" s="499"/>
    </row>
    <row r="49" spans="2:18" s="191" customFormat="1" ht="18" customHeight="1">
      <c r="B49" s="1200"/>
      <c r="C49" s="1661" t="s">
        <v>570</v>
      </c>
      <c r="D49" s="951"/>
      <c r="E49" s="1201"/>
      <c r="F49" s="1497">
        <f t="shared" si="3"/>
        <v>0</v>
      </c>
      <c r="G49" s="1325">
        <v>12011</v>
      </c>
      <c r="H49" s="471">
        <f t="shared" si="2"/>
        <v>12011</v>
      </c>
      <c r="I49" s="1496"/>
      <c r="J49" s="1494">
        <f>L49</f>
        <v>12011</v>
      </c>
      <c r="K49" s="1242"/>
      <c r="L49" s="478">
        <f>'[4]Városüzemeltetés'!$T$164</f>
        <v>12011</v>
      </c>
      <c r="M49" s="513"/>
      <c r="N49" s="502"/>
      <c r="O49" s="498"/>
      <c r="P49" s="502"/>
      <c r="Q49" s="499"/>
      <c r="R49" s="499"/>
    </row>
    <row r="50" spans="2:18" s="191" customFormat="1" ht="18" customHeight="1">
      <c r="B50" s="1200"/>
      <c r="C50" s="1660" t="s">
        <v>477</v>
      </c>
      <c r="D50" s="492"/>
      <c r="E50" s="519"/>
      <c r="F50" s="1498">
        <f t="shared" si="3"/>
        <v>12250</v>
      </c>
      <c r="G50" s="1328"/>
      <c r="H50" s="483">
        <f t="shared" si="2"/>
        <v>12250</v>
      </c>
      <c r="I50" s="543"/>
      <c r="J50" s="1495">
        <f>L50-I50-K50</f>
        <v>12250</v>
      </c>
      <c r="K50" s="1751"/>
      <c r="L50" s="473">
        <f>'[4]Városüzemeltetés'!$T$167</f>
        <v>12250</v>
      </c>
      <c r="M50" s="513"/>
      <c r="N50" s="502"/>
      <c r="O50" s="498"/>
      <c r="P50" s="502"/>
      <c r="Q50" s="499"/>
      <c r="R50" s="499"/>
    </row>
    <row r="51" spans="2:18" s="191" customFormat="1" ht="18" customHeight="1" thickBot="1">
      <c r="B51" s="1752"/>
      <c r="C51" s="1753" t="s">
        <v>847</v>
      </c>
      <c r="D51" s="1754"/>
      <c r="E51" s="1755"/>
      <c r="F51" s="1756">
        <f t="shared" si="3"/>
        <v>102655</v>
      </c>
      <c r="G51" s="1239">
        <v>107025</v>
      </c>
      <c r="H51" s="1757">
        <f t="shared" si="2"/>
        <v>209680</v>
      </c>
      <c r="I51" s="1758">
        <f>L51</f>
        <v>209680</v>
      </c>
      <c r="J51" s="1759"/>
      <c r="K51" s="1760"/>
      <c r="L51" s="1761">
        <f>'[4]Városüzemeltetés'!$T$168</f>
        <v>209680</v>
      </c>
      <c r="M51" s="513"/>
      <c r="N51" s="502"/>
      <c r="O51" s="498"/>
      <c r="P51" s="502"/>
      <c r="Q51" s="499"/>
      <c r="R51" s="499"/>
    </row>
    <row r="52" spans="2:18" s="477" customFormat="1" ht="18" customHeight="1">
      <c r="B52" s="539">
        <f>B32+1</f>
        <v>22</v>
      </c>
      <c r="C52" s="540" t="s">
        <v>63</v>
      </c>
      <c r="D52" s="541"/>
      <c r="E52" s="542">
        <f>15000-14196</f>
        <v>804</v>
      </c>
      <c r="F52" s="1498">
        <f t="shared" si="3"/>
        <v>7470</v>
      </c>
      <c r="G52" s="1328"/>
      <c r="H52" s="483">
        <f t="shared" si="2"/>
        <v>8274</v>
      </c>
      <c r="I52" s="543"/>
      <c r="J52" s="1495">
        <f>L52-I52-K52</f>
        <v>8274</v>
      </c>
      <c r="K52" s="544"/>
      <c r="L52" s="473">
        <f>'hivatal5 '!H34</f>
        <v>8274</v>
      </c>
      <c r="M52" s="513"/>
      <c r="N52" s="495"/>
      <c r="O52" s="495"/>
      <c r="P52" s="495"/>
      <c r="Q52" s="497"/>
      <c r="R52" s="497"/>
    </row>
    <row r="53" spans="2:18" s="477" customFormat="1" ht="18" customHeight="1">
      <c r="B53" s="539">
        <f>B52+1</f>
        <v>23</v>
      </c>
      <c r="C53" s="1202" t="s">
        <v>514</v>
      </c>
      <c r="D53" s="541"/>
      <c r="E53" s="542"/>
      <c r="F53" s="1498">
        <f t="shared" si="3"/>
        <v>12450</v>
      </c>
      <c r="G53" s="1328">
        <v>2883</v>
      </c>
      <c r="H53" s="483">
        <f aca="true" t="shared" si="5" ref="H53:H60">L53</f>
        <v>15333</v>
      </c>
      <c r="I53" s="543">
        <f>L53</f>
        <v>15333</v>
      </c>
      <c r="J53" s="1495"/>
      <c r="K53" s="544"/>
      <c r="L53" s="473">
        <f>'hivatal5 '!Q34</f>
        <v>15333</v>
      </c>
      <c r="M53" s="513"/>
      <c r="N53" s="495"/>
      <c r="O53" s="495"/>
      <c r="P53" s="495"/>
      <c r="Q53" s="497"/>
      <c r="R53" s="497"/>
    </row>
    <row r="54" spans="2:18" s="477" customFormat="1" ht="18" customHeight="1">
      <c r="B54" s="539">
        <f aca="true" t="shared" si="6" ref="B54:B64">B53+1</f>
        <v>24</v>
      </c>
      <c r="C54" s="1202" t="s">
        <v>432</v>
      </c>
      <c r="D54" s="541"/>
      <c r="E54" s="542"/>
      <c r="F54" s="1498">
        <f t="shared" si="3"/>
        <v>6283</v>
      </c>
      <c r="G54" s="1328">
        <f>52560+27080+46300</f>
        <v>125940</v>
      </c>
      <c r="H54" s="483">
        <f t="shared" si="5"/>
        <v>132223</v>
      </c>
      <c r="I54" s="543"/>
      <c r="J54" s="1495">
        <f aca="true" t="shared" si="7" ref="J54:J59">L54</f>
        <v>132223</v>
      </c>
      <c r="K54" s="544"/>
      <c r="L54" s="473">
        <f>'hivatal5 '!K34</f>
        <v>132223</v>
      </c>
      <c r="M54" s="513"/>
      <c r="N54" s="495"/>
      <c r="O54" s="495"/>
      <c r="P54" s="495"/>
      <c r="Q54" s="497"/>
      <c r="R54" s="497"/>
    </row>
    <row r="55" spans="2:18" s="477" customFormat="1" ht="18" customHeight="1">
      <c r="B55" s="539">
        <f t="shared" si="6"/>
        <v>25</v>
      </c>
      <c r="C55" s="1202" t="s">
        <v>502</v>
      </c>
      <c r="D55" s="541"/>
      <c r="E55" s="542">
        <f>30761+537</f>
        <v>31298</v>
      </c>
      <c r="F55" s="1498">
        <f t="shared" si="3"/>
        <v>278985</v>
      </c>
      <c r="G55" s="1328">
        <f>15357+51159+45000</f>
        <v>111516</v>
      </c>
      <c r="H55" s="483">
        <f t="shared" si="5"/>
        <v>421799</v>
      </c>
      <c r="I55" s="543"/>
      <c r="J55" s="1495">
        <f t="shared" si="7"/>
        <v>421799</v>
      </c>
      <c r="K55" s="544"/>
      <c r="L55" s="473">
        <f>hivatal6!E34</f>
        <v>421799</v>
      </c>
      <c r="M55" s="513"/>
      <c r="N55" s="495"/>
      <c r="O55" s="495"/>
      <c r="P55" s="495"/>
      <c r="Q55" s="497"/>
      <c r="R55" s="497"/>
    </row>
    <row r="56" spans="2:18" s="477" customFormat="1" ht="18" customHeight="1">
      <c r="B56" s="539">
        <f t="shared" si="6"/>
        <v>26</v>
      </c>
      <c r="C56" s="1655" t="s">
        <v>665</v>
      </c>
      <c r="D56" s="541"/>
      <c r="E56" s="542">
        <v>1000</v>
      </c>
      <c r="F56" s="1498">
        <f t="shared" si="3"/>
        <v>0</v>
      </c>
      <c r="G56" s="1328">
        <v>1473</v>
      </c>
      <c r="H56" s="483">
        <f t="shared" si="5"/>
        <v>2473</v>
      </c>
      <c r="I56" s="543"/>
      <c r="J56" s="1495">
        <f t="shared" si="7"/>
        <v>2473</v>
      </c>
      <c r="K56" s="544"/>
      <c r="L56" s="473">
        <f>hivatal6!H34</f>
        <v>2473</v>
      </c>
      <c r="M56" s="513"/>
      <c r="N56" s="495"/>
      <c r="O56" s="495"/>
      <c r="P56" s="495"/>
      <c r="Q56" s="497"/>
      <c r="R56" s="497"/>
    </row>
    <row r="57" spans="2:18" s="477" customFormat="1" ht="18" customHeight="1">
      <c r="B57" s="539">
        <f t="shared" si="6"/>
        <v>27</v>
      </c>
      <c r="C57" s="1655" t="s">
        <v>666</v>
      </c>
      <c r="D57" s="541"/>
      <c r="E57" s="542"/>
      <c r="F57" s="1498">
        <f t="shared" si="3"/>
        <v>0</v>
      </c>
      <c r="G57" s="1328">
        <v>2413</v>
      </c>
      <c r="H57" s="483">
        <f t="shared" si="5"/>
        <v>2413</v>
      </c>
      <c r="I57" s="543"/>
      <c r="J57" s="1495">
        <f t="shared" si="7"/>
        <v>2413</v>
      </c>
      <c r="K57" s="544"/>
      <c r="L57" s="473">
        <f>hivatal6!K34</f>
        <v>2413</v>
      </c>
      <c r="M57" s="513"/>
      <c r="N57" s="495"/>
      <c r="O57" s="495"/>
      <c r="P57" s="495"/>
      <c r="Q57" s="497"/>
      <c r="R57" s="497"/>
    </row>
    <row r="58" spans="2:18" s="477" customFormat="1" ht="18" customHeight="1">
      <c r="B58" s="539">
        <f t="shared" si="6"/>
        <v>28</v>
      </c>
      <c r="C58" s="1655" t="s">
        <v>667</v>
      </c>
      <c r="D58" s="541"/>
      <c r="E58" s="542"/>
      <c r="F58" s="1498">
        <f t="shared" si="3"/>
        <v>0</v>
      </c>
      <c r="G58" s="1328">
        <v>114</v>
      </c>
      <c r="H58" s="483">
        <f t="shared" si="5"/>
        <v>114</v>
      </c>
      <c r="I58" s="543"/>
      <c r="J58" s="1495">
        <f t="shared" si="7"/>
        <v>114</v>
      </c>
      <c r="K58" s="544"/>
      <c r="L58" s="473">
        <f>hivatal6!N34</f>
        <v>114</v>
      </c>
      <c r="M58" s="513"/>
      <c r="N58" s="495"/>
      <c r="O58" s="495"/>
      <c r="P58" s="495"/>
      <c r="Q58" s="497"/>
      <c r="R58" s="497"/>
    </row>
    <row r="59" spans="2:18" s="477" customFormat="1" ht="18" customHeight="1">
      <c r="B59" s="539">
        <f t="shared" si="6"/>
        <v>29</v>
      </c>
      <c r="C59" s="1655" t="s">
        <v>668</v>
      </c>
      <c r="D59" s="541"/>
      <c r="E59" s="542"/>
      <c r="F59" s="1498">
        <f t="shared" si="3"/>
        <v>4400</v>
      </c>
      <c r="G59" s="1328">
        <v>304347</v>
      </c>
      <c r="H59" s="483">
        <f t="shared" si="5"/>
        <v>308747</v>
      </c>
      <c r="I59" s="543"/>
      <c r="J59" s="1495">
        <f t="shared" si="7"/>
        <v>308747</v>
      </c>
      <c r="K59" s="544"/>
      <c r="L59" s="473">
        <f>hivatal6!Q34</f>
        <v>308747</v>
      </c>
      <c r="M59" s="513"/>
      <c r="N59" s="495"/>
      <c r="O59" s="495"/>
      <c r="P59" s="495"/>
      <c r="Q59" s="497"/>
      <c r="R59" s="497"/>
    </row>
    <row r="60" spans="2:18" s="477" customFormat="1" ht="18" customHeight="1">
      <c r="B60" s="539">
        <f t="shared" si="6"/>
        <v>30</v>
      </c>
      <c r="C60" s="1655" t="s">
        <v>753</v>
      </c>
      <c r="D60" s="541"/>
      <c r="E60" s="542">
        <f>7174+25+165</f>
        <v>7364</v>
      </c>
      <c r="F60" s="1498">
        <f t="shared" si="3"/>
        <v>53812</v>
      </c>
      <c r="G60" s="1328">
        <v>50000</v>
      </c>
      <c r="H60" s="483">
        <f t="shared" si="5"/>
        <v>111176</v>
      </c>
      <c r="I60" s="543">
        <f>L60</f>
        <v>111176</v>
      </c>
      <c r="J60" s="1495"/>
      <c r="K60" s="544"/>
      <c r="L60" s="473">
        <f>hivatal7!E34</f>
        <v>111176</v>
      </c>
      <c r="M60" s="513"/>
      <c r="N60" s="495"/>
      <c r="O60" s="495"/>
      <c r="P60" s="495"/>
      <c r="Q60" s="497"/>
      <c r="R60" s="497"/>
    </row>
    <row r="61" spans="2:18" s="477" customFormat="1" ht="18" customHeight="1">
      <c r="B61" s="539">
        <f t="shared" si="6"/>
        <v>31</v>
      </c>
      <c r="C61" s="1240" t="s">
        <v>570</v>
      </c>
      <c r="D61" s="490"/>
      <c r="E61" s="517">
        <f>350000+6019</f>
        <v>356019</v>
      </c>
      <c r="F61" s="1497">
        <f t="shared" si="3"/>
        <v>239497</v>
      </c>
      <c r="G61" s="1325">
        <f>551+20000+28245</f>
        <v>48796</v>
      </c>
      <c r="H61" s="471">
        <f t="shared" si="2"/>
        <v>644312</v>
      </c>
      <c r="I61" s="1493">
        <v>25480</v>
      </c>
      <c r="J61" s="1494">
        <f>L61-I61-K61</f>
        <v>618832</v>
      </c>
      <c r="K61" s="475"/>
      <c r="L61" s="478">
        <f>hivatal8!E34</f>
        <v>644312</v>
      </c>
      <c r="M61" s="513"/>
      <c r="N61" s="495"/>
      <c r="O61" s="495"/>
      <c r="P61" s="495"/>
      <c r="Q61" s="497"/>
      <c r="R61" s="497"/>
    </row>
    <row r="62" spans="2:18" s="477" customFormat="1" ht="27.75" customHeight="1">
      <c r="B62" s="539">
        <f t="shared" si="6"/>
        <v>32</v>
      </c>
      <c r="C62" s="1364" t="s">
        <v>569</v>
      </c>
      <c r="D62" s="490">
        <v>209030</v>
      </c>
      <c r="E62" s="517"/>
      <c r="F62" s="1497">
        <f t="shared" si="3"/>
        <v>105000</v>
      </c>
      <c r="G62" s="1325">
        <v>5000</v>
      </c>
      <c r="H62" s="471">
        <f t="shared" si="2"/>
        <v>319030</v>
      </c>
      <c r="I62" s="1493">
        <f>D62</f>
        <v>209030</v>
      </c>
      <c r="J62" s="1494">
        <f>L62-I62-K62</f>
        <v>110000</v>
      </c>
      <c r="K62" s="475"/>
      <c r="L62" s="478">
        <f>hivatal8!H34</f>
        <v>319030</v>
      </c>
      <c r="M62" s="513"/>
      <c r="N62" s="495"/>
      <c r="O62" s="495"/>
      <c r="P62" s="495"/>
      <c r="Q62" s="497"/>
      <c r="R62" s="497"/>
    </row>
    <row r="63" spans="2:18" s="477" customFormat="1" ht="18" customHeight="1">
      <c r="B63" s="539">
        <f t="shared" si="6"/>
        <v>33</v>
      </c>
      <c r="C63" s="470" t="s">
        <v>65</v>
      </c>
      <c r="D63" s="490"/>
      <c r="E63" s="517"/>
      <c r="F63" s="1497">
        <f t="shared" si="3"/>
        <v>143309</v>
      </c>
      <c r="G63" s="1325">
        <f>675+4425</f>
        <v>5100</v>
      </c>
      <c r="H63" s="471">
        <f t="shared" si="2"/>
        <v>148409</v>
      </c>
      <c r="I63" s="1493"/>
      <c r="J63" s="1494">
        <f>L63-I63-K63</f>
        <v>148409</v>
      </c>
      <c r="K63" s="475"/>
      <c r="L63" s="478">
        <f>hivatal8!K34</f>
        <v>148409</v>
      </c>
      <c r="M63" s="513"/>
      <c r="N63" s="495"/>
      <c r="O63" s="495"/>
      <c r="P63" s="495"/>
      <c r="Q63" s="497"/>
      <c r="R63" s="497"/>
    </row>
    <row r="64" spans="2:18" s="477" customFormat="1" ht="18" customHeight="1" thickBot="1">
      <c r="B64" s="539">
        <f t="shared" si="6"/>
        <v>34</v>
      </c>
      <c r="C64" s="470" t="s">
        <v>55</v>
      </c>
      <c r="D64" s="490">
        <f>19302+1825</f>
        <v>21127</v>
      </c>
      <c r="E64" s="517">
        <f>1500+126</f>
        <v>1626</v>
      </c>
      <c r="F64" s="1497">
        <f t="shared" si="3"/>
        <v>13627</v>
      </c>
      <c r="G64" s="1325">
        <f>tartalék!F13+tartalék!F14+tartalék!F19+tartalék!F20+tartalék!F30+tartalék!F32+tartalék!F9-19302</f>
        <v>186927</v>
      </c>
      <c r="H64" s="471">
        <f t="shared" si="2"/>
        <v>223307</v>
      </c>
      <c r="I64" s="1493">
        <f>tartalék!F9+tartalék!F11+tartalék!F14+tartalék!F15</f>
        <v>130201</v>
      </c>
      <c r="J64" s="1494">
        <f>L64-I64-K64</f>
        <v>93106</v>
      </c>
      <c r="K64" s="476"/>
      <c r="L64" s="478">
        <f>tartalék!F39</f>
        <v>223307</v>
      </c>
      <c r="M64" s="513"/>
      <c r="N64" s="495"/>
      <c r="O64" s="495"/>
      <c r="P64" s="495"/>
      <c r="Q64" s="497"/>
      <c r="R64" s="497"/>
    </row>
    <row r="65" spans="2:18" s="482" customFormat="1" ht="18" customHeight="1" thickBot="1">
      <c r="B65" s="479" t="s">
        <v>95</v>
      </c>
      <c r="C65" s="480" t="s">
        <v>207</v>
      </c>
      <c r="D65" s="1231">
        <f aca="true" t="shared" si="8" ref="D65:L65">SUM(D12:D64)</f>
        <v>531239</v>
      </c>
      <c r="E65" s="1232">
        <f t="shared" si="8"/>
        <v>1031752</v>
      </c>
      <c r="F65" s="1320">
        <f t="shared" si="8"/>
        <v>4508295</v>
      </c>
      <c r="G65" s="1332">
        <f t="shared" si="8"/>
        <v>4504714</v>
      </c>
      <c r="H65" s="481">
        <f t="shared" si="8"/>
        <v>10576000</v>
      </c>
      <c r="I65" s="481">
        <f t="shared" si="8"/>
        <v>4556815.6</v>
      </c>
      <c r="J65" s="481">
        <f t="shared" si="8"/>
        <v>6019184.4</v>
      </c>
      <c r="K65" s="481">
        <f t="shared" si="8"/>
        <v>0</v>
      </c>
      <c r="L65" s="481">
        <f t="shared" si="8"/>
        <v>10576000</v>
      </c>
      <c r="M65" s="513"/>
      <c r="N65" s="503"/>
      <c r="O65" s="503"/>
      <c r="P65" s="503"/>
      <c r="Q65" s="504"/>
      <c r="R65" s="504"/>
    </row>
    <row r="66" spans="2:18" s="485" customFormat="1" ht="18" customHeight="1">
      <c r="B66" s="1656">
        <f>B64+1</f>
        <v>35</v>
      </c>
      <c r="C66" s="1227" t="s">
        <v>576</v>
      </c>
      <c r="D66" s="1236">
        <f>'bevétfő '!I10+'bevétfő '!I11+'bevétfő '!I12-D62+1190+360+324</f>
        <v>1972663</v>
      </c>
      <c r="E66" s="1237">
        <f>217200-42131-3549+13513-23932+302-1814-1774+15016</f>
        <v>172831</v>
      </c>
      <c r="F66" s="1321">
        <f>H66-D66-E66-G66</f>
        <v>1876548</v>
      </c>
      <c r="G66" s="1328">
        <f>40983+277+1008+112550+2000+665+1210+600000</f>
        <v>758693</v>
      </c>
      <c r="H66" s="1229">
        <f>L66</f>
        <v>4780735</v>
      </c>
      <c r="I66" s="1501">
        <f>+L66-J66</f>
        <v>4635397</v>
      </c>
      <c r="J66" s="1494">
        <f>+(631*200)+19138</f>
        <v>145338</v>
      </c>
      <c r="K66" s="1519"/>
      <c r="L66" s="484">
        <f>'önállóan gazd.'!K34</f>
        <v>4780735</v>
      </c>
      <c r="M66" s="514"/>
      <c r="N66" s="505"/>
      <c r="O66" s="505"/>
      <c r="P66" s="503"/>
      <c r="Q66" s="504"/>
      <c r="R66" s="504"/>
    </row>
    <row r="67" spans="2:18" s="485" customFormat="1" ht="18" customHeight="1" thickBot="1">
      <c r="B67" s="1657">
        <v>34</v>
      </c>
      <c r="C67" s="1228" t="s">
        <v>338</v>
      </c>
      <c r="D67" s="1690">
        <f>261+51+49</f>
        <v>361</v>
      </c>
      <c r="E67" s="1238">
        <f>1332+40360</f>
        <v>41692</v>
      </c>
      <c r="F67" s="1322">
        <f>H67-D67-E67-G67</f>
        <v>954453</v>
      </c>
      <c r="G67" s="1239">
        <f>20626+10000+10000+2000+31800-401+2700+20401+370516</f>
        <v>467642</v>
      </c>
      <c r="H67" s="1230">
        <f>L67</f>
        <v>1464148</v>
      </c>
      <c r="I67" s="1500">
        <f>L67-K67-J67</f>
        <v>1435524</v>
      </c>
      <c r="J67" s="1494">
        <v>20114</v>
      </c>
      <c r="K67" s="1499">
        <v>8510</v>
      </c>
      <c r="L67" s="484">
        <f>'önállóan gazd.'!N60</f>
        <v>1464148</v>
      </c>
      <c r="M67" s="514"/>
      <c r="N67" s="494"/>
      <c r="O67" s="505"/>
      <c r="P67" s="504"/>
      <c r="Q67" s="505"/>
      <c r="R67" s="504"/>
    </row>
    <row r="68" spans="2:18" s="489" customFormat="1" ht="18" customHeight="1" thickBot="1">
      <c r="B68" s="486" t="s">
        <v>102</v>
      </c>
      <c r="C68" s="487" t="s">
        <v>206</v>
      </c>
      <c r="D68" s="1233">
        <f aca="true" t="shared" si="9" ref="D68:L68">SUM(D66:D67)</f>
        <v>1973024</v>
      </c>
      <c r="E68" s="1234">
        <f t="shared" si="9"/>
        <v>214523</v>
      </c>
      <c r="F68" s="1235">
        <f t="shared" si="9"/>
        <v>2831001</v>
      </c>
      <c r="G68" s="1330">
        <f>SUM(G66:G67)</f>
        <v>1226335</v>
      </c>
      <c r="H68" s="488">
        <f t="shared" si="9"/>
        <v>6244883</v>
      </c>
      <c r="I68" s="488">
        <f t="shared" si="9"/>
        <v>6070921</v>
      </c>
      <c r="J68" s="488">
        <f t="shared" si="9"/>
        <v>165452</v>
      </c>
      <c r="K68" s="488">
        <f t="shared" si="9"/>
        <v>8510</v>
      </c>
      <c r="L68" s="481">
        <f t="shared" si="9"/>
        <v>6244883</v>
      </c>
      <c r="M68" s="513"/>
      <c r="N68" s="495"/>
      <c r="P68" s="495"/>
      <c r="Q68" s="495"/>
      <c r="R68" s="495"/>
    </row>
    <row r="69" spans="2:18" s="459" customFormat="1" ht="21.75" customHeight="1" thickBot="1">
      <c r="B69" s="456" t="s">
        <v>105</v>
      </c>
      <c r="C69" s="457" t="s">
        <v>217</v>
      </c>
      <c r="D69" s="520">
        <f aca="true" t="shared" si="10" ref="D69:L69">D65+D68</f>
        <v>2504263</v>
      </c>
      <c r="E69" s="1167">
        <f t="shared" si="10"/>
        <v>1246275</v>
      </c>
      <c r="F69" s="1323">
        <f t="shared" si="10"/>
        <v>7339296</v>
      </c>
      <c r="G69" s="1331">
        <f>G65+G68</f>
        <v>5731049</v>
      </c>
      <c r="H69" s="458">
        <f t="shared" si="10"/>
        <v>16820883</v>
      </c>
      <c r="I69" s="458">
        <f t="shared" si="10"/>
        <v>10627736.6</v>
      </c>
      <c r="J69" s="458">
        <f t="shared" si="10"/>
        <v>6184636.4</v>
      </c>
      <c r="K69" s="458">
        <f t="shared" si="10"/>
        <v>8510</v>
      </c>
      <c r="L69" s="953">
        <f t="shared" si="10"/>
        <v>16820883</v>
      </c>
      <c r="M69" s="513"/>
      <c r="N69" s="506"/>
      <c r="O69" s="495"/>
      <c r="P69" s="506"/>
      <c r="Q69" s="495"/>
      <c r="R69" s="495"/>
    </row>
    <row r="70" spans="2:18" s="1522" customFormat="1" ht="12.75">
      <c r="B70" s="276"/>
      <c r="C70" s="1520"/>
      <c r="D70" s="555"/>
      <c r="E70" s="555"/>
      <c r="F70" s="1521"/>
      <c r="G70" s="1521"/>
      <c r="H70" s="1521">
        <f>SUM(D69:G69)</f>
        <v>16820883</v>
      </c>
      <c r="I70" s="452"/>
      <c r="J70" s="452"/>
      <c r="K70" s="452"/>
      <c r="L70" s="278">
        <f>SUM(I69:K69)</f>
        <v>16820883</v>
      </c>
      <c r="M70" s="515"/>
      <c r="N70" s="507"/>
      <c r="O70" s="507"/>
      <c r="P70" s="507"/>
      <c r="Q70" s="507"/>
      <c r="R70" s="507"/>
    </row>
    <row r="71" spans="2:18" s="1522" customFormat="1" ht="12.75">
      <c r="B71" s="276"/>
      <c r="C71" s="1520"/>
      <c r="D71" s="1521">
        <f>'bevétfő '!I8+'bevétfő '!I62</f>
        <v>2504263</v>
      </c>
      <c r="E71" s="1521">
        <f>'bevétfő '!I16+'bevétfő '!I59+'bevétfő '!I63+'bevétfő '!I76</f>
        <v>1246275</v>
      </c>
      <c r="F71" s="555"/>
      <c r="G71" s="1521">
        <f>'bevétfő '!I89</f>
        <v>5731049</v>
      </c>
      <c r="H71" s="555"/>
      <c r="I71" s="452"/>
      <c r="J71" s="453"/>
      <c r="K71" s="453"/>
      <c r="L71" s="279">
        <f>'kiadfő '!H81</f>
        <v>16820883</v>
      </c>
      <c r="M71" s="515"/>
      <c r="N71" s="508"/>
      <c r="O71" s="507"/>
      <c r="P71" s="507"/>
      <c r="Q71" s="507"/>
      <c r="R71" s="507"/>
    </row>
    <row r="72" spans="4:12" ht="12.75">
      <c r="D72" s="451"/>
      <c r="E72" s="451"/>
      <c r="F72" s="451"/>
      <c r="G72" s="451"/>
      <c r="H72" s="455">
        <f>'bevétfő '!I92</f>
        <v>16820883</v>
      </c>
      <c r="I72" s="452"/>
      <c r="J72" s="453"/>
      <c r="K72" s="453"/>
      <c r="L72" s="279">
        <f>L71-L70</f>
        <v>0</v>
      </c>
    </row>
    <row r="73" spans="4:11" ht="12.75">
      <c r="D73" s="451"/>
      <c r="E73" s="451"/>
      <c r="F73" s="451"/>
      <c r="G73" s="455">
        <f>G71-G69</f>
        <v>0</v>
      </c>
      <c r="H73" s="455">
        <f>H72-H70</f>
        <v>0</v>
      </c>
      <c r="I73" s="452"/>
      <c r="J73" s="453"/>
      <c r="K73" s="453"/>
    </row>
    <row r="74" spans="4:11" ht="12.75">
      <c r="D74" s="451"/>
      <c r="E74" s="451"/>
      <c r="F74" s="451"/>
      <c r="G74" s="451"/>
      <c r="H74" s="451"/>
      <c r="I74" s="452"/>
      <c r="J74" s="453"/>
      <c r="K74" s="453"/>
    </row>
    <row r="75" spans="4:11" ht="12.75">
      <c r="D75" s="452"/>
      <c r="E75" s="451"/>
      <c r="F75" s="451"/>
      <c r="G75" s="451"/>
      <c r="H75" s="555"/>
      <c r="I75" s="452"/>
      <c r="J75" s="453"/>
      <c r="K75" s="453"/>
    </row>
    <row r="76" spans="4:11" ht="12.75">
      <c r="D76" s="451"/>
      <c r="E76" s="451"/>
      <c r="F76" s="451"/>
      <c r="G76" s="451"/>
      <c r="H76" s="451"/>
      <c r="I76" s="454"/>
      <c r="J76" s="453"/>
      <c r="K76" s="453"/>
    </row>
    <row r="77" spans="4:11" ht="12.75">
      <c r="D77" s="451"/>
      <c r="E77" s="451"/>
      <c r="F77" s="451"/>
      <c r="G77" s="451"/>
      <c r="H77" s="451"/>
      <c r="I77" s="454"/>
      <c r="J77" s="453"/>
      <c r="K77" s="453"/>
    </row>
    <row r="78" spans="4:11" ht="12.75">
      <c r="D78" s="451"/>
      <c r="E78" s="451"/>
      <c r="F78" s="451"/>
      <c r="G78" s="451"/>
      <c r="H78" s="451"/>
      <c r="I78" s="454" t="s">
        <v>87</v>
      </c>
      <c r="J78" s="453"/>
      <c r="K78" s="453"/>
    </row>
    <row r="79" spans="4:11" ht="12.75">
      <c r="D79" s="451"/>
      <c r="E79" s="451"/>
      <c r="F79" s="451"/>
      <c r="G79" s="451"/>
      <c r="H79" s="451"/>
      <c r="I79" s="454"/>
      <c r="J79" s="453"/>
      <c r="K79" s="453"/>
    </row>
    <row r="80" spans="4:11" ht="12.75">
      <c r="D80" s="451"/>
      <c r="E80" s="451"/>
      <c r="F80" s="451"/>
      <c r="G80" s="451"/>
      <c r="H80" s="451"/>
      <c r="I80" s="454"/>
      <c r="J80" s="453"/>
      <c r="K80" s="453"/>
    </row>
    <row r="81" spans="4:11" ht="12.75">
      <c r="D81" s="451"/>
      <c r="E81" s="451"/>
      <c r="F81" s="451"/>
      <c r="G81" s="451"/>
      <c r="H81" s="451"/>
      <c r="I81" s="454"/>
      <c r="J81" s="453"/>
      <c r="K81" s="453"/>
    </row>
    <row r="82" spans="4:11" ht="12.75">
      <c r="D82" s="451"/>
      <c r="E82" s="451"/>
      <c r="F82" s="451"/>
      <c r="G82" s="451"/>
      <c r="H82" s="451"/>
      <c r="I82" s="454"/>
      <c r="J82" s="453"/>
      <c r="K82" s="453"/>
    </row>
    <row r="83" spans="4:11" ht="12.75">
      <c r="D83" s="451"/>
      <c r="E83" s="451"/>
      <c r="F83" s="451"/>
      <c r="G83" s="451"/>
      <c r="H83" s="451"/>
      <c r="I83" s="454"/>
      <c r="J83" s="453"/>
      <c r="K83" s="453"/>
    </row>
    <row r="84" spans="4:11" ht="12.75">
      <c r="D84" s="451"/>
      <c r="E84" s="451"/>
      <c r="F84" s="451"/>
      <c r="G84" s="451"/>
      <c r="H84" s="451"/>
      <c r="I84" s="454"/>
      <c r="J84" s="453"/>
      <c r="K84" s="453"/>
    </row>
    <row r="85" spans="4:11" ht="12.75">
      <c r="D85" s="451"/>
      <c r="E85" s="451"/>
      <c r="F85" s="451"/>
      <c r="G85" s="451"/>
      <c r="H85" s="451"/>
      <c r="I85" s="454"/>
      <c r="J85" s="453"/>
      <c r="K85" s="453"/>
    </row>
    <row r="86" spans="4:11" ht="12.75">
      <c r="D86" s="451"/>
      <c r="E86" s="451"/>
      <c r="F86" s="451"/>
      <c r="G86" s="451"/>
      <c r="H86" s="451"/>
      <c r="I86" s="454"/>
      <c r="J86" s="453"/>
      <c r="K86" s="453"/>
    </row>
    <row r="87" spans="4:11" ht="12.75">
      <c r="D87" s="451"/>
      <c r="E87" s="451"/>
      <c r="F87" s="451"/>
      <c r="G87" s="451"/>
      <c r="H87" s="451"/>
      <c r="I87" s="454"/>
      <c r="J87" s="453"/>
      <c r="K87" s="453"/>
    </row>
    <row r="88" spans="4:11" ht="12.75">
      <c r="D88" s="451"/>
      <c r="E88" s="451"/>
      <c r="F88" s="451"/>
      <c r="G88" s="451"/>
      <c r="H88" s="451"/>
      <c r="I88" s="454"/>
      <c r="J88" s="453"/>
      <c r="K88" s="453"/>
    </row>
    <row r="89" spans="4:11" ht="12.75">
      <c r="D89" s="451"/>
      <c r="E89" s="451"/>
      <c r="F89" s="451"/>
      <c r="G89" s="451"/>
      <c r="H89" s="451"/>
      <c r="I89" s="454"/>
      <c r="J89" s="453"/>
      <c r="K89" s="453"/>
    </row>
    <row r="90" spans="4:11" ht="12.75">
      <c r="D90" s="451"/>
      <c r="E90" s="451"/>
      <c r="F90" s="451"/>
      <c r="G90" s="451"/>
      <c r="H90" s="451"/>
      <c r="I90" s="454"/>
      <c r="J90" s="453"/>
      <c r="K90" s="453"/>
    </row>
    <row r="91" spans="4:11" ht="12.75">
      <c r="D91" s="451"/>
      <c r="E91" s="451"/>
      <c r="F91" s="451"/>
      <c r="G91" s="451"/>
      <c r="H91" s="451"/>
      <c r="I91" s="454"/>
      <c r="J91" s="453"/>
      <c r="K91" s="453"/>
    </row>
    <row r="92" spans="4:11" ht="12.75">
      <c r="D92" s="451"/>
      <c r="E92" s="451"/>
      <c r="F92" s="451"/>
      <c r="G92" s="451"/>
      <c r="H92" s="451"/>
      <c r="I92" s="454"/>
      <c r="J92" s="453"/>
      <c r="K92" s="453"/>
    </row>
    <row r="93" spans="4:11" ht="12.75">
      <c r="D93" s="451"/>
      <c r="E93" s="451"/>
      <c r="F93" s="451"/>
      <c r="G93" s="451"/>
      <c r="H93" s="451"/>
      <c r="I93" s="454"/>
      <c r="J93" s="453"/>
      <c r="K93" s="453"/>
    </row>
    <row r="94" spans="4:11" ht="12.75">
      <c r="D94" s="451"/>
      <c r="E94" s="451"/>
      <c r="F94" s="451"/>
      <c r="G94" s="451"/>
      <c r="H94" s="451"/>
      <c r="I94" s="454"/>
      <c r="J94" s="453"/>
      <c r="K94" s="453"/>
    </row>
    <row r="95" spans="4:11" ht="12.75">
      <c r="D95" s="451"/>
      <c r="E95" s="451"/>
      <c r="F95" s="451"/>
      <c r="G95" s="451"/>
      <c r="H95" s="451"/>
      <c r="I95" s="454"/>
      <c r="J95" s="453"/>
      <c r="K95" s="453"/>
    </row>
    <row r="96" spans="4:11" ht="12.75">
      <c r="D96" s="451"/>
      <c r="E96" s="451"/>
      <c r="F96" s="451"/>
      <c r="G96" s="451"/>
      <c r="H96" s="451"/>
      <c r="I96" s="454"/>
      <c r="J96" s="453"/>
      <c r="K96" s="453"/>
    </row>
    <row r="97" spans="4:11" ht="12.75">
      <c r="D97" s="451"/>
      <c r="E97" s="451"/>
      <c r="F97" s="451"/>
      <c r="G97" s="451"/>
      <c r="H97" s="451"/>
      <c r="I97" s="454"/>
      <c r="J97" s="453"/>
      <c r="K97" s="453"/>
    </row>
    <row r="98" spans="4:11" ht="12.75">
      <c r="D98" s="451"/>
      <c r="E98" s="451"/>
      <c r="F98" s="451"/>
      <c r="G98" s="451"/>
      <c r="H98" s="451"/>
      <c r="I98" s="454"/>
      <c r="J98" s="453"/>
      <c r="K98" s="453"/>
    </row>
    <row r="99" spans="4:11" ht="12.75">
      <c r="D99" s="451"/>
      <c r="E99" s="451"/>
      <c r="F99" s="451"/>
      <c r="G99" s="451"/>
      <c r="H99" s="451"/>
      <c r="I99" s="454"/>
      <c r="J99" s="453"/>
      <c r="K99" s="453"/>
    </row>
    <row r="100" spans="4:11" ht="12.75">
      <c r="D100" s="451"/>
      <c r="E100" s="451"/>
      <c r="F100" s="451"/>
      <c r="G100" s="451"/>
      <c r="H100" s="451"/>
      <c r="I100" s="454"/>
      <c r="J100" s="453"/>
      <c r="K100" s="453"/>
    </row>
    <row r="101" spans="4:11" ht="12.75">
      <c r="D101" s="451"/>
      <c r="E101" s="451"/>
      <c r="F101" s="451"/>
      <c r="G101" s="451"/>
      <c r="H101" s="451"/>
      <c r="I101" s="454"/>
      <c r="J101" s="453"/>
      <c r="K101" s="453"/>
    </row>
    <row r="102" spans="4:11" ht="12.75">
      <c r="D102" s="451"/>
      <c r="E102" s="451"/>
      <c r="F102" s="451"/>
      <c r="G102" s="451"/>
      <c r="H102" s="451"/>
      <c r="I102" s="454"/>
      <c r="J102" s="453"/>
      <c r="K102" s="453"/>
    </row>
    <row r="103" spans="4:11" ht="12.75">
      <c r="D103" s="451"/>
      <c r="E103" s="451"/>
      <c r="F103" s="451"/>
      <c r="G103" s="451"/>
      <c r="H103" s="451"/>
      <c r="I103" s="454"/>
      <c r="J103" s="453"/>
      <c r="K103" s="453"/>
    </row>
  </sheetData>
  <sheetProtection/>
  <mergeCells count="16"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  <mergeCell ref="B6:L6"/>
    <mergeCell ref="I9:I10"/>
    <mergeCell ref="J9:J10"/>
    <mergeCell ref="K9:K10"/>
    <mergeCell ref="L9:L10"/>
    <mergeCell ref="G9:G10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39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3" width="15.875" style="94" customWidth="1"/>
    <col min="4" max="4" width="15.50390625" style="94" customWidth="1"/>
    <col min="5" max="9" width="15.875" style="94" customWidth="1"/>
    <col min="10" max="10" width="14.375" style="94" customWidth="1"/>
    <col min="11" max="12" width="15.875" style="94" customWidth="1"/>
    <col min="13" max="13" width="14.375" style="94" customWidth="1"/>
    <col min="14" max="15" width="15.875" style="94" customWidth="1"/>
    <col min="16" max="16" width="13.875" style="94" customWidth="1"/>
    <col min="17" max="17" width="15.875" style="94" customWidth="1"/>
  </cols>
  <sheetData>
    <row r="1" spans="1:17" ht="10.5" customHeight="1">
      <c r="A1" s="293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866" t="s">
        <v>879</v>
      </c>
    </row>
    <row r="2" spans="1:17" ht="12.75" customHeight="1">
      <c r="A2" s="293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866" t="s">
        <v>93</v>
      </c>
    </row>
    <row r="3" spans="1:17" ht="10.5" customHeight="1">
      <c r="A3" s="293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867" t="s">
        <v>123</v>
      </c>
    </row>
    <row r="4" spans="1:17" ht="20.25">
      <c r="A4" s="868" t="s">
        <v>578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7" ht="18">
      <c r="A5" s="869" t="s">
        <v>584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6" spans="1:17" ht="18.75" thickBot="1">
      <c r="A6" s="869"/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70" t="s">
        <v>134</v>
      </c>
    </row>
    <row r="7" spans="1:17" ht="18">
      <c r="A7" s="229" t="s">
        <v>124</v>
      </c>
      <c r="B7" s="93" t="s">
        <v>125</v>
      </c>
      <c r="C7" s="1902" t="s">
        <v>329</v>
      </c>
      <c r="D7" s="1903"/>
      <c r="E7" s="1904"/>
      <c r="F7" s="1902" t="s">
        <v>162</v>
      </c>
      <c r="G7" s="1903"/>
      <c r="H7" s="1904"/>
      <c r="I7" s="1902" t="s">
        <v>561</v>
      </c>
      <c r="J7" s="1903"/>
      <c r="K7" s="1904"/>
      <c r="L7" s="1902" t="s">
        <v>562</v>
      </c>
      <c r="M7" s="1903"/>
      <c r="N7" s="1904"/>
      <c r="O7" s="1902" t="s">
        <v>563</v>
      </c>
      <c r="P7" s="1903"/>
      <c r="Q7" s="1904"/>
    </row>
    <row r="8" spans="1:17" s="26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89" customFormat="1" ht="12" thickBot="1">
      <c r="A9" s="410">
        <v>1</v>
      </c>
      <c r="B9" s="86">
        <v>2</v>
      </c>
      <c r="C9" s="871">
        <v>3</v>
      </c>
      <c r="D9" s="872">
        <v>4</v>
      </c>
      <c r="E9" s="873">
        <v>5</v>
      </c>
      <c r="F9" s="871">
        <v>6</v>
      </c>
      <c r="G9" s="872">
        <v>7</v>
      </c>
      <c r="H9" s="873">
        <v>8</v>
      </c>
      <c r="I9" s="871">
        <v>9</v>
      </c>
      <c r="J9" s="872">
        <v>10</v>
      </c>
      <c r="K9" s="873">
        <v>11</v>
      </c>
      <c r="L9" s="871">
        <v>12</v>
      </c>
      <c r="M9" s="872">
        <v>13</v>
      </c>
      <c r="N9" s="873">
        <v>14</v>
      </c>
      <c r="O9" s="871">
        <v>15</v>
      </c>
      <c r="P9" s="872">
        <v>16</v>
      </c>
      <c r="Q9" s="873">
        <v>17</v>
      </c>
    </row>
    <row r="10" spans="1:17" s="26" customFormat="1" ht="18.75" thickBot="1">
      <c r="A10" s="370"/>
      <c r="B10" s="415" t="s">
        <v>129</v>
      </c>
      <c r="C10" s="374"/>
      <c r="D10" s="924"/>
      <c r="E10" s="417"/>
      <c r="F10" s="371"/>
      <c r="G10" s="372"/>
      <c r="H10" s="417"/>
      <c r="I10" s="371"/>
      <c r="J10" s="372"/>
      <c r="K10" s="417"/>
      <c r="L10" s="371"/>
      <c r="M10" s="372"/>
      <c r="N10" s="417"/>
      <c r="O10" s="371"/>
      <c r="P10" s="372"/>
      <c r="Q10" s="417"/>
    </row>
    <row r="11" spans="1:17" s="180" customFormat="1" ht="17.25" customHeight="1" thickBot="1">
      <c r="A11" s="303">
        <v>1</v>
      </c>
      <c r="B11" s="295" t="s">
        <v>113</v>
      </c>
      <c r="C11" s="309">
        <v>1044451</v>
      </c>
      <c r="D11" s="306">
        <v>4395</v>
      </c>
      <c r="E11" s="305">
        <f>SUM(C11:D11)</f>
        <v>1048846</v>
      </c>
      <c r="F11" s="309">
        <v>432167</v>
      </c>
      <c r="G11" s="306">
        <v>15944</v>
      </c>
      <c r="H11" s="305">
        <f>F11+G11</f>
        <v>448111</v>
      </c>
      <c r="I11" s="304">
        <v>255083</v>
      </c>
      <c r="J11" s="304">
        <v>-27118</v>
      </c>
      <c r="K11" s="305">
        <f>I11+J11</f>
        <v>227965</v>
      </c>
      <c r="L11" s="304">
        <v>280367</v>
      </c>
      <c r="M11" s="304">
        <v>5921</v>
      </c>
      <c r="N11" s="305">
        <f>L11+M11</f>
        <v>286288</v>
      </c>
      <c r="O11" s="306">
        <v>165774</v>
      </c>
      <c r="P11" s="304">
        <v>-416</v>
      </c>
      <c r="Q11" s="305">
        <f aca="true" t="shared" si="0" ref="Q11:Q16">SUM(O11:P11)</f>
        <v>165358</v>
      </c>
    </row>
    <row r="12" spans="1:17" s="181" customFormat="1" ht="17.25" customHeight="1" thickBot="1">
      <c r="A12" s="307">
        <v>2</v>
      </c>
      <c r="B12" s="315" t="s">
        <v>202</v>
      </c>
      <c r="C12" s="309">
        <v>215558</v>
      </c>
      <c r="D12" s="306">
        <v>1065</v>
      </c>
      <c r="E12" s="305">
        <f>SUM(C12:D12)</f>
        <v>216623</v>
      </c>
      <c r="F12" s="309">
        <v>87758</v>
      </c>
      <c r="G12" s="306">
        <v>2578</v>
      </c>
      <c r="H12" s="305">
        <f>SUM(F12:G12)</f>
        <v>90336</v>
      </c>
      <c r="I12" s="304">
        <v>54860</v>
      </c>
      <c r="J12" s="304">
        <v>-2790</v>
      </c>
      <c r="K12" s="305">
        <f>SUM(I12:J12)</f>
        <v>52070</v>
      </c>
      <c r="L12" s="304">
        <v>54641</v>
      </c>
      <c r="M12" s="304">
        <v>1795</v>
      </c>
      <c r="N12" s="305">
        <f>SUM(L12:M12)</f>
        <v>56436</v>
      </c>
      <c r="O12" s="304">
        <v>32459</v>
      </c>
      <c r="P12" s="304">
        <v>367</v>
      </c>
      <c r="Q12" s="305">
        <f t="shared" si="0"/>
        <v>32826</v>
      </c>
    </row>
    <row r="13" spans="1:17" s="208" customFormat="1" ht="17.25" customHeight="1" thickBot="1">
      <c r="A13" s="307">
        <v>3</v>
      </c>
      <c r="B13" s="295" t="s">
        <v>116</v>
      </c>
      <c r="C13" s="309">
        <v>441724</v>
      </c>
      <c r="D13" s="306">
        <v>-18258</v>
      </c>
      <c r="E13" s="305">
        <f>SUM(C13:D13)</f>
        <v>423466</v>
      </c>
      <c r="F13" s="309">
        <v>79142</v>
      </c>
      <c r="G13" s="306">
        <v>4559</v>
      </c>
      <c r="H13" s="305">
        <f>F13+G13</f>
        <v>83701</v>
      </c>
      <c r="I13" s="304">
        <v>39033</v>
      </c>
      <c r="J13" s="304">
        <v>7627</v>
      </c>
      <c r="K13" s="305">
        <f>I13+J13</f>
        <v>46660</v>
      </c>
      <c r="L13" s="304">
        <v>110264</v>
      </c>
      <c r="M13" s="304">
        <v>6545</v>
      </c>
      <c r="N13" s="305">
        <f>L13+M13</f>
        <v>116809</v>
      </c>
      <c r="O13" s="306">
        <v>18408</v>
      </c>
      <c r="P13" s="304">
        <v>2780</v>
      </c>
      <c r="Q13" s="305">
        <f t="shared" si="0"/>
        <v>21188</v>
      </c>
    </row>
    <row r="14" spans="1:17" s="208" customFormat="1" ht="17.25" customHeight="1" thickBot="1">
      <c r="A14" s="307">
        <v>4</v>
      </c>
      <c r="B14" s="295" t="s">
        <v>172</v>
      </c>
      <c r="C14" s="309"/>
      <c r="D14" s="306"/>
      <c r="E14" s="310">
        <f>SUM(C14:D14)</f>
        <v>0</v>
      </c>
      <c r="F14" s="306"/>
      <c r="G14" s="306"/>
      <c r="H14" s="310">
        <f>SUM(F14:G14)</f>
        <v>0</v>
      </c>
      <c r="I14" s="309"/>
      <c r="J14" s="306"/>
      <c r="K14" s="310">
        <f>SUM(I14:J14)</f>
        <v>0</v>
      </c>
      <c r="L14" s="309"/>
      <c r="M14" s="306"/>
      <c r="N14" s="310">
        <f>SUM(L14:M14)</f>
        <v>0</v>
      </c>
      <c r="O14" s="309"/>
      <c r="P14" s="306"/>
      <c r="Q14" s="310">
        <f t="shared" si="0"/>
        <v>0</v>
      </c>
    </row>
    <row r="15" spans="1:17" s="180" customFormat="1" ht="17.25" customHeight="1">
      <c r="A15" s="163" t="s">
        <v>98</v>
      </c>
      <c r="B15" s="152" t="s">
        <v>370</v>
      </c>
      <c r="C15" s="226">
        <v>962</v>
      </c>
      <c r="D15" s="224"/>
      <c r="E15" s="239">
        <f>C15+D15</f>
        <v>962</v>
      </c>
      <c r="F15" s="226">
        <v>949</v>
      </c>
      <c r="G15" s="224"/>
      <c r="H15" s="239">
        <f>F15+G15</f>
        <v>949</v>
      </c>
      <c r="I15" s="226"/>
      <c r="J15" s="224"/>
      <c r="K15" s="239">
        <f>I15+J15</f>
        <v>0</v>
      </c>
      <c r="L15" s="226">
        <v>856</v>
      </c>
      <c r="M15" s="224"/>
      <c r="N15" s="239">
        <f>L15+M15</f>
        <v>856</v>
      </c>
      <c r="O15" s="226">
        <v>101</v>
      </c>
      <c r="P15" s="224"/>
      <c r="Q15" s="239">
        <f t="shared" si="0"/>
        <v>101</v>
      </c>
    </row>
    <row r="16" spans="1:17" s="180" customFormat="1" ht="17.25" customHeight="1">
      <c r="A16" s="160" t="s">
        <v>99</v>
      </c>
      <c r="B16" s="156" t="s">
        <v>554</v>
      </c>
      <c r="C16" s="150"/>
      <c r="D16" s="146"/>
      <c r="E16" s="239">
        <f>C16+D16</f>
        <v>0</v>
      </c>
      <c r="F16" s="150"/>
      <c r="G16" s="146"/>
      <c r="H16" s="239">
        <f>F16+G16</f>
        <v>0</v>
      </c>
      <c r="I16" s="150"/>
      <c r="J16" s="146"/>
      <c r="K16" s="239">
        <f>I16+J16</f>
        <v>0</v>
      </c>
      <c r="L16" s="150"/>
      <c r="M16" s="146"/>
      <c r="N16" s="239">
        <f>L16+M16</f>
        <v>0</v>
      </c>
      <c r="O16" s="150"/>
      <c r="P16" s="146"/>
      <c r="Q16" s="239">
        <f t="shared" si="0"/>
        <v>0</v>
      </c>
    </row>
    <row r="17" spans="1:17" s="180" customFormat="1" ht="17.25" customHeight="1">
      <c r="A17" s="160" t="s">
        <v>100</v>
      </c>
      <c r="B17" s="156" t="s">
        <v>555</v>
      </c>
      <c r="C17" s="880"/>
      <c r="D17" s="146"/>
      <c r="E17" s="350">
        <f aca="true" t="shared" si="1" ref="E17:E22">C17+D17</f>
        <v>0</v>
      </c>
      <c r="F17" s="150"/>
      <c r="G17" s="146"/>
      <c r="H17" s="239">
        <f aca="true" t="shared" si="2" ref="H17:H22">F17+G17</f>
        <v>0</v>
      </c>
      <c r="I17" s="150"/>
      <c r="J17" s="146"/>
      <c r="K17" s="239">
        <f aca="true" t="shared" si="3" ref="K17:K22">I17+J17</f>
        <v>0</v>
      </c>
      <c r="L17" s="150"/>
      <c r="M17" s="146"/>
      <c r="N17" s="239">
        <f aca="true" t="shared" si="4" ref="N17:N22">L17+M17</f>
        <v>0</v>
      </c>
      <c r="O17" s="150"/>
      <c r="P17" s="146"/>
      <c r="Q17" s="239">
        <f aca="true" t="shared" si="5" ref="Q17:Q22">SUM(O17:P17)</f>
        <v>0</v>
      </c>
    </row>
    <row r="18" spans="1:17" s="180" customFormat="1" ht="17.25" customHeight="1">
      <c r="A18" s="160" t="s">
        <v>101</v>
      </c>
      <c r="B18" s="154" t="s">
        <v>371</v>
      </c>
      <c r="C18" s="880"/>
      <c r="D18" s="146"/>
      <c r="E18" s="350">
        <f t="shared" si="1"/>
        <v>0</v>
      </c>
      <c r="F18" s="150"/>
      <c r="G18" s="146"/>
      <c r="H18" s="239">
        <f t="shared" si="2"/>
        <v>0</v>
      </c>
      <c r="I18" s="150"/>
      <c r="J18" s="146"/>
      <c r="K18" s="239">
        <f t="shared" si="3"/>
        <v>0</v>
      </c>
      <c r="L18" s="150"/>
      <c r="M18" s="146"/>
      <c r="N18" s="239">
        <f t="shared" si="4"/>
        <v>0</v>
      </c>
      <c r="O18" s="150"/>
      <c r="P18" s="146"/>
      <c r="Q18" s="239">
        <f t="shared" si="5"/>
        <v>0</v>
      </c>
    </row>
    <row r="19" spans="1:17" s="180" customFormat="1" ht="17.25" customHeight="1">
      <c r="A19" s="155" t="s">
        <v>192</v>
      </c>
      <c r="B19" s="156" t="s">
        <v>556</v>
      </c>
      <c r="C19" s="859"/>
      <c r="D19" s="146"/>
      <c r="E19" s="350">
        <f>C19+D19</f>
        <v>0</v>
      </c>
      <c r="F19" s="148"/>
      <c r="G19" s="146"/>
      <c r="H19" s="239">
        <f>F19+G19</f>
        <v>0</v>
      </c>
      <c r="I19" s="148"/>
      <c r="J19" s="146"/>
      <c r="K19" s="239">
        <f>I19+J19</f>
        <v>0</v>
      </c>
      <c r="L19" s="148"/>
      <c r="M19" s="146"/>
      <c r="N19" s="239">
        <f>L19+M19</f>
        <v>0</v>
      </c>
      <c r="O19" s="148"/>
      <c r="P19" s="146"/>
      <c r="Q19" s="239">
        <f>SUM(O19:P19)</f>
        <v>0</v>
      </c>
    </row>
    <row r="20" spans="1:17" s="180" customFormat="1" ht="17.25" customHeight="1">
      <c r="A20" s="155" t="s">
        <v>327</v>
      </c>
      <c r="B20" s="156" t="s">
        <v>557</v>
      </c>
      <c r="C20" s="859"/>
      <c r="D20" s="146"/>
      <c r="E20" s="350">
        <f t="shared" si="1"/>
        <v>0</v>
      </c>
      <c r="F20" s="859"/>
      <c r="G20" s="146"/>
      <c r="H20" s="350">
        <f t="shared" si="2"/>
        <v>0</v>
      </c>
      <c r="I20" s="859"/>
      <c r="J20" s="146"/>
      <c r="K20" s="350">
        <f t="shared" si="3"/>
        <v>0</v>
      </c>
      <c r="L20" s="859"/>
      <c r="M20" s="146"/>
      <c r="N20" s="350">
        <f t="shared" si="4"/>
        <v>0</v>
      </c>
      <c r="O20" s="859"/>
      <c r="P20" s="146"/>
      <c r="Q20" s="350">
        <f t="shared" si="5"/>
        <v>0</v>
      </c>
    </row>
    <row r="21" spans="1:17" s="180" customFormat="1" ht="17.25" customHeight="1">
      <c r="A21" s="155" t="s">
        <v>328</v>
      </c>
      <c r="B21" s="154" t="s">
        <v>372</v>
      </c>
      <c r="C21" s="859"/>
      <c r="D21" s="146"/>
      <c r="E21" s="350">
        <f t="shared" si="1"/>
        <v>0</v>
      </c>
      <c r="F21" s="859"/>
      <c r="G21" s="146"/>
      <c r="H21" s="350">
        <f t="shared" si="2"/>
        <v>0</v>
      </c>
      <c r="I21" s="859"/>
      <c r="J21" s="146"/>
      <c r="K21" s="350">
        <f t="shared" si="3"/>
        <v>0</v>
      </c>
      <c r="L21" s="859"/>
      <c r="M21" s="146"/>
      <c r="N21" s="350">
        <f t="shared" si="4"/>
        <v>0</v>
      </c>
      <c r="O21" s="859"/>
      <c r="P21" s="146"/>
      <c r="Q21" s="350">
        <f t="shared" si="5"/>
        <v>0</v>
      </c>
    </row>
    <row r="22" spans="1:17" s="180" customFormat="1" ht="15" customHeight="1" thickBot="1">
      <c r="A22" s="16" t="s">
        <v>69</v>
      </c>
      <c r="B22" s="324" t="s">
        <v>373</v>
      </c>
      <c r="C22" s="860"/>
      <c r="D22" s="158"/>
      <c r="E22" s="350">
        <f t="shared" si="1"/>
        <v>0</v>
      </c>
      <c r="F22" s="860"/>
      <c r="G22" s="158"/>
      <c r="H22" s="350">
        <f t="shared" si="2"/>
        <v>0</v>
      </c>
      <c r="I22" s="860"/>
      <c r="J22" s="158"/>
      <c r="K22" s="350">
        <f t="shared" si="3"/>
        <v>0</v>
      </c>
      <c r="L22" s="860"/>
      <c r="M22" s="158"/>
      <c r="N22" s="350">
        <f t="shared" si="4"/>
        <v>0</v>
      </c>
      <c r="O22" s="860"/>
      <c r="P22" s="158"/>
      <c r="Q22" s="350">
        <f t="shared" si="5"/>
        <v>0</v>
      </c>
    </row>
    <row r="23" spans="1:17" s="208" customFormat="1" ht="17.25" customHeight="1" thickBot="1">
      <c r="A23" s="307">
        <v>5</v>
      </c>
      <c r="B23" s="295" t="s">
        <v>171</v>
      </c>
      <c r="C23" s="337">
        <f aca="true" t="shared" si="6" ref="C23:Q23">SUM(C15:C22)</f>
        <v>962</v>
      </c>
      <c r="D23" s="304">
        <f t="shared" si="6"/>
        <v>0</v>
      </c>
      <c r="E23" s="310">
        <f t="shared" si="6"/>
        <v>962</v>
      </c>
      <c r="F23" s="320">
        <f t="shared" si="6"/>
        <v>949</v>
      </c>
      <c r="G23" s="304">
        <f t="shared" si="6"/>
        <v>0</v>
      </c>
      <c r="H23" s="320">
        <f t="shared" si="6"/>
        <v>949</v>
      </c>
      <c r="I23" s="337">
        <f t="shared" si="6"/>
        <v>0</v>
      </c>
      <c r="J23" s="304">
        <f t="shared" si="6"/>
        <v>0</v>
      </c>
      <c r="K23" s="310">
        <f t="shared" si="6"/>
        <v>0</v>
      </c>
      <c r="L23" s="337">
        <f t="shared" si="6"/>
        <v>856</v>
      </c>
      <c r="M23" s="304">
        <f t="shared" si="6"/>
        <v>0</v>
      </c>
      <c r="N23" s="310">
        <f t="shared" si="6"/>
        <v>856</v>
      </c>
      <c r="O23" s="337">
        <f t="shared" si="6"/>
        <v>101</v>
      </c>
      <c r="P23" s="304">
        <f t="shared" si="6"/>
        <v>0</v>
      </c>
      <c r="Q23" s="310">
        <f t="shared" si="6"/>
        <v>101</v>
      </c>
    </row>
    <row r="24" spans="1:17" s="180" customFormat="1" ht="17.25" customHeight="1" thickBot="1">
      <c r="A24" s="303">
        <v>6</v>
      </c>
      <c r="B24" s="295" t="s">
        <v>174</v>
      </c>
      <c r="C24" s="308">
        <v>3848</v>
      </c>
      <c r="D24" s="304"/>
      <c r="E24" s="282">
        <f aca="true" t="shared" si="7" ref="E24:E30">C24+D24</f>
        <v>3848</v>
      </c>
      <c r="F24" s="308">
        <v>7150</v>
      </c>
      <c r="G24" s="304">
        <v>-478</v>
      </c>
      <c r="H24" s="282">
        <f aca="true" t="shared" si="8" ref="H24:H30">F24+G24</f>
        <v>6672</v>
      </c>
      <c r="I24" s="308">
        <v>7398</v>
      </c>
      <c r="J24" s="304">
        <v>1515</v>
      </c>
      <c r="K24" s="282">
        <f aca="true" t="shared" si="9" ref="K24:K30">I24+J24</f>
        <v>8913</v>
      </c>
      <c r="L24" s="308">
        <v>4345</v>
      </c>
      <c r="M24" s="304">
        <v>35</v>
      </c>
      <c r="N24" s="282">
        <f aca="true" t="shared" si="10" ref="N24:N30">L24+M24</f>
        <v>4380</v>
      </c>
      <c r="O24" s="337">
        <v>4680</v>
      </c>
      <c r="P24" s="304"/>
      <c r="Q24" s="282">
        <f>SUM(O24:P24)</f>
        <v>4680</v>
      </c>
    </row>
    <row r="25" spans="1:17" s="208" customFormat="1" ht="17.25" customHeight="1" thickBot="1">
      <c r="A25" s="303">
        <v>7</v>
      </c>
      <c r="B25" s="295" t="s">
        <v>421</v>
      </c>
      <c r="C25" s="337"/>
      <c r="D25" s="304"/>
      <c r="E25" s="282">
        <f t="shared" si="7"/>
        <v>0</v>
      </c>
      <c r="F25" s="337"/>
      <c r="G25" s="304"/>
      <c r="H25" s="282">
        <f t="shared" si="8"/>
        <v>0</v>
      </c>
      <c r="I25" s="337"/>
      <c r="J25" s="304"/>
      <c r="K25" s="282">
        <f t="shared" si="9"/>
        <v>0</v>
      </c>
      <c r="L25" s="337"/>
      <c r="M25" s="304"/>
      <c r="N25" s="282">
        <f t="shared" si="10"/>
        <v>0</v>
      </c>
      <c r="O25" s="337"/>
      <c r="P25" s="304"/>
      <c r="Q25" s="282">
        <f>SUM(O25:P25)</f>
        <v>0</v>
      </c>
    </row>
    <row r="26" spans="1:17" s="180" customFormat="1" ht="17.25" customHeight="1">
      <c r="A26" s="163" t="s">
        <v>98</v>
      </c>
      <c r="B26" s="156" t="s">
        <v>560</v>
      </c>
      <c r="C26" s="1069"/>
      <c r="D26" s="224"/>
      <c r="E26" s="350">
        <f t="shared" si="7"/>
        <v>0</v>
      </c>
      <c r="F26" s="1069"/>
      <c r="G26" s="224"/>
      <c r="H26" s="350">
        <f t="shared" si="8"/>
        <v>0</v>
      </c>
      <c r="I26" s="1069"/>
      <c r="J26" s="224"/>
      <c r="K26" s="350">
        <f t="shared" si="9"/>
        <v>0</v>
      </c>
      <c r="L26" s="1069"/>
      <c r="M26" s="224"/>
      <c r="N26" s="350">
        <f t="shared" si="10"/>
        <v>0</v>
      </c>
      <c r="O26" s="1069"/>
      <c r="P26" s="224"/>
      <c r="Q26" s="350">
        <f>SUM(O26:P26)</f>
        <v>0</v>
      </c>
    </row>
    <row r="27" spans="1:17" s="180" customFormat="1" ht="17.25" customHeight="1">
      <c r="A27" s="163" t="s">
        <v>99</v>
      </c>
      <c r="B27" s="156" t="s">
        <v>558</v>
      </c>
      <c r="C27" s="1069"/>
      <c r="D27" s="224"/>
      <c r="E27" s="350">
        <f t="shared" si="7"/>
        <v>0</v>
      </c>
      <c r="F27" s="1069"/>
      <c r="G27" s="224"/>
      <c r="H27" s="350">
        <f t="shared" si="8"/>
        <v>0</v>
      </c>
      <c r="I27" s="1069"/>
      <c r="J27" s="224"/>
      <c r="K27" s="350">
        <f t="shared" si="9"/>
        <v>0</v>
      </c>
      <c r="L27" s="1069"/>
      <c r="M27" s="224"/>
      <c r="N27" s="350">
        <f t="shared" si="10"/>
        <v>0</v>
      </c>
      <c r="O27" s="1069"/>
      <c r="P27" s="224"/>
      <c r="Q27" s="350">
        <f aca="true" t="shared" si="11" ref="Q27:Q32">SUM(O27:P27)</f>
        <v>0</v>
      </c>
    </row>
    <row r="28" spans="1:17" s="180" customFormat="1" ht="17.25" customHeight="1">
      <c r="A28" s="163" t="s">
        <v>100</v>
      </c>
      <c r="B28" s="154" t="s">
        <v>374</v>
      </c>
      <c r="C28" s="1069"/>
      <c r="D28" s="224"/>
      <c r="E28" s="350">
        <f t="shared" si="7"/>
        <v>0</v>
      </c>
      <c r="F28" s="1069"/>
      <c r="G28" s="224"/>
      <c r="H28" s="350">
        <f t="shared" si="8"/>
        <v>0</v>
      </c>
      <c r="I28" s="1069"/>
      <c r="J28" s="224"/>
      <c r="K28" s="350">
        <f t="shared" si="9"/>
        <v>0</v>
      </c>
      <c r="L28" s="1069"/>
      <c r="M28" s="224"/>
      <c r="N28" s="350">
        <f t="shared" si="10"/>
        <v>0</v>
      </c>
      <c r="O28" s="1069"/>
      <c r="P28" s="224"/>
      <c r="Q28" s="350">
        <f t="shared" si="11"/>
        <v>0</v>
      </c>
    </row>
    <row r="29" spans="1:17" s="180" customFormat="1" ht="17.25" customHeight="1">
      <c r="A29" s="163" t="s">
        <v>101</v>
      </c>
      <c r="B29" s="156" t="s">
        <v>559</v>
      </c>
      <c r="C29" s="1069"/>
      <c r="D29" s="224"/>
      <c r="E29" s="350">
        <f t="shared" si="7"/>
        <v>0</v>
      </c>
      <c r="F29" s="1069"/>
      <c r="G29" s="224"/>
      <c r="H29" s="350">
        <f t="shared" si="8"/>
        <v>0</v>
      </c>
      <c r="I29" s="1069"/>
      <c r="J29" s="224"/>
      <c r="K29" s="350">
        <f t="shared" si="9"/>
        <v>0</v>
      </c>
      <c r="L29" s="1069"/>
      <c r="M29" s="224"/>
      <c r="N29" s="350">
        <f t="shared" si="10"/>
        <v>0</v>
      </c>
      <c r="O29" s="1069"/>
      <c r="P29" s="224"/>
      <c r="Q29" s="350">
        <f t="shared" si="11"/>
        <v>0</v>
      </c>
    </row>
    <row r="30" spans="1:17" s="180" customFormat="1" ht="17.25" customHeight="1" thickBot="1">
      <c r="A30" s="325" t="s">
        <v>192</v>
      </c>
      <c r="B30" s="154" t="s">
        <v>375</v>
      </c>
      <c r="C30" s="1070"/>
      <c r="D30" s="311"/>
      <c r="E30" s="351">
        <f t="shared" si="7"/>
        <v>0</v>
      </c>
      <c r="F30" s="1070"/>
      <c r="G30" s="311"/>
      <c r="H30" s="351">
        <f t="shared" si="8"/>
        <v>0</v>
      </c>
      <c r="I30" s="1070"/>
      <c r="J30" s="311"/>
      <c r="K30" s="351">
        <f t="shared" si="9"/>
        <v>0</v>
      </c>
      <c r="L30" s="1070"/>
      <c r="M30" s="311"/>
      <c r="N30" s="351">
        <f t="shared" si="10"/>
        <v>0</v>
      </c>
      <c r="O30" s="1070"/>
      <c r="P30" s="311"/>
      <c r="Q30" s="351">
        <f t="shared" si="11"/>
        <v>0</v>
      </c>
    </row>
    <row r="31" spans="1:17" s="208" customFormat="1" ht="17.25" customHeight="1" thickBot="1">
      <c r="A31" s="303">
        <v>8</v>
      </c>
      <c r="B31" s="295" t="s">
        <v>173</v>
      </c>
      <c r="C31" s="337">
        <f aca="true" t="shared" si="12" ref="C31:Q31">SUM(C26:C30)</f>
        <v>0</v>
      </c>
      <c r="D31" s="304">
        <f t="shared" si="12"/>
        <v>0</v>
      </c>
      <c r="E31" s="306">
        <f t="shared" si="12"/>
        <v>0</v>
      </c>
      <c r="F31" s="337">
        <f t="shared" si="12"/>
        <v>0</v>
      </c>
      <c r="G31" s="304">
        <f t="shared" si="12"/>
        <v>0</v>
      </c>
      <c r="H31" s="306">
        <f t="shared" si="12"/>
        <v>0</v>
      </c>
      <c r="I31" s="337">
        <f t="shared" si="12"/>
        <v>0</v>
      </c>
      <c r="J31" s="304">
        <f t="shared" si="12"/>
        <v>0</v>
      </c>
      <c r="K31" s="306">
        <f t="shared" si="12"/>
        <v>0</v>
      </c>
      <c r="L31" s="337">
        <f t="shared" si="12"/>
        <v>0</v>
      </c>
      <c r="M31" s="304">
        <f t="shared" si="12"/>
        <v>0</v>
      </c>
      <c r="N31" s="306">
        <f t="shared" si="12"/>
        <v>0</v>
      </c>
      <c r="O31" s="337">
        <f t="shared" si="12"/>
        <v>0</v>
      </c>
      <c r="P31" s="304">
        <f t="shared" si="12"/>
        <v>0</v>
      </c>
      <c r="Q31" s="310">
        <f t="shared" si="12"/>
        <v>0</v>
      </c>
    </row>
    <row r="32" spans="1:17" s="180" customFormat="1" ht="17.25" customHeight="1" thickBot="1">
      <c r="A32" s="303">
        <v>9</v>
      </c>
      <c r="B32" s="295" t="s">
        <v>179</v>
      </c>
      <c r="C32" s="337"/>
      <c r="D32" s="304"/>
      <c r="E32" s="282">
        <f>C32+D32</f>
        <v>0</v>
      </c>
      <c r="F32" s="337"/>
      <c r="G32" s="304"/>
      <c r="H32" s="282">
        <f>F32+G32</f>
        <v>0</v>
      </c>
      <c r="I32" s="337"/>
      <c r="J32" s="304"/>
      <c r="K32" s="282">
        <f>I32+J32</f>
        <v>0</v>
      </c>
      <c r="L32" s="337"/>
      <c r="M32" s="304"/>
      <c r="N32" s="282">
        <f>L32+M32</f>
        <v>0</v>
      </c>
      <c r="O32" s="337"/>
      <c r="P32" s="304"/>
      <c r="Q32" s="282">
        <f t="shared" si="11"/>
        <v>0</v>
      </c>
    </row>
    <row r="33" spans="1:17" s="159" customFormat="1" ht="17.25" customHeight="1" thickBot="1">
      <c r="A33" s="357">
        <v>10</v>
      </c>
      <c r="B33" s="358"/>
      <c r="C33" s="165"/>
      <c r="D33" s="359"/>
      <c r="E33" s="361">
        <f>SUM(C33:D33)</f>
        <v>0</v>
      </c>
      <c r="F33" s="165"/>
      <c r="G33" s="359"/>
      <c r="H33" s="361">
        <f>SUM(F33:G33)</f>
        <v>0</v>
      </c>
      <c r="I33" s="165"/>
      <c r="J33" s="359"/>
      <c r="K33" s="361">
        <f>SUM(I33:J33)</f>
        <v>0</v>
      </c>
      <c r="L33" s="165"/>
      <c r="M33" s="359"/>
      <c r="N33" s="361">
        <f>SUM(L33:M33)</f>
        <v>0</v>
      </c>
      <c r="O33" s="165"/>
      <c r="P33" s="359"/>
      <c r="Q33" s="361">
        <f>SUM(O33:P33)</f>
        <v>0</v>
      </c>
    </row>
    <row r="34" spans="1:18" s="167" customFormat="1" ht="17.25" customHeight="1" thickBot="1" thickTop="1">
      <c r="A34" s="333" t="s">
        <v>108</v>
      </c>
      <c r="B34" s="356" t="s">
        <v>180</v>
      </c>
      <c r="C34" s="355">
        <f aca="true" t="shared" si="13" ref="C34:Q34">C11+C12+C13+C23+C14+C31+C25+C24+C32+C33</f>
        <v>1706543</v>
      </c>
      <c r="D34" s="334">
        <f t="shared" si="13"/>
        <v>-12798</v>
      </c>
      <c r="E34" s="746">
        <f t="shared" si="13"/>
        <v>1693745</v>
      </c>
      <c r="F34" s="355">
        <f t="shared" si="13"/>
        <v>607166</v>
      </c>
      <c r="G34" s="334">
        <f t="shared" si="13"/>
        <v>22603</v>
      </c>
      <c r="H34" s="746">
        <f t="shared" si="13"/>
        <v>629769</v>
      </c>
      <c r="I34" s="355">
        <f t="shared" si="13"/>
        <v>356374</v>
      </c>
      <c r="J34" s="334">
        <f t="shared" si="13"/>
        <v>-20766</v>
      </c>
      <c r="K34" s="746">
        <f t="shared" si="13"/>
        <v>335608</v>
      </c>
      <c r="L34" s="355">
        <f t="shared" si="13"/>
        <v>450473</v>
      </c>
      <c r="M34" s="334">
        <f t="shared" si="13"/>
        <v>14296</v>
      </c>
      <c r="N34" s="746">
        <f t="shared" si="13"/>
        <v>464769</v>
      </c>
      <c r="O34" s="355">
        <f t="shared" si="13"/>
        <v>221422</v>
      </c>
      <c r="P34" s="334">
        <f t="shared" si="13"/>
        <v>2731</v>
      </c>
      <c r="Q34" s="364">
        <f t="shared" si="13"/>
        <v>224153</v>
      </c>
      <c r="R34" s="166"/>
    </row>
    <row r="35" spans="1:21" s="94" customFormat="1" ht="17.25" customHeight="1" thickBot="1" thickTop="1">
      <c r="A35" s="151"/>
      <c r="B35" s="336" t="s">
        <v>131</v>
      </c>
      <c r="C35" s="1071"/>
      <c r="D35" s="292"/>
      <c r="E35" s="1077"/>
      <c r="F35" s="1071"/>
      <c r="G35" s="292"/>
      <c r="H35" s="1077"/>
      <c r="I35" s="1071"/>
      <c r="J35" s="292"/>
      <c r="K35" s="1077"/>
      <c r="L35" s="1071"/>
      <c r="M35" s="292"/>
      <c r="N35" s="1077"/>
      <c r="O35" s="1071"/>
      <c r="P35" s="292"/>
      <c r="Q35" s="1077"/>
      <c r="R35" s="347"/>
      <c r="S35" s="233"/>
      <c r="T35" s="233"/>
      <c r="U35" s="233"/>
    </row>
    <row r="36" spans="1:21" s="728" customFormat="1" ht="17.25" customHeight="1">
      <c r="A36" s="737" t="s">
        <v>98</v>
      </c>
      <c r="B36" s="738" t="s">
        <v>376</v>
      </c>
      <c r="C36" s="740"/>
      <c r="D36" s="739"/>
      <c r="E36" s="741">
        <f>SUM(C36:D36)</f>
        <v>0</v>
      </c>
      <c r="F36" s="740"/>
      <c r="G36" s="739"/>
      <c r="H36" s="741">
        <f>SUM(F36:G36)</f>
        <v>0</v>
      </c>
      <c r="I36" s="740"/>
      <c r="J36" s="739"/>
      <c r="K36" s="741">
        <f>SUM(I36:J36)</f>
        <v>0</v>
      </c>
      <c r="L36" s="740"/>
      <c r="M36" s="739"/>
      <c r="N36" s="741">
        <f>SUM(L36:M36)</f>
        <v>0</v>
      </c>
      <c r="O36" s="1079"/>
      <c r="P36" s="739"/>
      <c r="Q36" s="741">
        <f aca="true" t="shared" si="14" ref="Q36:Q44">SUM(O36:P36)</f>
        <v>0</v>
      </c>
      <c r="R36" s="732"/>
      <c r="S36" s="732"/>
      <c r="T36" s="732"/>
      <c r="U36" s="732"/>
    </row>
    <row r="37" spans="1:21" s="728" customFormat="1" ht="17.25" customHeight="1">
      <c r="A37" s="160" t="s">
        <v>99</v>
      </c>
      <c r="B37" s="156" t="s">
        <v>235</v>
      </c>
      <c r="C37" s="297"/>
      <c r="D37" s="146"/>
      <c r="E37" s="424">
        <f aca="true" t="shared" si="15" ref="E37:E44">C37+D37</f>
        <v>0</v>
      </c>
      <c r="F37" s="297"/>
      <c r="G37" s="146"/>
      <c r="H37" s="424">
        <f aca="true" t="shared" si="16" ref="H37:H44">F37+G37</f>
        <v>0</v>
      </c>
      <c r="I37" s="297"/>
      <c r="J37" s="146"/>
      <c r="K37" s="424">
        <f aca="true" t="shared" si="17" ref="K37:K44">I37+J37</f>
        <v>0</v>
      </c>
      <c r="L37" s="297"/>
      <c r="M37" s="146"/>
      <c r="N37" s="424">
        <f aca="true" t="shared" si="18" ref="N37:N44">L37+M37</f>
        <v>0</v>
      </c>
      <c r="O37" s="880"/>
      <c r="P37" s="146"/>
      <c r="Q37" s="424">
        <f t="shared" si="14"/>
        <v>0</v>
      </c>
      <c r="R37" s="732"/>
      <c r="S37" s="732"/>
      <c r="T37" s="732"/>
      <c r="U37" s="732"/>
    </row>
    <row r="38" spans="1:17" s="728" customFormat="1" ht="17.25" customHeight="1">
      <c r="A38" s="325" t="s">
        <v>100</v>
      </c>
      <c r="B38" s="149" t="s">
        <v>377</v>
      </c>
      <c r="C38" s="319"/>
      <c r="D38" s="311"/>
      <c r="E38" s="351">
        <f t="shared" si="15"/>
        <v>0</v>
      </c>
      <c r="F38" s="319"/>
      <c r="G38" s="311"/>
      <c r="H38" s="351">
        <f t="shared" si="16"/>
        <v>0</v>
      </c>
      <c r="I38" s="319"/>
      <c r="J38" s="311"/>
      <c r="K38" s="351">
        <f t="shared" si="17"/>
        <v>0</v>
      </c>
      <c r="L38" s="319"/>
      <c r="M38" s="311"/>
      <c r="N38" s="351">
        <f t="shared" si="18"/>
        <v>0</v>
      </c>
      <c r="O38" s="1070"/>
      <c r="P38" s="311"/>
      <c r="Q38" s="351">
        <f t="shared" si="14"/>
        <v>0</v>
      </c>
    </row>
    <row r="39" spans="1:17" s="728" customFormat="1" ht="17.25" customHeight="1" thickBot="1">
      <c r="A39" s="161" t="s">
        <v>101</v>
      </c>
      <c r="B39" s="162" t="s">
        <v>381</v>
      </c>
      <c r="C39" s="298"/>
      <c r="D39" s="158"/>
      <c r="E39" s="426">
        <f t="shared" si="15"/>
        <v>0</v>
      </c>
      <c r="F39" s="298"/>
      <c r="G39" s="158"/>
      <c r="H39" s="426">
        <f t="shared" si="16"/>
        <v>0</v>
      </c>
      <c r="I39" s="298"/>
      <c r="J39" s="158"/>
      <c r="K39" s="426">
        <f t="shared" si="17"/>
        <v>0</v>
      </c>
      <c r="L39" s="298"/>
      <c r="M39" s="158"/>
      <c r="N39" s="426">
        <f t="shared" si="18"/>
        <v>0</v>
      </c>
      <c r="O39" s="881"/>
      <c r="P39" s="158"/>
      <c r="Q39" s="426">
        <f t="shared" si="14"/>
        <v>0</v>
      </c>
    </row>
    <row r="40" spans="1:17" s="208" customFormat="1" ht="17.25" customHeight="1" thickBot="1">
      <c r="A40" s="303">
        <v>1</v>
      </c>
      <c r="B40" s="295" t="s">
        <v>177</v>
      </c>
      <c r="C40" s="337">
        <f aca="true" t="shared" si="19" ref="C40:Q40">SUM(C36:C39)</f>
        <v>0</v>
      </c>
      <c r="D40" s="304">
        <f t="shared" si="19"/>
        <v>0</v>
      </c>
      <c r="E40" s="310">
        <f t="shared" si="19"/>
        <v>0</v>
      </c>
      <c r="F40" s="337">
        <f t="shared" si="19"/>
        <v>0</v>
      </c>
      <c r="G40" s="304">
        <f t="shared" si="19"/>
        <v>0</v>
      </c>
      <c r="H40" s="310">
        <f t="shared" si="19"/>
        <v>0</v>
      </c>
      <c r="I40" s="337">
        <f t="shared" si="19"/>
        <v>0</v>
      </c>
      <c r="J40" s="304">
        <f t="shared" si="19"/>
        <v>0</v>
      </c>
      <c r="K40" s="310">
        <f t="shared" si="19"/>
        <v>0</v>
      </c>
      <c r="L40" s="337">
        <f t="shared" si="19"/>
        <v>0</v>
      </c>
      <c r="M40" s="304">
        <f t="shared" si="19"/>
        <v>0</v>
      </c>
      <c r="N40" s="310">
        <f t="shared" si="19"/>
        <v>0</v>
      </c>
      <c r="O40" s="337">
        <f t="shared" si="19"/>
        <v>0</v>
      </c>
      <c r="P40" s="304">
        <f t="shared" si="19"/>
        <v>0</v>
      </c>
      <c r="Q40" s="310">
        <f t="shared" si="19"/>
        <v>0</v>
      </c>
    </row>
    <row r="41" spans="1:17" s="180" customFormat="1" ht="17.25" customHeight="1">
      <c r="A41" s="163" t="s">
        <v>98</v>
      </c>
      <c r="B41" s="152" t="s">
        <v>403</v>
      </c>
      <c r="C41" s="296"/>
      <c r="D41" s="224"/>
      <c r="E41" s="351">
        <f t="shared" si="15"/>
        <v>0</v>
      </c>
      <c r="F41" s="296"/>
      <c r="G41" s="224"/>
      <c r="H41" s="351">
        <f t="shared" si="16"/>
        <v>0</v>
      </c>
      <c r="I41" s="296"/>
      <c r="J41" s="224"/>
      <c r="K41" s="351">
        <f t="shared" si="17"/>
        <v>0</v>
      </c>
      <c r="L41" s="296"/>
      <c r="M41" s="224"/>
      <c r="N41" s="351">
        <f t="shared" si="18"/>
        <v>0</v>
      </c>
      <c r="O41" s="1069"/>
      <c r="P41" s="224"/>
      <c r="Q41" s="350">
        <f t="shared" si="14"/>
        <v>0</v>
      </c>
    </row>
    <row r="42" spans="1:17" s="180" customFormat="1" ht="17.25" customHeight="1">
      <c r="A42" s="160" t="s">
        <v>99</v>
      </c>
      <c r="B42" s="156" t="s">
        <v>378</v>
      </c>
      <c r="C42" s="297"/>
      <c r="D42" s="146"/>
      <c r="E42" s="426">
        <f t="shared" si="15"/>
        <v>0</v>
      </c>
      <c r="F42" s="297"/>
      <c r="G42" s="146"/>
      <c r="H42" s="426">
        <f t="shared" si="16"/>
        <v>0</v>
      </c>
      <c r="I42" s="297"/>
      <c r="J42" s="146"/>
      <c r="K42" s="426">
        <f t="shared" si="17"/>
        <v>0</v>
      </c>
      <c r="L42" s="297"/>
      <c r="M42" s="146"/>
      <c r="N42" s="426">
        <f t="shared" si="18"/>
        <v>0</v>
      </c>
      <c r="O42" s="880"/>
      <c r="P42" s="146"/>
      <c r="Q42" s="424">
        <f t="shared" si="14"/>
        <v>0</v>
      </c>
    </row>
    <row r="43" spans="1:17" s="180" customFormat="1" ht="17.25" customHeight="1">
      <c r="A43" s="160" t="s">
        <v>100</v>
      </c>
      <c r="B43" s="156" t="s">
        <v>379</v>
      </c>
      <c r="C43" s="297"/>
      <c r="D43" s="146"/>
      <c r="E43" s="426">
        <f t="shared" si="15"/>
        <v>0</v>
      </c>
      <c r="F43" s="297"/>
      <c r="G43" s="146"/>
      <c r="H43" s="426">
        <f t="shared" si="16"/>
        <v>0</v>
      </c>
      <c r="I43" s="297"/>
      <c r="J43" s="146"/>
      <c r="K43" s="426">
        <f t="shared" si="17"/>
        <v>0</v>
      </c>
      <c r="L43" s="297"/>
      <c r="M43" s="146"/>
      <c r="N43" s="426">
        <f t="shared" si="18"/>
        <v>0</v>
      </c>
      <c r="O43" s="880"/>
      <c r="P43" s="146"/>
      <c r="Q43" s="424">
        <f t="shared" si="14"/>
        <v>0</v>
      </c>
    </row>
    <row r="44" spans="1:17" s="180" customFormat="1" ht="17.25" customHeight="1" thickBot="1">
      <c r="A44" s="161" t="s">
        <v>101</v>
      </c>
      <c r="B44" s="162" t="s">
        <v>175</v>
      </c>
      <c r="C44" s="298"/>
      <c r="D44" s="158"/>
      <c r="E44" s="426">
        <f t="shared" si="15"/>
        <v>0</v>
      </c>
      <c r="F44" s="298"/>
      <c r="G44" s="158"/>
      <c r="H44" s="426">
        <f t="shared" si="16"/>
        <v>0</v>
      </c>
      <c r="I44" s="298"/>
      <c r="J44" s="158"/>
      <c r="K44" s="426">
        <f t="shared" si="17"/>
        <v>0</v>
      </c>
      <c r="L44" s="298"/>
      <c r="M44" s="158"/>
      <c r="N44" s="426">
        <f t="shared" si="18"/>
        <v>0</v>
      </c>
      <c r="O44" s="881"/>
      <c r="P44" s="158"/>
      <c r="Q44" s="426">
        <f t="shared" si="14"/>
        <v>0</v>
      </c>
    </row>
    <row r="45" spans="1:17" s="208" customFormat="1" ht="17.25" customHeight="1" thickBot="1">
      <c r="A45" s="303">
        <v>2</v>
      </c>
      <c r="B45" s="295" t="s">
        <v>176</v>
      </c>
      <c r="C45" s="337">
        <f>SUM(C41:C44)</f>
        <v>0</v>
      </c>
      <c r="D45" s="304">
        <f aca="true" t="shared" si="20" ref="D45:Q45">SUM(D41:D44)</f>
        <v>0</v>
      </c>
      <c r="E45" s="306">
        <f t="shared" si="20"/>
        <v>0</v>
      </c>
      <c r="F45" s="337">
        <f t="shared" si="20"/>
        <v>0</v>
      </c>
      <c r="G45" s="304">
        <f t="shared" si="20"/>
        <v>0</v>
      </c>
      <c r="H45" s="306">
        <f t="shared" si="20"/>
        <v>0</v>
      </c>
      <c r="I45" s="337">
        <f t="shared" si="20"/>
        <v>0</v>
      </c>
      <c r="J45" s="304">
        <f t="shared" si="20"/>
        <v>0</v>
      </c>
      <c r="K45" s="306">
        <f t="shared" si="20"/>
        <v>0</v>
      </c>
      <c r="L45" s="337">
        <f t="shared" si="20"/>
        <v>0</v>
      </c>
      <c r="M45" s="304">
        <f t="shared" si="20"/>
        <v>0</v>
      </c>
      <c r="N45" s="320">
        <f t="shared" si="20"/>
        <v>0</v>
      </c>
      <c r="O45" s="337">
        <f t="shared" si="20"/>
        <v>0</v>
      </c>
      <c r="P45" s="304">
        <f t="shared" si="20"/>
        <v>0</v>
      </c>
      <c r="Q45" s="310">
        <f t="shared" si="20"/>
        <v>0</v>
      </c>
    </row>
    <row r="46" spans="1:17" s="208" customFormat="1" ht="17.25" customHeight="1" thickBot="1">
      <c r="A46" s="303">
        <v>3</v>
      </c>
      <c r="B46" s="295" t="s">
        <v>254</v>
      </c>
      <c r="C46" s="337">
        <v>79026</v>
      </c>
      <c r="D46" s="304">
        <v>-21552</v>
      </c>
      <c r="E46" s="306">
        <f>SUM(C46:D46)</f>
        <v>57474</v>
      </c>
      <c r="F46" s="337">
        <v>17082</v>
      </c>
      <c r="G46" s="304">
        <v>3230</v>
      </c>
      <c r="H46" s="306">
        <f>SUM(F46:G46)</f>
        <v>20312</v>
      </c>
      <c r="I46" s="337">
        <v>2500</v>
      </c>
      <c r="J46" s="304">
        <v>976</v>
      </c>
      <c r="K46" s="306">
        <f>SUM(I46:J46)</f>
        <v>3476</v>
      </c>
      <c r="L46" s="337">
        <v>39905</v>
      </c>
      <c r="M46" s="304">
        <v>4221</v>
      </c>
      <c r="N46" s="320">
        <f>SUM(L46:M46)</f>
        <v>44126</v>
      </c>
      <c r="O46" s="337">
        <v>1</v>
      </c>
      <c r="P46" s="304">
        <v>5</v>
      </c>
      <c r="Q46" s="310">
        <f>SUM(O46:P46)</f>
        <v>6</v>
      </c>
    </row>
    <row r="47" spans="1:17" s="180" customFormat="1" ht="17.25" customHeight="1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>
        <v>302</v>
      </c>
      <c r="J47" s="304"/>
      <c r="K47" s="306">
        <f>SUM(I47:J47)</f>
        <v>302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28" customFormat="1" ht="17.25" customHeight="1">
      <c r="A48" s="163" t="s">
        <v>98</v>
      </c>
      <c r="B48" s="149" t="s">
        <v>281</v>
      </c>
      <c r="C48" s="1069"/>
      <c r="D48" s="224"/>
      <c r="E48" s="351">
        <f>C48+D48</f>
        <v>0</v>
      </c>
      <c r="F48" s="1069"/>
      <c r="G48" s="224"/>
      <c r="H48" s="351">
        <f>F48+G48</f>
        <v>0</v>
      </c>
      <c r="I48" s="1069"/>
      <c r="J48" s="224"/>
      <c r="K48" s="351">
        <f>I48+J48</f>
        <v>0</v>
      </c>
      <c r="L48" s="1069"/>
      <c r="M48" s="224"/>
      <c r="N48" s="351">
        <f>L48+M48</f>
        <v>0</v>
      </c>
      <c r="O48" s="1069"/>
      <c r="P48" s="224"/>
      <c r="Q48" s="350">
        <f>SUM(O48:P48)</f>
        <v>0</v>
      </c>
    </row>
    <row r="49" spans="1:17" s="180" customFormat="1" ht="17.25" customHeight="1">
      <c r="A49" s="161" t="s">
        <v>99</v>
      </c>
      <c r="B49" s="324" t="s">
        <v>380</v>
      </c>
      <c r="C49" s="880"/>
      <c r="D49" s="146"/>
      <c r="E49" s="424">
        <f>C49+D49</f>
        <v>0</v>
      </c>
      <c r="F49" s="880"/>
      <c r="G49" s="146"/>
      <c r="H49" s="424">
        <f>F49+G49</f>
        <v>0</v>
      </c>
      <c r="I49" s="880"/>
      <c r="J49" s="146"/>
      <c r="K49" s="424">
        <f>I49+J49</f>
        <v>0</v>
      </c>
      <c r="L49" s="880"/>
      <c r="M49" s="146"/>
      <c r="N49" s="424">
        <f>L49+M49</f>
        <v>0</v>
      </c>
      <c r="O49" s="880"/>
      <c r="P49" s="146"/>
      <c r="Q49" s="424">
        <f>SUM(O49:P49)</f>
        <v>0</v>
      </c>
    </row>
    <row r="50" spans="1:17" s="180" customFormat="1" ht="17.25" customHeight="1" thickBot="1">
      <c r="A50" s="161" t="s">
        <v>100</v>
      </c>
      <c r="B50" s="324" t="s">
        <v>413</v>
      </c>
      <c r="C50" s="880"/>
      <c r="D50" s="146"/>
      <c r="E50" s="424">
        <f>C50+D50</f>
        <v>0</v>
      </c>
      <c r="F50" s="880"/>
      <c r="G50" s="146"/>
      <c r="H50" s="424">
        <f>F50+G50</f>
        <v>0</v>
      </c>
      <c r="I50" s="880"/>
      <c r="J50" s="146"/>
      <c r="K50" s="424">
        <f>I50+J50</f>
        <v>0</v>
      </c>
      <c r="L50" s="880"/>
      <c r="M50" s="146"/>
      <c r="N50" s="424">
        <f>L50+M50</f>
        <v>0</v>
      </c>
      <c r="O50" s="880"/>
      <c r="P50" s="146"/>
      <c r="Q50" s="424">
        <f>SUM(O50:P50)</f>
        <v>0</v>
      </c>
    </row>
    <row r="51" spans="1:17" s="208" customFormat="1" ht="17.25" customHeight="1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21" ref="E51:Q51">SUM(E48:E50)</f>
        <v>0</v>
      </c>
      <c r="F51" s="337">
        <f t="shared" si="21"/>
        <v>0</v>
      </c>
      <c r="G51" s="304">
        <f t="shared" si="21"/>
        <v>0</v>
      </c>
      <c r="H51" s="306">
        <f t="shared" si="21"/>
        <v>0</v>
      </c>
      <c r="I51" s="337">
        <f t="shared" si="21"/>
        <v>0</v>
      </c>
      <c r="J51" s="304">
        <f t="shared" si="21"/>
        <v>0</v>
      </c>
      <c r="K51" s="306">
        <f t="shared" si="21"/>
        <v>0</v>
      </c>
      <c r="L51" s="337">
        <f t="shared" si="21"/>
        <v>0</v>
      </c>
      <c r="M51" s="304">
        <f t="shared" si="21"/>
        <v>0</v>
      </c>
      <c r="N51" s="306">
        <f t="shared" si="21"/>
        <v>0</v>
      </c>
      <c r="O51" s="337">
        <f t="shared" si="21"/>
        <v>0</v>
      </c>
      <c r="P51" s="304">
        <f t="shared" si="21"/>
        <v>0</v>
      </c>
      <c r="Q51" s="310">
        <f t="shared" si="21"/>
        <v>0</v>
      </c>
    </row>
    <row r="52" spans="1:17" s="208" customFormat="1" ht="17.25" customHeight="1" thickBot="1">
      <c r="A52" s="733">
        <v>6</v>
      </c>
      <c r="B52" s="734" t="s">
        <v>285</v>
      </c>
      <c r="C52" s="1072"/>
      <c r="D52" s="329"/>
      <c r="E52" s="283">
        <f>C52+D52</f>
        <v>0</v>
      </c>
      <c r="F52" s="1078"/>
      <c r="G52" s="329"/>
      <c r="H52" s="283">
        <f>F52+G52</f>
        <v>0</v>
      </c>
      <c r="I52" s="1078"/>
      <c r="J52" s="329"/>
      <c r="K52" s="283">
        <f>I52+J52</f>
        <v>0</v>
      </c>
      <c r="L52" s="1078"/>
      <c r="M52" s="329"/>
      <c r="N52" s="283">
        <f>L52+M52</f>
        <v>0</v>
      </c>
      <c r="O52" s="1078"/>
      <c r="P52" s="329"/>
      <c r="Q52" s="283">
        <f>SUM(O52:P52)</f>
        <v>0</v>
      </c>
    </row>
    <row r="53" spans="1:17" s="180" customFormat="1" ht="17.25" customHeight="1">
      <c r="A53" s="144" t="s">
        <v>98</v>
      </c>
      <c r="B53" s="145" t="s">
        <v>382</v>
      </c>
      <c r="C53" s="1073"/>
      <c r="D53" s="147"/>
      <c r="E53" s="430">
        <f>C53+D53</f>
        <v>0</v>
      </c>
      <c r="F53" s="1073"/>
      <c r="G53" s="147"/>
      <c r="H53" s="430">
        <f>F53+G53</f>
        <v>0</v>
      </c>
      <c r="I53" s="1073"/>
      <c r="J53" s="147"/>
      <c r="K53" s="430">
        <f>I53+J53</f>
        <v>0</v>
      </c>
      <c r="L53" s="1073"/>
      <c r="M53" s="147"/>
      <c r="N53" s="430">
        <f>L53+M53</f>
        <v>0</v>
      </c>
      <c r="O53" s="1073"/>
      <c r="P53" s="147"/>
      <c r="Q53" s="430">
        <f>SUM(O53:P53)</f>
        <v>0</v>
      </c>
    </row>
    <row r="54" spans="1:17" s="180" customFormat="1" ht="17.25" customHeight="1" thickBot="1">
      <c r="A54" s="325" t="s">
        <v>99</v>
      </c>
      <c r="B54" s="149" t="s">
        <v>383</v>
      </c>
      <c r="C54" s="1070"/>
      <c r="D54" s="311"/>
      <c r="E54" s="351">
        <f>C54+D54</f>
        <v>0</v>
      </c>
      <c r="F54" s="1070"/>
      <c r="G54" s="311"/>
      <c r="H54" s="351">
        <f>F54+G54</f>
        <v>0</v>
      </c>
      <c r="I54" s="1070"/>
      <c r="J54" s="311"/>
      <c r="K54" s="351">
        <f>I54+J54</f>
        <v>0</v>
      </c>
      <c r="L54" s="1070"/>
      <c r="M54" s="311"/>
      <c r="N54" s="351">
        <f>L54+M54</f>
        <v>0</v>
      </c>
      <c r="O54" s="1070"/>
      <c r="P54" s="311"/>
      <c r="Q54" s="351">
        <f>SUM(O54:P54)</f>
        <v>0</v>
      </c>
    </row>
    <row r="55" spans="1:17" s="208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22" ref="D55:Q55">SUM(D53:D54)</f>
        <v>0</v>
      </c>
      <c r="E55" s="306">
        <f t="shared" si="22"/>
        <v>0</v>
      </c>
      <c r="F55" s="337">
        <f t="shared" si="22"/>
        <v>0</v>
      </c>
      <c r="G55" s="304">
        <f t="shared" si="22"/>
        <v>0</v>
      </c>
      <c r="H55" s="306">
        <f t="shared" si="22"/>
        <v>0</v>
      </c>
      <c r="I55" s="337">
        <f t="shared" si="22"/>
        <v>0</v>
      </c>
      <c r="J55" s="304">
        <f t="shared" si="22"/>
        <v>0</v>
      </c>
      <c r="K55" s="306">
        <f t="shared" si="22"/>
        <v>0</v>
      </c>
      <c r="L55" s="337">
        <f t="shared" si="22"/>
        <v>0</v>
      </c>
      <c r="M55" s="304">
        <f t="shared" si="22"/>
        <v>0</v>
      </c>
      <c r="N55" s="306">
        <f t="shared" si="22"/>
        <v>0</v>
      </c>
      <c r="O55" s="1080">
        <f t="shared" si="22"/>
        <v>0</v>
      </c>
      <c r="P55" s="1082">
        <f t="shared" si="22"/>
        <v>0</v>
      </c>
      <c r="Q55" s="1084">
        <f t="shared" si="22"/>
        <v>0</v>
      </c>
    </row>
    <row r="56" spans="1:18" s="180" customFormat="1" ht="17.25" customHeight="1" thickBot="1">
      <c r="A56" s="339">
        <v>8</v>
      </c>
      <c r="B56" s="340" t="s">
        <v>45</v>
      </c>
      <c r="C56" s="1074">
        <f>C34-C40-C45-C46-C47-C51-C52-C55-C57-C58-C59</f>
        <v>1626555</v>
      </c>
      <c r="D56" s="1076">
        <f>D34-D40-D45-D46-D47-D51-D52-D55-D57-D58-D59</f>
        <v>8931</v>
      </c>
      <c r="E56" s="752">
        <f aca="true" t="shared" si="23" ref="E56:Q56">E34-E40-E45-E46-E47-E51-E52-E55-E57-E58-E59</f>
        <v>1635486</v>
      </c>
      <c r="F56" s="1074">
        <f t="shared" si="23"/>
        <v>589135</v>
      </c>
      <c r="G56" s="1076">
        <f t="shared" si="23"/>
        <v>19422</v>
      </c>
      <c r="H56" s="752">
        <f t="shared" si="23"/>
        <v>608557</v>
      </c>
      <c r="I56" s="1074">
        <f t="shared" si="23"/>
        <v>350503</v>
      </c>
      <c r="J56" s="1076">
        <f t="shared" si="23"/>
        <v>-21803</v>
      </c>
      <c r="K56" s="752">
        <f t="shared" si="23"/>
        <v>328700</v>
      </c>
      <c r="L56" s="1074">
        <f t="shared" si="23"/>
        <v>409346</v>
      </c>
      <c r="M56" s="1076">
        <f t="shared" si="23"/>
        <v>10080</v>
      </c>
      <c r="N56" s="752">
        <f t="shared" si="23"/>
        <v>419426</v>
      </c>
      <c r="O56" s="1081">
        <f t="shared" si="23"/>
        <v>221302</v>
      </c>
      <c r="P56" s="1083">
        <f t="shared" si="23"/>
        <v>2728</v>
      </c>
      <c r="Q56" s="751">
        <f t="shared" si="23"/>
        <v>224030</v>
      </c>
      <c r="R56" s="183"/>
    </row>
    <row r="57" spans="1:21" s="208" customFormat="1" ht="17.25" customHeight="1">
      <c r="A57" s="326" t="s">
        <v>385</v>
      </c>
      <c r="B57" s="327" t="s">
        <v>184</v>
      </c>
      <c r="C57" s="1075">
        <v>962</v>
      </c>
      <c r="D57" s="317">
        <v>-177</v>
      </c>
      <c r="E57" s="431">
        <f>SUM(C57:D57)</f>
        <v>785</v>
      </c>
      <c r="F57" s="1075">
        <v>949</v>
      </c>
      <c r="G57" s="317">
        <v>-49</v>
      </c>
      <c r="H57" s="431">
        <f>SUM(F57:G57)</f>
        <v>900</v>
      </c>
      <c r="I57" s="1075">
        <v>3069</v>
      </c>
      <c r="J57" s="317">
        <v>61</v>
      </c>
      <c r="K57" s="431">
        <f>SUM(I57:J57)</f>
        <v>3130</v>
      </c>
      <c r="L57" s="316">
        <v>1222</v>
      </c>
      <c r="M57" s="317">
        <v>-5</v>
      </c>
      <c r="N57" s="328">
        <f>SUM(L57:M57)</f>
        <v>1217</v>
      </c>
      <c r="O57" s="316">
        <v>119</v>
      </c>
      <c r="P57" s="317">
        <v>-2</v>
      </c>
      <c r="Q57" s="328">
        <f>SUM(O57:P57)</f>
        <v>117</v>
      </c>
      <c r="R57" s="159"/>
      <c r="S57" s="159"/>
      <c r="T57" s="159"/>
      <c r="U57" s="159"/>
    </row>
    <row r="58" spans="1:21" s="208" customFormat="1" ht="17.25" customHeight="1">
      <c r="A58" s="326" t="s">
        <v>183</v>
      </c>
      <c r="B58" s="327" t="s">
        <v>384</v>
      </c>
      <c r="C58" s="316"/>
      <c r="D58" s="317"/>
      <c r="E58" s="330">
        <f>SUM(C58:D58)</f>
        <v>0</v>
      </c>
      <c r="F58" s="316"/>
      <c r="G58" s="317"/>
      <c r="H58" s="330">
        <f>SUM(F58:G58)</f>
        <v>0</v>
      </c>
      <c r="I58" s="316"/>
      <c r="J58" s="317"/>
      <c r="K58" s="330">
        <f>SUM(I58:J58)</f>
        <v>0</v>
      </c>
      <c r="L58" s="316"/>
      <c r="M58" s="317"/>
      <c r="N58" s="330">
        <f>SUM(L58:M58)</f>
        <v>0</v>
      </c>
      <c r="O58" s="316"/>
      <c r="P58" s="317"/>
      <c r="Q58" s="328">
        <f>SUM(O58:P58)</f>
        <v>0</v>
      </c>
      <c r="R58" s="159"/>
      <c r="S58" s="159"/>
      <c r="T58" s="159"/>
      <c r="U58" s="159"/>
    </row>
    <row r="59" spans="1:21" s="208" customFormat="1" ht="17.25" customHeight="1" thickBot="1">
      <c r="A59" s="341">
        <v>10</v>
      </c>
      <c r="B59" s="342"/>
      <c r="C59" s="343"/>
      <c r="D59" s="344"/>
      <c r="E59" s="345">
        <f>SUM(C59:D59)</f>
        <v>0</v>
      </c>
      <c r="F59" s="343"/>
      <c r="G59" s="344"/>
      <c r="H59" s="345">
        <f>SUM(F59:G59)</f>
        <v>0</v>
      </c>
      <c r="I59" s="343"/>
      <c r="J59" s="344"/>
      <c r="K59" s="345">
        <f>SUM(I59:J59)</f>
        <v>0</v>
      </c>
      <c r="L59" s="343"/>
      <c r="M59" s="344"/>
      <c r="N59" s="345">
        <f>SUM(L59:M59)</f>
        <v>0</v>
      </c>
      <c r="O59" s="346"/>
      <c r="P59" s="344"/>
      <c r="Q59" s="345">
        <f>SUM(O59:P59)</f>
        <v>0</v>
      </c>
      <c r="R59" s="159"/>
      <c r="S59" s="159"/>
      <c r="T59" s="159"/>
      <c r="U59" s="159"/>
    </row>
    <row r="60" spans="1:17" s="159" customFormat="1" ht="17.25" customHeight="1" thickBot="1" thickTop="1">
      <c r="A60" s="333" t="s">
        <v>109</v>
      </c>
      <c r="B60" s="335" t="s">
        <v>182</v>
      </c>
      <c r="C60" s="747">
        <f>C40+C45+C46+C47+C51+C52+C55+C56+C57+C58+C59</f>
        <v>1706543</v>
      </c>
      <c r="D60" s="748">
        <f aca="true" t="shared" si="24" ref="D60:Q60">D40+D45+D46+D47+D51+D52+D55+D56+D57+D58+D59</f>
        <v>-12798</v>
      </c>
      <c r="E60" s="353">
        <f t="shared" si="24"/>
        <v>1693745</v>
      </c>
      <c r="F60" s="354">
        <f t="shared" si="24"/>
        <v>607166</v>
      </c>
      <c r="G60" s="334">
        <f t="shared" si="24"/>
        <v>22603</v>
      </c>
      <c r="H60" s="353">
        <f t="shared" si="24"/>
        <v>629769</v>
      </c>
      <c r="I60" s="747">
        <f t="shared" si="24"/>
        <v>356374</v>
      </c>
      <c r="J60" s="748">
        <f t="shared" si="24"/>
        <v>-20766</v>
      </c>
      <c r="K60" s="353">
        <f t="shared" si="24"/>
        <v>335608</v>
      </c>
      <c r="L60" s="354">
        <f t="shared" si="24"/>
        <v>450473</v>
      </c>
      <c r="M60" s="334">
        <f t="shared" si="24"/>
        <v>14296</v>
      </c>
      <c r="N60" s="353">
        <f t="shared" si="24"/>
        <v>464769</v>
      </c>
      <c r="O60" s="354">
        <f t="shared" si="24"/>
        <v>221422</v>
      </c>
      <c r="P60" s="334">
        <f t="shared" si="24"/>
        <v>2731</v>
      </c>
      <c r="Q60" s="364">
        <f t="shared" si="24"/>
        <v>224153</v>
      </c>
    </row>
    <row r="61" spans="1:21" s="94" customFormat="1" ht="13.5" customHeight="1" thickBot="1" thickTop="1">
      <c r="A61" s="170"/>
      <c r="B61" s="171"/>
      <c r="C61" s="172"/>
      <c r="D61" s="172"/>
      <c r="E61" s="173"/>
      <c r="F61" s="172"/>
      <c r="G61" s="172"/>
      <c r="H61" s="173"/>
      <c r="I61" s="172"/>
      <c r="J61" s="172"/>
      <c r="K61" s="173"/>
      <c r="L61" s="172"/>
      <c r="M61" s="172"/>
      <c r="N61" s="173"/>
      <c r="O61" s="172"/>
      <c r="P61" s="172"/>
      <c r="Q61" s="173"/>
      <c r="R61" s="233"/>
      <c r="S61" s="233"/>
      <c r="T61" s="233"/>
      <c r="U61" s="233"/>
    </row>
    <row r="62" spans="1:17" s="180" customFormat="1" ht="17.25" customHeight="1" thickBot="1" thickTop="1">
      <c r="A62" s="174"/>
      <c r="B62" s="175" t="s">
        <v>593</v>
      </c>
      <c r="C62" s="176">
        <v>277</v>
      </c>
      <c r="D62" s="177"/>
      <c r="E62" s="178">
        <f>C62+D62</f>
        <v>277</v>
      </c>
      <c r="F62" s="176">
        <v>103.5</v>
      </c>
      <c r="G62" s="177"/>
      <c r="H62" s="178">
        <f>F62+G62</f>
        <v>103.5</v>
      </c>
      <c r="I62" s="176">
        <v>66</v>
      </c>
      <c r="J62" s="177"/>
      <c r="K62" s="178">
        <f>I62+J62</f>
        <v>66</v>
      </c>
      <c r="L62" s="176">
        <v>67</v>
      </c>
      <c r="M62" s="177"/>
      <c r="N62" s="178">
        <f>L62+M62</f>
        <v>67</v>
      </c>
      <c r="O62" s="176">
        <v>26.25</v>
      </c>
      <c r="P62" s="177"/>
      <c r="Q62" s="179">
        <f>SUM(O62:P62)</f>
        <v>26.25</v>
      </c>
    </row>
    <row r="63" spans="1:17" s="180" customFormat="1" ht="17.25" customHeight="1" thickBot="1" thickTop="1">
      <c r="A63" s="174"/>
      <c r="B63" s="175" t="s">
        <v>594</v>
      </c>
      <c r="C63" s="176">
        <v>0</v>
      </c>
      <c r="D63" s="177"/>
      <c r="E63" s="178">
        <f>C63+D63</f>
        <v>0</v>
      </c>
      <c r="F63" s="176">
        <v>0</v>
      </c>
      <c r="G63" s="177"/>
      <c r="H63" s="178">
        <f>F63+G63</f>
        <v>0</v>
      </c>
      <c r="I63" s="176">
        <v>0</v>
      </c>
      <c r="J63" s="177"/>
      <c r="K63" s="178">
        <f>I63+J63</f>
        <v>0</v>
      </c>
      <c r="L63" s="176">
        <v>0</v>
      </c>
      <c r="M63" s="177"/>
      <c r="N63" s="178">
        <f>L63+M63</f>
        <v>0</v>
      </c>
      <c r="O63" s="176">
        <v>0</v>
      </c>
      <c r="P63" s="177"/>
      <c r="Q63" s="179">
        <f>SUM(O63:P63)</f>
        <v>0</v>
      </c>
    </row>
    <row r="64" ht="16.5" thickTop="1">
      <c r="A64" s="408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3" width="15.875" style="94" customWidth="1"/>
    <col min="4" max="4" width="14.375" style="94" customWidth="1"/>
    <col min="5" max="8" width="15.875" style="94" customWidth="1"/>
    <col min="9" max="9" width="16.625" style="94" customWidth="1"/>
    <col min="10" max="10" width="17.125" style="94" customWidth="1"/>
    <col min="11" max="11" width="17.625" style="208" customWidth="1"/>
    <col min="12" max="12" width="15.875" style="94" customWidth="1"/>
    <col min="13" max="13" width="14.375" style="94" customWidth="1"/>
    <col min="14" max="14" width="15.875" style="94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293"/>
      <c r="B1" s="376"/>
      <c r="C1" s="376"/>
      <c r="D1" s="376"/>
      <c r="E1" s="376"/>
      <c r="F1" s="376"/>
      <c r="G1" s="376"/>
      <c r="H1" s="376"/>
      <c r="I1" s="376"/>
      <c r="J1" s="376"/>
      <c r="L1" s="376"/>
      <c r="M1" s="376"/>
      <c r="N1" s="376"/>
      <c r="O1" s="5"/>
      <c r="P1" s="136"/>
      <c r="Q1" s="1662" t="s">
        <v>879</v>
      </c>
    </row>
    <row r="2" spans="1:17" ht="12.75" customHeight="1">
      <c r="A2" s="293"/>
      <c r="B2" s="376"/>
      <c r="C2" s="376"/>
      <c r="D2" s="376"/>
      <c r="E2" s="376"/>
      <c r="F2" s="376"/>
      <c r="G2" s="376"/>
      <c r="H2" s="376"/>
      <c r="I2" s="376"/>
      <c r="J2" s="376"/>
      <c r="L2" s="376"/>
      <c r="M2" s="376"/>
      <c r="N2" s="376"/>
      <c r="O2" s="5"/>
      <c r="P2" s="136"/>
      <c r="Q2" s="1662" t="s">
        <v>93</v>
      </c>
    </row>
    <row r="3" spans="1:17" ht="10.5" customHeight="1">
      <c r="A3" s="293"/>
      <c r="B3" s="376"/>
      <c r="C3" s="376"/>
      <c r="D3" s="376"/>
      <c r="E3" s="376"/>
      <c r="F3" s="376"/>
      <c r="G3" s="376"/>
      <c r="H3" s="376"/>
      <c r="I3" s="376"/>
      <c r="J3" s="376"/>
      <c r="L3" s="376"/>
      <c r="M3" s="376"/>
      <c r="N3" s="376"/>
      <c r="O3" s="5"/>
      <c r="P3" s="182"/>
      <c r="Q3" s="1663" t="s">
        <v>132</v>
      </c>
    </row>
    <row r="4" spans="1:17" ht="20.25">
      <c r="A4" s="868" t="s">
        <v>578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7"/>
      <c r="P4" s="7"/>
      <c r="Q4" s="7"/>
    </row>
    <row r="5" spans="1:17" ht="18">
      <c r="A5" s="869" t="s">
        <v>584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"/>
      <c r="P5" s="8"/>
      <c r="Q5" s="8"/>
    </row>
    <row r="6" spans="1:17" ht="18.75" thickBot="1">
      <c r="A6" s="869"/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"/>
      <c r="P6" s="8"/>
      <c r="Q6" s="130" t="s">
        <v>134</v>
      </c>
    </row>
    <row r="7" spans="1:17" ht="32.25" customHeight="1">
      <c r="A7" s="229" t="s">
        <v>124</v>
      </c>
      <c r="B7" s="93" t="s">
        <v>125</v>
      </c>
      <c r="C7" s="1905" t="s">
        <v>52</v>
      </c>
      <c r="D7" s="1903"/>
      <c r="E7" s="1904"/>
      <c r="F7" s="1912" t="s">
        <v>564</v>
      </c>
      <c r="G7" s="1912"/>
      <c r="H7" s="1912"/>
      <c r="I7" s="1908" t="s">
        <v>194</v>
      </c>
      <c r="J7" s="1909"/>
      <c r="K7" s="1910"/>
      <c r="L7" s="1911" t="s">
        <v>338</v>
      </c>
      <c r="M7" s="1909"/>
      <c r="N7" s="1910"/>
      <c r="O7" s="1906" t="s">
        <v>161</v>
      </c>
      <c r="P7" s="1906"/>
      <c r="Q7" s="1907"/>
    </row>
    <row r="8" spans="1:17" s="26" customFormat="1" ht="27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89" customFormat="1" ht="12" thickBot="1">
      <c r="A9" s="410">
        <v>1</v>
      </c>
      <c r="B9" s="86">
        <v>2</v>
      </c>
      <c r="C9" s="871">
        <v>6</v>
      </c>
      <c r="D9" s="872">
        <v>7</v>
      </c>
      <c r="E9" s="873">
        <v>8</v>
      </c>
      <c r="F9" s="1203">
        <v>9</v>
      </c>
      <c r="G9" s="872">
        <v>10</v>
      </c>
      <c r="H9" s="1203">
        <v>11</v>
      </c>
      <c r="I9" s="871">
        <v>12</v>
      </c>
      <c r="J9" s="872">
        <v>13</v>
      </c>
      <c r="K9" s="873">
        <v>14</v>
      </c>
      <c r="L9" s="871">
        <v>15</v>
      </c>
      <c r="M9" s="872">
        <v>16</v>
      </c>
      <c r="N9" s="873">
        <v>17</v>
      </c>
      <c r="O9" s="1277">
        <v>18</v>
      </c>
      <c r="P9" s="32">
        <v>19</v>
      </c>
      <c r="Q9" s="33">
        <v>20</v>
      </c>
    </row>
    <row r="10" spans="1:17" s="26" customFormat="1" ht="18.75" thickBot="1">
      <c r="A10" s="370"/>
      <c r="B10" s="415" t="s">
        <v>129</v>
      </c>
      <c r="C10" s="371"/>
      <c r="D10" s="372"/>
      <c r="E10" s="417"/>
      <c r="F10" s="1204"/>
      <c r="G10" s="372"/>
      <c r="H10" s="1204"/>
      <c r="I10" s="371"/>
      <c r="J10" s="372"/>
      <c r="K10" s="923"/>
      <c r="L10" s="371"/>
      <c r="M10" s="372"/>
      <c r="N10" s="417"/>
      <c r="O10" s="1278"/>
      <c r="P10" s="9"/>
      <c r="Q10" s="10"/>
    </row>
    <row r="11" spans="1:17" s="180" customFormat="1" ht="17.25" customHeight="1" thickBot="1">
      <c r="A11" s="303">
        <v>1</v>
      </c>
      <c r="B11" s="295" t="s">
        <v>113</v>
      </c>
      <c r="C11" s="337">
        <v>242640</v>
      </c>
      <c r="D11" s="304">
        <v>2043</v>
      </c>
      <c r="E11" s="305">
        <f>C11+D11</f>
        <v>244683</v>
      </c>
      <c r="F11" s="320">
        <v>159706</v>
      </c>
      <c r="G11" s="304">
        <v>2301</v>
      </c>
      <c r="H11" s="1285">
        <f>F11+G11</f>
        <v>162007</v>
      </c>
      <c r="I11" s="337">
        <f>'önállóan működő'!C11+'önállóan működő'!F11+'önállóan működő'!I11+'önállóan működő'!L11+'önállóan működő'!O11+'önállóan gazd.'!C11+'önállóan gazd.'!F11</f>
        <v>2580188</v>
      </c>
      <c r="J11" s="304">
        <f>'önállóan működő'!D11+'önállóan működő'!G11+'önállóan működő'!J11+'önállóan működő'!M11+'önállóan működő'!P11+'önállóan gazd.'!D11+'önállóan gazd.'!G11</f>
        <v>3070</v>
      </c>
      <c r="K11" s="310">
        <f>'önállóan működő'!E11+'önállóan működő'!H11+'önállóan működő'!K11+'önállóan működő'!N11+'önállóan működő'!Q11+'önállóan gazd.'!E11+'önállóan gazd.'!H11</f>
        <v>2583258</v>
      </c>
      <c r="L11" s="309">
        <v>956956</v>
      </c>
      <c r="M11" s="304">
        <f>42+27016</f>
        <v>27058</v>
      </c>
      <c r="N11" s="305">
        <f>L11+M11</f>
        <v>984014</v>
      </c>
      <c r="O11" s="423">
        <f aca="true" t="shared" si="0" ref="O11:O34">I11+L11</f>
        <v>3537144</v>
      </c>
      <c r="P11" s="284">
        <f aca="true" t="shared" si="1" ref="P11:P34">J11+M11</f>
        <v>30128</v>
      </c>
      <c r="Q11" s="282">
        <f aca="true" t="shared" si="2" ref="Q11:Q34">K11+N11</f>
        <v>3567272</v>
      </c>
    </row>
    <row r="12" spans="1:18" s="181" customFormat="1" ht="17.25" customHeight="1" thickBot="1">
      <c r="A12" s="307">
        <v>2</v>
      </c>
      <c r="B12" s="315" t="s">
        <v>202</v>
      </c>
      <c r="C12" s="337">
        <v>48382</v>
      </c>
      <c r="D12" s="304">
        <v>690</v>
      </c>
      <c r="E12" s="305">
        <f>SUM(C12:D12)</f>
        <v>49072</v>
      </c>
      <c r="F12" s="304">
        <v>30304</v>
      </c>
      <c r="G12" s="304">
        <v>512</v>
      </c>
      <c r="H12" s="1284">
        <f>SUM(F12:G12)</f>
        <v>30816</v>
      </c>
      <c r="I12" s="337">
        <f>'önállóan működő'!C12+'önállóan működő'!F12+'önállóan működő'!I12+'önállóan működő'!L12+'önállóan működő'!O12+'önállóan gazd.'!C12+'önállóan gazd.'!F12</f>
        <v>523962</v>
      </c>
      <c r="J12" s="304">
        <f>'önállóan működő'!D12+'önállóan működő'!G12+'önállóan működő'!J12+'önállóan működő'!M12+'önállóan működő'!P12+'önállóan gazd.'!D12+'önállóan gazd.'!G12</f>
        <v>4217</v>
      </c>
      <c r="K12" s="310">
        <f>'önállóan működő'!E12+'önállóan működő'!H12+'önállóan működő'!K12+'önállóan működő'!N12+'önállóan működő'!Q12+'önállóan gazd.'!E12+'önállóan gazd.'!H12</f>
        <v>528179</v>
      </c>
      <c r="L12" s="309">
        <v>215062</v>
      </c>
      <c r="M12" s="304">
        <f>7-27016-13870</f>
        <v>-40879</v>
      </c>
      <c r="N12" s="305">
        <f>SUM(L12:M12)</f>
        <v>174183</v>
      </c>
      <c r="O12" s="423">
        <f t="shared" si="0"/>
        <v>739024</v>
      </c>
      <c r="P12" s="284">
        <f t="shared" si="1"/>
        <v>-36662</v>
      </c>
      <c r="Q12" s="282">
        <f t="shared" si="2"/>
        <v>702362</v>
      </c>
      <c r="R12" s="228"/>
    </row>
    <row r="13" spans="1:17" s="208" customFormat="1" ht="17.25" customHeight="1" thickBot="1">
      <c r="A13" s="307">
        <v>3</v>
      </c>
      <c r="B13" s="295" t="s">
        <v>116</v>
      </c>
      <c r="C13" s="337">
        <v>679942</v>
      </c>
      <c r="D13" s="304">
        <v>-58646</v>
      </c>
      <c r="E13" s="305">
        <f>C13+D13</f>
        <v>621296</v>
      </c>
      <c r="F13" s="1390">
        <v>261677</v>
      </c>
      <c r="G13" s="304">
        <v>-9984</v>
      </c>
      <c r="H13" s="1284">
        <f>F13+G13</f>
        <v>251693</v>
      </c>
      <c r="I13" s="337">
        <f>'önállóan működő'!C13+'önállóan működő'!F13+'önállóan működő'!I13+'önállóan működő'!L13+'önállóan működő'!O13+'önállóan gazd.'!C13+'önállóan gazd.'!F13</f>
        <v>1630190</v>
      </c>
      <c r="J13" s="304">
        <f>'önállóan működő'!D13+'önállóan működő'!G13+'önállóan működő'!J13+'önállóan működő'!M13+'önállóan működő'!P13+'önállóan gazd.'!D13+'önállóan gazd.'!G13</f>
        <v>-65377</v>
      </c>
      <c r="K13" s="310">
        <f>'önállóan működő'!E13+'önállóan működő'!H13+'önállóan működő'!K13+'önállóan működő'!N13+'önállóan működő'!Q13+'önállóan gazd.'!E13+'önállóan gazd.'!H13</f>
        <v>1564813</v>
      </c>
      <c r="L13" s="309">
        <v>275590</v>
      </c>
      <c r="M13" s="304">
        <f>20000+2700-2646+2484-116-927+40360-193+177+377+12+232+303-50130</f>
        <v>12633</v>
      </c>
      <c r="N13" s="305">
        <f>L13+M13</f>
        <v>288223</v>
      </c>
      <c r="O13" s="423">
        <f t="shared" si="0"/>
        <v>1905780</v>
      </c>
      <c r="P13" s="284">
        <f t="shared" si="1"/>
        <v>-52744</v>
      </c>
      <c r="Q13" s="282">
        <f t="shared" si="2"/>
        <v>1853036</v>
      </c>
    </row>
    <row r="14" spans="1:17" s="208" customFormat="1" ht="17.25" customHeight="1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20">
        <f>SUM(F14:G14)</f>
        <v>0</v>
      </c>
      <c r="I14" s="337">
        <f>'önállóan működő'!C14+'önállóan működő'!F14+'önállóan működő'!I14+'önállóan működő'!L14+'önállóan működő'!O14+'önállóan gazd.'!C14+'önállóan gazd.'!F14</f>
        <v>0</v>
      </c>
      <c r="J14" s="304">
        <f>'önállóan működő'!D14+'önállóan működő'!G14+'önállóan működő'!J14+'önállóan működő'!M14+'önállóan működő'!P14+'önállóan gazd.'!D14+'önállóan gazd.'!G14</f>
        <v>0</v>
      </c>
      <c r="K14" s="310">
        <f>'önállóan működő'!E14+'önállóan működő'!H14+'önállóan működő'!K14+'önállóan működő'!N14+'önállóan működő'!Q14+'önállóan gazd.'!E14+'önállóan gazd.'!H14</f>
        <v>0</v>
      </c>
      <c r="L14" s="309"/>
      <c r="M14" s="306"/>
      <c r="N14" s="310">
        <f>SUM(L14:M14)</f>
        <v>0</v>
      </c>
      <c r="O14" s="423">
        <f t="shared" si="0"/>
        <v>0</v>
      </c>
      <c r="P14" s="284">
        <f t="shared" si="1"/>
        <v>0</v>
      </c>
      <c r="Q14" s="282">
        <f t="shared" si="2"/>
        <v>0</v>
      </c>
    </row>
    <row r="15" spans="1:17" s="180" customFormat="1" ht="17.25" customHeight="1">
      <c r="A15" s="163" t="s">
        <v>98</v>
      </c>
      <c r="B15" s="152" t="s">
        <v>370</v>
      </c>
      <c r="C15" s="226">
        <v>17825</v>
      </c>
      <c r="D15" s="224"/>
      <c r="E15" s="239">
        <f>C15+D15</f>
        <v>17825</v>
      </c>
      <c r="F15" s="238"/>
      <c r="G15" s="224"/>
      <c r="H15" s="1207">
        <f aca="true" t="shared" si="3" ref="H15:H22">F15+G15</f>
        <v>0</v>
      </c>
      <c r="I15" s="1069">
        <f>'önállóan működő'!C15+'önállóan működő'!F15+'önállóan működő'!I15+'önállóan működő'!L15+'önállóan működő'!O15+'önállóan gazd.'!C15+'önállóan gazd.'!F15</f>
        <v>20693</v>
      </c>
      <c r="J15" s="224">
        <f>'önállóan működő'!D15+'önállóan működő'!G15+'önállóan működő'!J15+'önállóan működő'!M15+'önállóan működő'!P15+'önállóan gazd.'!D15+'önállóan gazd.'!G15</f>
        <v>0</v>
      </c>
      <c r="K15" s="227">
        <f>'önállóan működő'!E15+'önállóan működő'!H15+'önállóan működő'!K15+'önállóan működő'!N15+'önállóan működő'!Q15+'önállóan gazd.'!E15+'önállóan gazd.'!H15</f>
        <v>20693</v>
      </c>
      <c r="L15" s="226"/>
      <c r="M15" s="224"/>
      <c r="N15" s="239">
        <f>L15+M15</f>
        <v>0</v>
      </c>
      <c r="O15" s="1279">
        <f t="shared" si="0"/>
        <v>20693</v>
      </c>
      <c r="P15" s="291">
        <f t="shared" si="1"/>
        <v>0</v>
      </c>
      <c r="Q15" s="350">
        <f t="shared" si="2"/>
        <v>20693</v>
      </c>
    </row>
    <row r="16" spans="1:17" s="180" customFormat="1" ht="17.25" customHeight="1">
      <c r="A16" s="160" t="s">
        <v>99</v>
      </c>
      <c r="B16" s="156" t="s">
        <v>554</v>
      </c>
      <c r="C16" s="150"/>
      <c r="D16" s="146"/>
      <c r="E16" s="239">
        <f>C16+D16</f>
        <v>0</v>
      </c>
      <c r="F16" s="148"/>
      <c r="G16" s="146"/>
      <c r="H16" s="1207">
        <f t="shared" si="3"/>
        <v>0</v>
      </c>
      <c r="I16" s="1069">
        <f>'önállóan működő'!C16+'önállóan működő'!F16+'önállóan működő'!I16+'önállóan működő'!L16+'önállóan működő'!O16+'önállóan gazd.'!C16+'önállóan gazd.'!F16</f>
        <v>0</v>
      </c>
      <c r="J16" s="224">
        <f>'önállóan működő'!D16+'önállóan működő'!G16+'önállóan működő'!J16+'önállóan működő'!M16+'önállóan működő'!P16+'önállóan gazd.'!D16+'önállóan gazd.'!G16</f>
        <v>0</v>
      </c>
      <c r="K16" s="227">
        <f>'önállóan működő'!E16+'önállóan működő'!H16+'önállóan működő'!K16+'önállóan működő'!N16+'önállóan működő'!Q16+'önállóan gazd.'!E16+'önállóan gazd.'!H16</f>
        <v>0</v>
      </c>
      <c r="L16" s="150"/>
      <c r="M16" s="146"/>
      <c r="N16" s="239">
        <f>L16+M16</f>
        <v>0</v>
      </c>
      <c r="O16" s="1279">
        <f t="shared" si="0"/>
        <v>0</v>
      </c>
      <c r="P16" s="291">
        <f t="shared" si="1"/>
        <v>0</v>
      </c>
      <c r="Q16" s="350">
        <f t="shared" si="2"/>
        <v>0</v>
      </c>
    </row>
    <row r="17" spans="1:17" s="180" customFormat="1" ht="17.25" customHeight="1">
      <c r="A17" s="160" t="s">
        <v>100</v>
      </c>
      <c r="B17" s="156" t="s">
        <v>555</v>
      </c>
      <c r="C17" s="150"/>
      <c r="D17" s="146"/>
      <c r="E17" s="239">
        <f aca="true" t="shared" si="4" ref="E17:E22">C17+D17</f>
        <v>0</v>
      </c>
      <c r="F17" s="148"/>
      <c r="G17" s="146"/>
      <c r="H17" s="1207">
        <f t="shared" si="3"/>
        <v>0</v>
      </c>
      <c r="I17" s="1069">
        <f>'önállóan működő'!C17+'önállóan működő'!F17+'önállóan működő'!I17+'önállóan működő'!L17+'önállóan működő'!O17+'önállóan gazd.'!C17+'önállóan gazd.'!F17</f>
        <v>0</v>
      </c>
      <c r="J17" s="224">
        <f>'önállóan működő'!D17+'önállóan működő'!G17+'önállóan működő'!J17+'önállóan működő'!M17+'önállóan működő'!P17+'önállóan gazd.'!D17+'önállóan gazd.'!G17</f>
        <v>0</v>
      </c>
      <c r="K17" s="227">
        <f>'önállóan működő'!E17+'önállóan működő'!H17+'önállóan működő'!K17+'önállóan működő'!N17+'önállóan működő'!Q17+'önállóan gazd.'!E17+'önállóan gazd.'!H17</f>
        <v>0</v>
      </c>
      <c r="L17" s="150"/>
      <c r="M17" s="146"/>
      <c r="N17" s="239">
        <f aca="true" t="shared" si="5" ref="N17:N22">L17+M17</f>
        <v>0</v>
      </c>
      <c r="O17" s="1279">
        <f t="shared" si="0"/>
        <v>0</v>
      </c>
      <c r="P17" s="291">
        <f t="shared" si="1"/>
        <v>0</v>
      </c>
      <c r="Q17" s="350">
        <f t="shared" si="2"/>
        <v>0</v>
      </c>
    </row>
    <row r="18" spans="1:17" s="180" customFormat="1" ht="17.25" customHeight="1">
      <c r="A18" s="160" t="s">
        <v>101</v>
      </c>
      <c r="B18" s="154" t="s">
        <v>371</v>
      </c>
      <c r="C18" s="150"/>
      <c r="D18" s="146"/>
      <c r="E18" s="239">
        <f t="shared" si="4"/>
        <v>0</v>
      </c>
      <c r="F18" s="148"/>
      <c r="G18" s="146"/>
      <c r="H18" s="1207">
        <f t="shared" si="3"/>
        <v>0</v>
      </c>
      <c r="I18" s="1069">
        <f>'önállóan működő'!C18+'önállóan működő'!F18+'önállóan működő'!I18+'önállóan működő'!L18+'önállóan működő'!O18+'önállóan gazd.'!C18+'önállóan gazd.'!F18</f>
        <v>0</v>
      </c>
      <c r="J18" s="224">
        <f>'önállóan működő'!D18+'önállóan működő'!G18+'önállóan működő'!J18+'önállóan működő'!M18+'önállóan működő'!P18+'önállóan gazd.'!D18+'önállóan gazd.'!G18</f>
        <v>0</v>
      </c>
      <c r="K18" s="227">
        <f>'önállóan működő'!E18+'önállóan működő'!H18+'önállóan működő'!K18+'önállóan működő'!N18+'önállóan működő'!Q18+'önállóan gazd.'!E18+'önállóan gazd.'!H18</f>
        <v>0</v>
      </c>
      <c r="L18" s="150"/>
      <c r="M18" s="146"/>
      <c r="N18" s="239">
        <f t="shared" si="5"/>
        <v>0</v>
      </c>
      <c r="O18" s="1279">
        <f t="shared" si="0"/>
        <v>0</v>
      </c>
      <c r="P18" s="291">
        <f t="shared" si="1"/>
        <v>0</v>
      </c>
      <c r="Q18" s="350">
        <f t="shared" si="2"/>
        <v>0</v>
      </c>
    </row>
    <row r="19" spans="1:17" s="180" customFormat="1" ht="17.25" customHeight="1">
      <c r="A19" s="155" t="s">
        <v>192</v>
      </c>
      <c r="B19" s="156" t="s">
        <v>556</v>
      </c>
      <c r="C19" s="148"/>
      <c r="D19" s="146"/>
      <c r="E19" s="239">
        <f>C19+D19</f>
        <v>0</v>
      </c>
      <c r="F19" s="148"/>
      <c r="G19" s="146"/>
      <c r="H19" s="1207">
        <f t="shared" si="3"/>
        <v>0</v>
      </c>
      <c r="I19" s="1069">
        <f>'önállóan működő'!C19+'önállóan működő'!F19+'önállóan működő'!I19+'önállóan működő'!L19+'önállóan működő'!O19+'önállóan gazd.'!C19+'önállóan gazd.'!F19</f>
        <v>0</v>
      </c>
      <c r="J19" s="224">
        <f>'önállóan működő'!D19+'önállóan működő'!G19+'önállóan működő'!J19+'önállóan működő'!M19+'önállóan működő'!P19+'önállóan gazd.'!D19+'önállóan gazd.'!G19</f>
        <v>0</v>
      </c>
      <c r="K19" s="227">
        <f>'önállóan működő'!E19+'önállóan működő'!H19+'önállóan működő'!K19+'önállóan működő'!N19+'önállóan működő'!Q19+'önállóan gazd.'!E19+'önállóan gazd.'!H19</f>
        <v>0</v>
      </c>
      <c r="L19" s="150"/>
      <c r="M19" s="146"/>
      <c r="N19" s="239">
        <f>L19+M19</f>
        <v>0</v>
      </c>
      <c r="O19" s="1279">
        <f t="shared" si="0"/>
        <v>0</v>
      </c>
      <c r="P19" s="291">
        <f t="shared" si="1"/>
        <v>0</v>
      </c>
      <c r="Q19" s="350">
        <f t="shared" si="2"/>
        <v>0</v>
      </c>
    </row>
    <row r="20" spans="1:17" s="180" customFormat="1" ht="17.25" customHeight="1">
      <c r="A20" s="155" t="s">
        <v>327</v>
      </c>
      <c r="B20" s="156" t="s">
        <v>557</v>
      </c>
      <c r="C20" s="148"/>
      <c r="D20" s="146"/>
      <c r="E20" s="239">
        <f t="shared" si="4"/>
        <v>0</v>
      </c>
      <c r="F20" s="148"/>
      <c r="G20" s="146"/>
      <c r="H20" s="1207">
        <f t="shared" si="3"/>
        <v>0</v>
      </c>
      <c r="I20" s="1069">
        <f>'önállóan működő'!C20+'önállóan működő'!F20+'önállóan működő'!I20+'önállóan működő'!L20+'önállóan működő'!O20+'önállóan gazd.'!C20+'önállóan gazd.'!F20</f>
        <v>0</v>
      </c>
      <c r="J20" s="224">
        <f>'önállóan működő'!D20+'önállóan működő'!G20+'önállóan működő'!J20+'önállóan működő'!M20+'önállóan működő'!P20+'önállóan gazd.'!D20+'önállóan gazd.'!G20</f>
        <v>0</v>
      </c>
      <c r="K20" s="227">
        <f>'önállóan működő'!E20+'önállóan működő'!H20+'önállóan működő'!K20+'önállóan működő'!N20+'önállóan működő'!Q20+'önállóan gazd.'!E20+'önállóan gazd.'!H20</f>
        <v>0</v>
      </c>
      <c r="L20" s="150"/>
      <c r="M20" s="146"/>
      <c r="N20" s="239">
        <f t="shared" si="5"/>
        <v>0</v>
      </c>
      <c r="O20" s="1279">
        <f t="shared" si="0"/>
        <v>0</v>
      </c>
      <c r="P20" s="291">
        <f t="shared" si="1"/>
        <v>0</v>
      </c>
      <c r="Q20" s="350">
        <f t="shared" si="2"/>
        <v>0</v>
      </c>
    </row>
    <row r="21" spans="1:17" s="180" customFormat="1" ht="17.25" customHeight="1">
      <c r="A21" s="155" t="s">
        <v>328</v>
      </c>
      <c r="B21" s="154" t="s">
        <v>372</v>
      </c>
      <c r="C21" s="859"/>
      <c r="D21" s="146"/>
      <c r="E21" s="350">
        <f t="shared" si="4"/>
        <v>0</v>
      </c>
      <c r="F21" s="859"/>
      <c r="G21" s="146"/>
      <c r="H21" s="1205">
        <f t="shared" si="3"/>
        <v>0</v>
      </c>
      <c r="I21" s="1069">
        <f>'önállóan működő'!C21+'önállóan működő'!F21+'önállóan működő'!I21+'önállóan működő'!L21+'önállóan működő'!O21+'önállóan gazd.'!C21+'önállóan gazd.'!F21</f>
        <v>0</v>
      </c>
      <c r="J21" s="224">
        <f>'önállóan működő'!D21+'önállóan működő'!G21+'önállóan működő'!J21+'önállóan működő'!M21+'önállóan működő'!P21+'önállóan gazd.'!D21+'önállóan gazd.'!G21</f>
        <v>0</v>
      </c>
      <c r="K21" s="227">
        <f>'önállóan működő'!E21+'önállóan működő'!H21+'önállóan működő'!K21+'önállóan működő'!N21+'önállóan működő'!Q21+'önállóan gazd.'!E21+'önállóan gazd.'!H21</f>
        <v>0</v>
      </c>
      <c r="L21" s="150">
        <v>43</v>
      </c>
      <c r="M21" s="146"/>
      <c r="N21" s="239">
        <f t="shared" si="5"/>
        <v>43</v>
      </c>
      <c r="O21" s="1279">
        <f t="shared" si="0"/>
        <v>43</v>
      </c>
      <c r="P21" s="291">
        <f t="shared" si="1"/>
        <v>0</v>
      </c>
      <c r="Q21" s="350">
        <f t="shared" si="2"/>
        <v>43</v>
      </c>
    </row>
    <row r="22" spans="1:17" s="180" customFormat="1" ht="15" customHeight="1" thickBot="1">
      <c r="A22" s="16" t="s">
        <v>69</v>
      </c>
      <c r="B22" s="324" t="s">
        <v>373</v>
      </c>
      <c r="C22" s="860"/>
      <c r="D22" s="158"/>
      <c r="E22" s="350">
        <f t="shared" si="4"/>
        <v>0</v>
      </c>
      <c r="F22" s="860"/>
      <c r="G22" s="158"/>
      <c r="H22" s="1205">
        <f t="shared" si="3"/>
        <v>0</v>
      </c>
      <c r="I22" s="1069">
        <f>'önállóan működő'!C22+'önállóan működő'!F22+'önállóan működő'!I22+'önállóan működő'!L22+'önállóan működő'!O22+'önállóan gazd.'!C22+'önállóan gazd.'!F22</f>
        <v>0</v>
      </c>
      <c r="J22" s="224">
        <f>'önállóan működő'!D22+'önállóan működő'!G22+'önállóan működő'!J22+'önállóan működő'!M22+'önállóan működő'!P22+'önállóan gazd.'!D22+'önállóan gazd.'!G22</f>
        <v>0</v>
      </c>
      <c r="K22" s="227">
        <f>'önállóan működő'!E22+'önállóan működő'!H22+'önállóan működő'!K22+'önállóan működő'!N22+'önállóan működő'!Q22+'önállóan gazd.'!E22+'önállóan gazd.'!H22</f>
        <v>0</v>
      </c>
      <c r="L22" s="881"/>
      <c r="M22" s="158"/>
      <c r="N22" s="350">
        <f t="shared" si="5"/>
        <v>0</v>
      </c>
      <c r="O22" s="1279">
        <f t="shared" si="0"/>
        <v>0</v>
      </c>
      <c r="P22" s="291">
        <f t="shared" si="1"/>
        <v>0</v>
      </c>
      <c r="Q22" s="350">
        <f t="shared" si="2"/>
        <v>0</v>
      </c>
    </row>
    <row r="23" spans="1:17" s="208" customFormat="1" ht="17.25" customHeight="1" thickBot="1">
      <c r="A23" s="307">
        <v>5</v>
      </c>
      <c r="B23" s="295" t="s">
        <v>171</v>
      </c>
      <c r="C23" s="320">
        <f aca="true" t="shared" si="6" ref="C23:N23">SUM(C15:C22)</f>
        <v>17825</v>
      </c>
      <c r="D23" s="304">
        <f t="shared" si="6"/>
        <v>0</v>
      </c>
      <c r="E23" s="320">
        <f t="shared" si="6"/>
        <v>17825</v>
      </c>
      <c r="F23" s="337">
        <f t="shared" si="6"/>
        <v>0</v>
      </c>
      <c r="G23" s="304">
        <f t="shared" si="6"/>
        <v>0</v>
      </c>
      <c r="H23" s="320">
        <f t="shared" si="6"/>
        <v>0</v>
      </c>
      <c r="I23" s="337">
        <f t="shared" si="6"/>
        <v>20693</v>
      </c>
      <c r="J23" s="304">
        <f t="shared" si="6"/>
        <v>0</v>
      </c>
      <c r="K23" s="310">
        <f t="shared" si="6"/>
        <v>20693</v>
      </c>
      <c r="L23" s="337">
        <f t="shared" si="6"/>
        <v>43</v>
      </c>
      <c r="M23" s="304">
        <f t="shared" si="6"/>
        <v>0</v>
      </c>
      <c r="N23" s="310">
        <f t="shared" si="6"/>
        <v>43</v>
      </c>
      <c r="O23" s="423">
        <f t="shared" si="0"/>
        <v>20736</v>
      </c>
      <c r="P23" s="284">
        <f t="shared" si="1"/>
        <v>0</v>
      </c>
      <c r="Q23" s="282">
        <f t="shared" si="2"/>
        <v>20736</v>
      </c>
    </row>
    <row r="24" spans="1:17" s="180" customFormat="1" ht="17.25" customHeight="1" thickBot="1">
      <c r="A24" s="303">
        <v>6</v>
      </c>
      <c r="B24" s="295" t="s">
        <v>174</v>
      </c>
      <c r="C24" s="308">
        <v>5096</v>
      </c>
      <c r="D24" s="304"/>
      <c r="E24" s="282">
        <f aca="true" t="shared" si="7" ref="E24:E30">C24+D24</f>
        <v>5096</v>
      </c>
      <c r="F24" s="320">
        <v>33945</v>
      </c>
      <c r="G24" s="304">
        <v>-2388</v>
      </c>
      <c r="H24" s="1285">
        <f aca="true" t="shared" si="8" ref="H24:H30">F24+G24</f>
        <v>31557</v>
      </c>
      <c r="I24" s="337">
        <f>'önállóan működő'!C24+'önállóan működő'!F24+'önállóan működő'!I24+'önállóan működő'!L24+'önállóan működő'!O24+'önállóan gazd.'!C24+'önállóan gazd.'!F24</f>
        <v>66462</v>
      </c>
      <c r="J24" s="304">
        <f>'önállóan működő'!D24+'önállóan működő'!G24+'önállóan működő'!J24+'önállóan működő'!M24+'önállóan működő'!P24+'önállóan gazd.'!D24+'önállóan gazd.'!G24</f>
        <v>-1316</v>
      </c>
      <c r="K24" s="310">
        <f>'önállóan működő'!E24+'önállóan működő'!H24+'önállóan működő'!K24+'önállóan működő'!N24+'önállóan működő'!Q24+'önállóan gazd.'!E24+'önállóan gazd.'!H24</f>
        <v>65146</v>
      </c>
      <c r="L24" s="337">
        <v>17085</v>
      </c>
      <c r="M24" s="304">
        <f>-2700+2700+2646-2484+116+694-177-377-12-232+193</f>
        <v>367</v>
      </c>
      <c r="N24" s="282">
        <f aca="true" t="shared" si="9" ref="N24:N30">L24+M24</f>
        <v>17452</v>
      </c>
      <c r="O24" s="423">
        <f t="shared" si="0"/>
        <v>83547</v>
      </c>
      <c r="P24" s="284">
        <f t="shared" si="1"/>
        <v>-949</v>
      </c>
      <c r="Q24" s="282">
        <f t="shared" si="2"/>
        <v>82598</v>
      </c>
    </row>
    <row r="25" spans="1:17" s="208" customFormat="1" ht="17.25" customHeight="1" thickBot="1">
      <c r="A25" s="303">
        <v>7</v>
      </c>
      <c r="B25" s="295" t="s">
        <v>421</v>
      </c>
      <c r="C25" s="337"/>
      <c r="D25" s="304"/>
      <c r="E25" s="282">
        <f t="shared" si="7"/>
        <v>0</v>
      </c>
      <c r="F25" s="320">
        <v>18646</v>
      </c>
      <c r="G25" s="304"/>
      <c r="H25" s="1285">
        <f t="shared" si="8"/>
        <v>18646</v>
      </c>
      <c r="I25" s="337">
        <f>'önállóan működő'!C25+'önállóan működő'!F25+'önállóan működő'!I25+'önállóan működő'!L25+'önállóan működő'!O25+'önállóan gazd.'!C25+'önállóan gazd.'!F25</f>
        <v>18646</v>
      </c>
      <c r="J25" s="304">
        <f>'önállóan működő'!D25+'önállóan működő'!G25+'önállóan működő'!J25+'önállóan működő'!M25+'önállóan működő'!P25+'önállóan gazd.'!D25+'önállóan gazd.'!G25</f>
        <v>0</v>
      </c>
      <c r="K25" s="310">
        <f>'önállóan működő'!E25+'önállóan működő'!H25+'önállóan működő'!K25+'önállóan működő'!N25+'önállóan működő'!Q25+'önállóan gazd.'!E25+'önállóan gazd.'!H25</f>
        <v>18646</v>
      </c>
      <c r="L25" s="337"/>
      <c r="M25" s="304">
        <v>233</v>
      </c>
      <c r="N25" s="282">
        <f t="shared" si="9"/>
        <v>233</v>
      </c>
      <c r="O25" s="423">
        <f t="shared" si="0"/>
        <v>18646</v>
      </c>
      <c r="P25" s="284">
        <f t="shared" si="1"/>
        <v>233</v>
      </c>
      <c r="Q25" s="282">
        <f t="shared" si="2"/>
        <v>18879</v>
      </c>
    </row>
    <row r="26" spans="1:17" s="180" customFormat="1" ht="17.25" customHeight="1">
      <c r="A26" s="163" t="s">
        <v>98</v>
      </c>
      <c r="B26" s="156" t="s">
        <v>560</v>
      </c>
      <c r="C26" s="1069"/>
      <c r="D26" s="224"/>
      <c r="E26" s="350">
        <f t="shared" si="7"/>
        <v>0</v>
      </c>
      <c r="F26" s="861"/>
      <c r="G26" s="224"/>
      <c r="H26" s="1205">
        <f t="shared" si="8"/>
        <v>0</v>
      </c>
      <c r="I26" s="1069">
        <f>'önállóan működő'!C26+'önállóan működő'!F26+'önállóan működő'!I26+'önállóan működő'!L26+'önállóan működő'!O26+'önállóan gazd.'!C26+'önállóan gazd.'!F26</f>
        <v>0</v>
      </c>
      <c r="J26" s="224">
        <f>'önállóan működő'!D26+'önállóan működő'!G26+'önállóan működő'!J26+'önállóan működő'!M26+'önállóan működő'!P26+'önállóan gazd.'!D26+'önállóan gazd.'!G26</f>
        <v>0</v>
      </c>
      <c r="K26" s="227">
        <f>'önállóan működő'!E26+'önállóan működő'!H26+'önállóan működő'!K26+'önállóan működő'!N26+'önállóan működő'!Q26+'önállóan gazd.'!E26+'önállóan gazd.'!H26</f>
        <v>0</v>
      </c>
      <c r="L26" s="1069"/>
      <c r="M26" s="224"/>
      <c r="N26" s="350">
        <f t="shared" si="9"/>
        <v>0</v>
      </c>
      <c r="O26" s="1279">
        <f t="shared" si="0"/>
        <v>0</v>
      </c>
      <c r="P26" s="291">
        <f t="shared" si="1"/>
        <v>0</v>
      </c>
      <c r="Q26" s="350">
        <f t="shared" si="2"/>
        <v>0</v>
      </c>
    </row>
    <row r="27" spans="1:17" s="180" customFormat="1" ht="17.25" customHeight="1">
      <c r="A27" s="163" t="s">
        <v>99</v>
      </c>
      <c r="B27" s="156" t="s">
        <v>558</v>
      </c>
      <c r="C27" s="1069"/>
      <c r="D27" s="224"/>
      <c r="E27" s="350">
        <f t="shared" si="7"/>
        <v>0</v>
      </c>
      <c r="F27" s="861"/>
      <c r="G27" s="224"/>
      <c r="H27" s="1205">
        <f t="shared" si="8"/>
        <v>0</v>
      </c>
      <c r="I27" s="1069">
        <f>'önállóan működő'!C27+'önállóan működő'!F27+'önállóan működő'!I27+'önállóan működő'!L27+'önállóan működő'!O27+'önállóan gazd.'!C27+'önállóan gazd.'!F27</f>
        <v>0</v>
      </c>
      <c r="J27" s="224">
        <f>'önállóan működő'!D27+'önállóan működő'!G27+'önállóan működő'!J27+'önállóan működő'!M27+'önállóan működő'!P27+'önállóan gazd.'!D27+'önállóan gazd.'!G27</f>
        <v>0</v>
      </c>
      <c r="K27" s="227">
        <f>'önállóan működő'!E27+'önállóan működő'!H27+'önállóan működő'!K27+'önállóan működő'!N27+'önállóan működő'!Q27+'önállóan gazd.'!E27+'önállóan gazd.'!H27</f>
        <v>0</v>
      </c>
      <c r="L27" s="1069"/>
      <c r="M27" s="224"/>
      <c r="N27" s="350">
        <f t="shared" si="9"/>
        <v>0</v>
      </c>
      <c r="O27" s="1279">
        <f t="shared" si="0"/>
        <v>0</v>
      </c>
      <c r="P27" s="291">
        <f t="shared" si="1"/>
        <v>0</v>
      </c>
      <c r="Q27" s="350">
        <f t="shared" si="2"/>
        <v>0</v>
      </c>
    </row>
    <row r="28" spans="1:17" s="180" customFormat="1" ht="17.25" customHeight="1">
      <c r="A28" s="163" t="s">
        <v>100</v>
      </c>
      <c r="B28" s="154" t="s">
        <v>374</v>
      </c>
      <c r="C28" s="1069"/>
      <c r="D28" s="224"/>
      <c r="E28" s="350">
        <f t="shared" si="7"/>
        <v>0</v>
      </c>
      <c r="F28" s="861"/>
      <c r="G28" s="224"/>
      <c r="H28" s="1205">
        <f t="shared" si="8"/>
        <v>0</v>
      </c>
      <c r="I28" s="1069">
        <f>'önállóan működő'!C28+'önállóan működő'!F28+'önállóan működő'!I28+'önállóan működő'!L28+'önállóan működő'!O28+'önállóan gazd.'!C28+'önállóan gazd.'!F28</f>
        <v>0</v>
      </c>
      <c r="J28" s="224">
        <f>'önállóan működő'!D28+'önállóan működő'!G28+'önállóan működő'!J28+'önállóan működő'!M28+'önállóan működő'!P28+'önállóan gazd.'!D28+'önállóan gazd.'!G28</f>
        <v>0</v>
      </c>
      <c r="K28" s="227">
        <f>'önállóan működő'!E28+'önállóan működő'!H28+'önállóan működő'!K28+'önállóan működő'!N28+'önállóan működő'!Q28+'önállóan gazd.'!E28+'önállóan gazd.'!H28</f>
        <v>0</v>
      </c>
      <c r="L28" s="1069"/>
      <c r="M28" s="224"/>
      <c r="N28" s="350">
        <f t="shared" si="9"/>
        <v>0</v>
      </c>
      <c r="O28" s="1279">
        <f t="shared" si="0"/>
        <v>0</v>
      </c>
      <c r="P28" s="291">
        <f t="shared" si="1"/>
        <v>0</v>
      </c>
      <c r="Q28" s="350">
        <f t="shared" si="2"/>
        <v>0</v>
      </c>
    </row>
    <row r="29" spans="1:17" s="180" customFormat="1" ht="17.25" customHeight="1">
      <c r="A29" s="163" t="s">
        <v>101</v>
      </c>
      <c r="B29" s="156" t="s">
        <v>559</v>
      </c>
      <c r="C29" s="1069"/>
      <c r="D29" s="224"/>
      <c r="E29" s="1205">
        <f t="shared" si="7"/>
        <v>0</v>
      </c>
      <c r="F29" s="150"/>
      <c r="G29" s="146"/>
      <c r="H29" s="424">
        <f t="shared" si="8"/>
        <v>0</v>
      </c>
      <c r="I29" s="1069">
        <f>'önállóan működő'!C29+'önállóan működő'!F29+'önállóan működő'!I29+'önállóan működő'!L29+'önállóan működő'!O29+'önállóan gazd.'!C29+'önállóan gazd.'!F29</f>
        <v>0</v>
      </c>
      <c r="J29" s="224">
        <f>'önállóan működő'!D29+'önállóan működő'!G29+'önállóan működő'!J29+'önállóan működő'!M29+'önállóan működő'!P29+'önállóan gazd.'!D29+'önállóan gazd.'!G29</f>
        <v>0</v>
      </c>
      <c r="K29" s="227">
        <f>'önállóan működő'!E29+'önállóan működő'!H29+'önállóan működő'!K29+'önállóan működő'!N29+'önállóan működő'!Q29+'önállóan gazd.'!E29+'önállóan gazd.'!H29</f>
        <v>0</v>
      </c>
      <c r="L29" s="1069"/>
      <c r="M29" s="224"/>
      <c r="N29" s="350">
        <f t="shared" si="9"/>
        <v>0</v>
      </c>
      <c r="O29" s="1279">
        <f t="shared" si="0"/>
        <v>0</v>
      </c>
      <c r="P29" s="291">
        <f t="shared" si="1"/>
        <v>0</v>
      </c>
      <c r="Q29" s="350">
        <f t="shared" si="2"/>
        <v>0</v>
      </c>
    </row>
    <row r="30" spans="1:17" s="180" customFormat="1" ht="17.25" customHeight="1" thickBot="1">
      <c r="A30" s="325" t="s">
        <v>192</v>
      </c>
      <c r="B30" s="154" t="s">
        <v>375</v>
      </c>
      <c r="C30" s="1070"/>
      <c r="D30" s="311"/>
      <c r="E30" s="1206">
        <f t="shared" si="7"/>
        <v>0</v>
      </c>
      <c r="F30" s="313"/>
      <c r="G30" s="311"/>
      <c r="H30" s="351">
        <f t="shared" si="8"/>
        <v>0</v>
      </c>
      <c r="I30" s="1069">
        <f>'önállóan működő'!C30+'önállóan működő'!F30+'önállóan működő'!I30+'önállóan működő'!L30+'önállóan működő'!O30+'önállóan gazd.'!C30+'önállóan gazd.'!F30</f>
        <v>0</v>
      </c>
      <c r="J30" s="224">
        <f>'önállóan működő'!D30+'önállóan működő'!G30+'önállóan működő'!J30+'önállóan működő'!M30+'önállóan működő'!P30+'önállóan gazd.'!D30+'önállóan gazd.'!G30</f>
        <v>0</v>
      </c>
      <c r="K30" s="227">
        <f>'önállóan működő'!E30+'önállóan működő'!H30+'önállóan működő'!K30+'önállóan működő'!N30+'önállóan működő'!Q30+'önállóan gazd.'!E30+'önállóan gazd.'!H30</f>
        <v>0</v>
      </c>
      <c r="L30" s="1070"/>
      <c r="M30" s="311"/>
      <c r="N30" s="351">
        <f t="shared" si="9"/>
        <v>0</v>
      </c>
      <c r="O30" s="1279">
        <f t="shared" si="0"/>
        <v>0</v>
      </c>
      <c r="P30" s="291">
        <f t="shared" si="1"/>
        <v>0</v>
      </c>
      <c r="Q30" s="350">
        <f t="shared" si="2"/>
        <v>0</v>
      </c>
    </row>
    <row r="31" spans="1:17" s="208" customFormat="1" ht="17.25" customHeight="1" thickBot="1">
      <c r="A31" s="303">
        <v>8</v>
      </c>
      <c r="B31" s="295" t="s">
        <v>173</v>
      </c>
      <c r="C31" s="337">
        <f aca="true" t="shared" si="10" ref="C31:N31">SUM(C26:C30)</f>
        <v>0</v>
      </c>
      <c r="D31" s="304">
        <f t="shared" si="10"/>
        <v>0</v>
      </c>
      <c r="E31" s="320">
        <f t="shared" si="10"/>
        <v>0</v>
      </c>
      <c r="F31" s="309">
        <f t="shared" si="10"/>
        <v>0</v>
      </c>
      <c r="G31" s="304">
        <f t="shared" si="10"/>
        <v>0</v>
      </c>
      <c r="H31" s="310">
        <f t="shared" si="10"/>
        <v>0</v>
      </c>
      <c r="I31" s="337">
        <f t="shared" si="10"/>
        <v>0</v>
      </c>
      <c r="J31" s="304">
        <f t="shared" si="10"/>
        <v>0</v>
      </c>
      <c r="K31" s="310">
        <f t="shared" si="10"/>
        <v>0</v>
      </c>
      <c r="L31" s="337">
        <f t="shared" si="10"/>
        <v>0</v>
      </c>
      <c r="M31" s="304">
        <f t="shared" si="10"/>
        <v>0</v>
      </c>
      <c r="N31" s="310">
        <f t="shared" si="10"/>
        <v>0</v>
      </c>
      <c r="O31" s="423">
        <f t="shared" si="0"/>
        <v>0</v>
      </c>
      <c r="P31" s="284">
        <f t="shared" si="1"/>
        <v>0</v>
      </c>
      <c r="Q31" s="282">
        <f t="shared" si="2"/>
        <v>0</v>
      </c>
    </row>
    <row r="32" spans="1:17" s="180" customFormat="1" ht="17.25" customHeight="1" thickBot="1">
      <c r="A32" s="303">
        <v>9</v>
      </c>
      <c r="B32" s="295" t="s">
        <v>179</v>
      </c>
      <c r="C32" s="337"/>
      <c r="D32" s="304"/>
      <c r="E32" s="1285">
        <f>C32+D32</f>
        <v>0</v>
      </c>
      <c r="F32" s="309"/>
      <c r="G32" s="304"/>
      <c r="H32" s="282">
        <f>F32+G32</f>
        <v>0</v>
      </c>
      <c r="I32" s="337">
        <f>'önállóan működő'!C32+'önállóan működő'!F32+'önállóan működő'!I32+'önállóan működő'!L32+'önállóan működő'!O32+'önállóan gazd.'!C32+'önállóan gazd.'!F32</f>
        <v>0</v>
      </c>
      <c r="J32" s="304">
        <f>'önállóan működő'!D32+'önállóan működő'!G32+'önállóan működő'!J32+'önállóan működő'!M32+'önállóan működő'!P32+'önállóan gazd.'!D32+'önállóan gazd.'!G32</f>
        <v>0</v>
      </c>
      <c r="K32" s="310">
        <f>'önállóan működő'!E32+'önállóan működő'!H32+'önállóan működő'!K32+'önállóan működő'!N32+'önállóan működő'!Q32+'önállóan gazd.'!E32+'önállóan gazd.'!H32</f>
        <v>0</v>
      </c>
      <c r="L32" s="337"/>
      <c r="M32" s="304"/>
      <c r="N32" s="282">
        <f>L32+M32</f>
        <v>0</v>
      </c>
      <c r="O32" s="423">
        <f t="shared" si="0"/>
        <v>0</v>
      </c>
      <c r="P32" s="284">
        <f t="shared" si="1"/>
        <v>0</v>
      </c>
      <c r="Q32" s="282">
        <f t="shared" si="2"/>
        <v>0</v>
      </c>
    </row>
    <row r="33" spans="1:17" s="159" customFormat="1" ht="17.25" customHeight="1" thickBot="1">
      <c r="A33" s="357">
        <v>10</v>
      </c>
      <c r="B33" s="358"/>
      <c r="C33" s="165"/>
      <c r="D33" s="359"/>
      <c r="E33" s="287">
        <f>SUM(C33:D33)</f>
        <v>0</v>
      </c>
      <c r="F33" s="1295"/>
      <c r="G33" s="359"/>
      <c r="H33" s="1101">
        <f>SUM(F33:G33)</f>
        <v>0</v>
      </c>
      <c r="I33" s="1085">
        <f>'önállóan működő'!C33+'önállóan működő'!F33+'önállóan működő'!I33+'önállóan működő'!L33+'önállóan működő'!O33+'önállóan gazd.'!C33+'önállóan gazd.'!F33</f>
        <v>0</v>
      </c>
      <c r="J33" s="365">
        <f>'önállóan működő'!D33+'önállóan működő'!G33+'önállóan működő'!J33+'önállóan működő'!M33+'önállóan működő'!P33+'önállóan gazd.'!D33+'önállóan gazd.'!G33</f>
        <v>0</v>
      </c>
      <c r="K33" s="366">
        <f>'önállóan működő'!E33+'önállóan működő'!H33+'önállóan működő'!K33+'önállóan működő'!N33+'önállóan működő'!Q33+'önállóan gazd.'!E33+'önállóan gazd.'!H33</f>
        <v>0</v>
      </c>
      <c r="L33" s="165"/>
      <c r="M33" s="359"/>
      <c r="N33" s="1101">
        <f>SUM(L33:M33)</f>
        <v>0</v>
      </c>
      <c r="O33" s="423">
        <f t="shared" si="0"/>
        <v>0</v>
      </c>
      <c r="P33" s="284">
        <f t="shared" si="1"/>
        <v>0</v>
      </c>
      <c r="Q33" s="282">
        <f t="shared" si="2"/>
        <v>0</v>
      </c>
    </row>
    <row r="34" spans="1:18" s="167" customFormat="1" ht="17.25" customHeight="1" thickBot="1" thickTop="1">
      <c r="A34" s="333" t="s">
        <v>108</v>
      </c>
      <c r="B34" s="356" t="s">
        <v>180</v>
      </c>
      <c r="C34" s="355">
        <f aca="true" t="shared" si="11" ref="C34:K34">C11+C12+C13+C23+C14+C31+C25+C24+C32+C33</f>
        <v>993885</v>
      </c>
      <c r="D34" s="334">
        <f t="shared" si="11"/>
        <v>-55913</v>
      </c>
      <c r="E34" s="746">
        <f t="shared" si="11"/>
        <v>937972</v>
      </c>
      <c r="F34" s="354">
        <f t="shared" si="11"/>
        <v>504278</v>
      </c>
      <c r="G34" s="334">
        <f t="shared" si="11"/>
        <v>-9559</v>
      </c>
      <c r="H34" s="364">
        <f t="shared" si="11"/>
        <v>494719</v>
      </c>
      <c r="I34" s="355">
        <f t="shared" si="11"/>
        <v>4840141</v>
      </c>
      <c r="J34" s="334">
        <f t="shared" si="11"/>
        <v>-59406</v>
      </c>
      <c r="K34" s="364">
        <f t="shared" si="11"/>
        <v>4780735</v>
      </c>
      <c r="L34" s="355">
        <f>L11+L12+L13+L23+L14+L31+L25+L24+L32+L33</f>
        <v>1464736</v>
      </c>
      <c r="M34" s="334">
        <f>M11+M12+M13+M23+M14+M31+M25+M24+M32+M33</f>
        <v>-588</v>
      </c>
      <c r="N34" s="364">
        <f>N11+N12+N13+N23+N14+N31+N25+N24+N32+N33</f>
        <v>1464148</v>
      </c>
      <c r="O34" s="1280">
        <f t="shared" si="0"/>
        <v>6304877</v>
      </c>
      <c r="P34" s="368">
        <f t="shared" si="1"/>
        <v>-59994</v>
      </c>
      <c r="Q34" s="369">
        <f t="shared" si="2"/>
        <v>6244883</v>
      </c>
      <c r="R34" s="166"/>
    </row>
    <row r="35" spans="1:18" s="94" customFormat="1" ht="19.5" customHeight="1" thickBot="1" thickTop="1">
      <c r="A35" s="151"/>
      <c r="B35" s="336" t="s">
        <v>131</v>
      </c>
      <c r="C35" s="1071"/>
      <c r="D35" s="292"/>
      <c r="E35" s="1286"/>
      <c r="F35" s="1296"/>
      <c r="G35" s="292"/>
      <c r="H35" s="1077"/>
      <c r="I35" s="1272"/>
      <c r="J35" s="1273"/>
      <c r="K35" s="1274"/>
      <c r="L35" s="1071"/>
      <c r="M35" s="292"/>
      <c r="N35" s="1077"/>
      <c r="O35" s="1281"/>
      <c r="P35" s="352"/>
      <c r="Q35" s="1093"/>
      <c r="R35" s="168"/>
    </row>
    <row r="36" spans="1:17" s="728" customFormat="1" ht="17.25" customHeight="1">
      <c r="A36" s="737" t="s">
        <v>98</v>
      </c>
      <c r="B36" s="738" t="s">
        <v>376</v>
      </c>
      <c r="C36" s="740"/>
      <c r="D36" s="739"/>
      <c r="E36" s="1287">
        <f>SUM(C36:D36)</f>
        <v>0</v>
      </c>
      <c r="F36" s="1297"/>
      <c r="G36" s="739"/>
      <c r="H36" s="741">
        <f>SUM(F36:G36)</f>
        <v>0</v>
      </c>
      <c r="I36" s="1069">
        <f>'önállóan működő'!C36+'önállóan működő'!F36+'önállóan működő'!I36+'önállóan működő'!L36+'önállóan működő'!O36+'önállóan gazd.'!C36+'önállóan gazd.'!F36</f>
        <v>0</v>
      </c>
      <c r="J36" s="224">
        <f>'önállóan működő'!D36+'önállóan működő'!G36+'önállóan működő'!J36+'önállóan működő'!M36+'önállóan működő'!P36+'önállóan gazd.'!D36+'önállóan gazd.'!G36</f>
        <v>0</v>
      </c>
      <c r="K36" s="227">
        <f>'önállóan működő'!E36+'önállóan működő'!H36+'önállóan működő'!K36+'önállóan működő'!N36+'önállóan működő'!Q36+'önállóan gazd.'!E36+'önállóan gazd.'!H36</f>
        <v>0</v>
      </c>
      <c r="L36" s="1079"/>
      <c r="M36" s="739"/>
      <c r="N36" s="741">
        <f>SUM(L36:M36)</f>
        <v>0</v>
      </c>
      <c r="O36" s="1279">
        <f aca="true" t="shared" si="12" ref="O36:O55">I36+L36</f>
        <v>0</v>
      </c>
      <c r="P36" s="291">
        <f aca="true" t="shared" si="13" ref="P36:P55">J36+M36</f>
        <v>0</v>
      </c>
      <c r="Q36" s="350">
        <f aca="true" t="shared" si="14" ref="Q36:Q55">K36+N36</f>
        <v>0</v>
      </c>
    </row>
    <row r="37" spans="1:17" s="728" customFormat="1" ht="17.25" customHeight="1">
      <c r="A37" s="160" t="s">
        <v>99</v>
      </c>
      <c r="B37" s="156" t="s">
        <v>235</v>
      </c>
      <c r="C37" s="297"/>
      <c r="D37" s="146"/>
      <c r="E37" s="1288">
        <f aca="true" t="shared" si="15" ref="E37:E44">C37+D37</f>
        <v>0</v>
      </c>
      <c r="F37" s="150"/>
      <c r="G37" s="146"/>
      <c r="H37" s="424">
        <f>F37+G37</f>
        <v>0</v>
      </c>
      <c r="I37" s="1069">
        <f>'önállóan működő'!C37+'önállóan működő'!F37+'önállóan működő'!I37+'önállóan működő'!L37+'önállóan működő'!O37+'önállóan gazd.'!C37+'önállóan gazd.'!F37</f>
        <v>0</v>
      </c>
      <c r="J37" s="224">
        <f>'önállóan működő'!D37+'önállóan működő'!G37+'önállóan működő'!J37+'önállóan működő'!M37+'önállóan működő'!P37+'önállóan gazd.'!D37+'önállóan gazd.'!G37</f>
        <v>0</v>
      </c>
      <c r="K37" s="227">
        <f>'önállóan működő'!E37+'önállóan működő'!H37+'önállóan működő'!K37+'önállóan működő'!N37+'önállóan működő'!Q37+'önállóan gazd.'!E37+'önállóan gazd.'!H37</f>
        <v>0</v>
      </c>
      <c r="L37" s="880"/>
      <c r="M37" s="146"/>
      <c r="N37" s="424">
        <f aca="true" t="shared" si="16" ref="N37:N44">L37+M37</f>
        <v>0</v>
      </c>
      <c r="O37" s="1279">
        <f t="shared" si="12"/>
        <v>0</v>
      </c>
      <c r="P37" s="291">
        <f t="shared" si="13"/>
        <v>0</v>
      </c>
      <c r="Q37" s="350">
        <f t="shared" si="14"/>
        <v>0</v>
      </c>
    </row>
    <row r="38" spans="1:17" s="728" customFormat="1" ht="17.25" customHeight="1">
      <c r="A38" s="325" t="s">
        <v>100</v>
      </c>
      <c r="B38" s="149" t="s">
        <v>377</v>
      </c>
      <c r="C38" s="319"/>
      <c r="D38" s="311"/>
      <c r="E38" s="1206">
        <f t="shared" si="15"/>
        <v>0</v>
      </c>
      <c r="F38" s="226"/>
      <c r="G38" s="311"/>
      <c r="H38" s="351">
        <f>F38+G38</f>
        <v>0</v>
      </c>
      <c r="I38" s="1069">
        <f>'önállóan működő'!C38+'önállóan működő'!F38+'önállóan működő'!I38+'önállóan működő'!L38+'önállóan működő'!O38+'önállóan gazd.'!C38+'önállóan gazd.'!F38</f>
        <v>0</v>
      </c>
      <c r="J38" s="224">
        <f>'önállóan működő'!D38+'önállóan működő'!G38+'önállóan működő'!J38+'önállóan működő'!M38+'önállóan működő'!P38+'önállóan gazd.'!D38+'önállóan gazd.'!G38</f>
        <v>0</v>
      </c>
      <c r="K38" s="227">
        <f>'önállóan működő'!E38+'önállóan működő'!H38+'önállóan működő'!K38+'önállóan működő'!N38+'önállóan működő'!Q38+'önállóan gazd.'!E38+'önállóan gazd.'!H38</f>
        <v>0</v>
      </c>
      <c r="L38" s="1070"/>
      <c r="M38" s="311"/>
      <c r="N38" s="351">
        <f t="shared" si="16"/>
        <v>0</v>
      </c>
      <c r="O38" s="1279">
        <f t="shared" si="12"/>
        <v>0</v>
      </c>
      <c r="P38" s="291">
        <f t="shared" si="13"/>
        <v>0</v>
      </c>
      <c r="Q38" s="350">
        <f t="shared" si="14"/>
        <v>0</v>
      </c>
    </row>
    <row r="39" spans="1:17" s="728" customFormat="1" ht="17.25" customHeight="1" thickBot="1">
      <c r="A39" s="161" t="s">
        <v>101</v>
      </c>
      <c r="B39" s="162" t="s">
        <v>381</v>
      </c>
      <c r="C39" s="298"/>
      <c r="D39" s="158"/>
      <c r="E39" s="1289">
        <f t="shared" si="15"/>
        <v>0</v>
      </c>
      <c r="F39" s="881"/>
      <c r="G39" s="158"/>
      <c r="H39" s="426">
        <f>F39+G39</f>
        <v>0</v>
      </c>
      <c r="I39" s="1069">
        <f>'önállóan működő'!C39+'önállóan működő'!F39+'önállóan működő'!I39+'önállóan működő'!L39+'önállóan működő'!O39+'önállóan gazd.'!C39+'önállóan gazd.'!F39</f>
        <v>0</v>
      </c>
      <c r="J39" s="224">
        <f>'önállóan működő'!D39+'önállóan működő'!G39+'önállóan működő'!J39+'önállóan működő'!M39+'önállóan működő'!P39+'önállóan gazd.'!D39+'önállóan gazd.'!G39</f>
        <v>0</v>
      </c>
      <c r="K39" s="227">
        <f>'önállóan működő'!E39+'önállóan működő'!H39+'önállóan működő'!K39+'önállóan működő'!N39+'önállóan működő'!Q39+'önállóan gazd.'!E39+'önállóan gazd.'!H39</f>
        <v>0</v>
      </c>
      <c r="L39" s="881">
        <v>1332</v>
      </c>
      <c r="M39" s="158">
        <v>40360</v>
      </c>
      <c r="N39" s="426">
        <f t="shared" si="16"/>
        <v>41692</v>
      </c>
      <c r="O39" s="1279">
        <f t="shared" si="12"/>
        <v>1332</v>
      </c>
      <c r="P39" s="291">
        <f t="shared" si="13"/>
        <v>40360</v>
      </c>
      <c r="Q39" s="350">
        <f t="shared" si="14"/>
        <v>41692</v>
      </c>
    </row>
    <row r="40" spans="1:17" s="208" customFormat="1" ht="17.25" customHeight="1" thickBot="1">
      <c r="A40" s="303">
        <v>1</v>
      </c>
      <c r="B40" s="295" t="s">
        <v>177</v>
      </c>
      <c r="C40" s="337">
        <f aca="true" t="shared" si="17" ref="C40:N40">SUM(C36:C39)</f>
        <v>0</v>
      </c>
      <c r="D40" s="304">
        <f t="shared" si="17"/>
        <v>0</v>
      </c>
      <c r="E40" s="320">
        <f t="shared" si="17"/>
        <v>0</v>
      </c>
      <c r="F40" s="337">
        <f>SUM(F36:F39)</f>
        <v>0</v>
      </c>
      <c r="G40" s="304">
        <f>SUM(G36:G39)</f>
        <v>0</v>
      </c>
      <c r="H40" s="310">
        <f>SUM(H36:H39)</f>
        <v>0</v>
      </c>
      <c r="I40" s="337">
        <f t="shared" si="17"/>
        <v>0</v>
      </c>
      <c r="J40" s="304">
        <f t="shared" si="17"/>
        <v>0</v>
      </c>
      <c r="K40" s="310">
        <f t="shared" si="17"/>
        <v>0</v>
      </c>
      <c r="L40" s="337">
        <f t="shared" si="17"/>
        <v>1332</v>
      </c>
      <c r="M40" s="304">
        <f t="shared" si="17"/>
        <v>40360</v>
      </c>
      <c r="N40" s="310">
        <f t="shared" si="17"/>
        <v>41692</v>
      </c>
      <c r="O40" s="423">
        <f t="shared" si="12"/>
        <v>1332</v>
      </c>
      <c r="P40" s="284">
        <f t="shared" si="13"/>
        <v>40360</v>
      </c>
      <c r="Q40" s="282">
        <f t="shared" si="14"/>
        <v>41692</v>
      </c>
    </row>
    <row r="41" spans="1:17" s="180" customFormat="1" ht="17.25" customHeight="1">
      <c r="A41" s="163" t="s">
        <v>98</v>
      </c>
      <c r="B41" s="152" t="s">
        <v>403</v>
      </c>
      <c r="C41" s="296"/>
      <c r="D41" s="224"/>
      <c r="E41" s="1206">
        <f t="shared" si="15"/>
        <v>0</v>
      </c>
      <c r="F41" s="1069"/>
      <c r="G41" s="224"/>
      <c r="H41" s="351">
        <f>F41+G41</f>
        <v>0</v>
      </c>
      <c r="I41" s="1069">
        <f>'önállóan működő'!C41+'önállóan működő'!F41+'önállóan működő'!I41+'önállóan működő'!L41+'önállóan működő'!O41+'önállóan gazd.'!C41+'önállóan gazd.'!F41</f>
        <v>0</v>
      </c>
      <c r="J41" s="224">
        <f>'önállóan működő'!D41+'önállóan működő'!G41+'önállóan működő'!J41+'önállóan működő'!M41+'önállóan működő'!P41+'önállóan gazd.'!D41+'önállóan gazd.'!G41</f>
        <v>0</v>
      </c>
      <c r="K41" s="227">
        <f>'önállóan működő'!E41+'önállóan működő'!H41+'önállóan működő'!K41+'önállóan működő'!N41+'önállóan működő'!Q41+'önállóan gazd.'!E41+'önállóan gazd.'!H41</f>
        <v>0</v>
      </c>
      <c r="L41" s="1069"/>
      <c r="M41" s="224"/>
      <c r="N41" s="351">
        <f t="shared" si="16"/>
        <v>0</v>
      </c>
      <c r="O41" s="1279">
        <f t="shared" si="12"/>
        <v>0</v>
      </c>
      <c r="P41" s="291">
        <f t="shared" si="13"/>
        <v>0</v>
      </c>
      <c r="Q41" s="350">
        <f t="shared" si="14"/>
        <v>0</v>
      </c>
    </row>
    <row r="42" spans="1:17" s="180" customFormat="1" ht="17.25" customHeight="1">
      <c r="A42" s="160" t="s">
        <v>99</v>
      </c>
      <c r="B42" s="156" t="s">
        <v>378</v>
      </c>
      <c r="C42" s="297"/>
      <c r="D42" s="146"/>
      <c r="E42" s="1289">
        <f t="shared" si="15"/>
        <v>0</v>
      </c>
      <c r="F42" s="880"/>
      <c r="G42" s="146"/>
      <c r="H42" s="426">
        <f>F42+G42</f>
        <v>0</v>
      </c>
      <c r="I42" s="1069">
        <f>'önállóan működő'!C42+'önállóan működő'!F42+'önállóan működő'!I42+'önállóan működő'!L42+'önállóan működő'!O42+'önállóan gazd.'!C42+'önállóan gazd.'!F42</f>
        <v>0</v>
      </c>
      <c r="J42" s="224">
        <f>'önállóan működő'!D42+'önállóan működő'!G42+'önállóan működő'!J42+'önállóan működő'!M42+'önállóan működő'!P42+'önállóan gazd.'!D42+'önállóan gazd.'!G42</f>
        <v>0</v>
      </c>
      <c r="K42" s="227">
        <f>'önállóan működő'!E42+'önállóan működő'!H42+'önállóan működő'!K42+'önállóan működő'!N42+'önállóan működő'!Q42+'önállóan gazd.'!E42+'önállóan gazd.'!H42</f>
        <v>0</v>
      </c>
      <c r="L42" s="880"/>
      <c r="M42" s="146"/>
      <c r="N42" s="426">
        <f t="shared" si="16"/>
        <v>0</v>
      </c>
      <c r="O42" s="1279">
        <f t="shared" si="12"/>
        <v>0</v>
      </c>
      <c r="P42" s="291">
        <f t="shared" si="13"/>
        <v>0</v>
      </c>
      <c r="Q42" s="350">
        <f t="shared" si="14"/>
        <v>0</v>
      </c>
    </row>
    <row r="43" spans="1:17" s="180" customFormat="1" ht="17.25" customHeight="1">
      <c r="A43" s="160" t="s">
        <v>100</v>
      </c>
      <c r="B43" s="156" t="s">
        <v>379</v>
      </c>
      <c r="C43" s="297"/>
      <c r="D43" s="146"/>
      <c r="E43" s="1289">
        <f t="shared" si="15"/>
        <v>0</v>
      </c>
      <c r="F43" s="880"/>
      <c r="G43" s="146"/>
      <c r="H43" s="426">
        <f>F43+G43</f>
        <v>0</v>
      </c>
      <c r="I43" s="1069">
        <f>'önállóan működő'!C43+'önállóan működő'!F43+'önállóan működő'!I43+'önállóan működő'!L43+'önállóan működő'!O43+'önállóan gazd.'!C43+'önállóan gazd.'!F43</f>
        <v>0</v>
      </c>
      <c r="J43" s="224">
        <f>'önállóan működő'!D43+'önállóan működő'!G43+'önállóan működő'!J43+'önállóan működő'!M43+'önállóan működő'!P43+'önállóan gazd.'!D43+'önállóan gazd.'!G43</f>
        <v>0</v>
      </c>
      <c r="K43" s="227">
        <f>'önállóan működő'!E43+'önállóan működő'!H43+'önállóan működő'!K43+'önállóan működő'!N43+'önállóan működő'!Q43+'önállóan gazd.'!E43+'önállóan gazd.'!H43</f>
        <v>0</v>
      </c>
      <c r="L43" s="880"/>
      <c r="M43" s="146"/>
      <c r="N43" s="426">
        <f t="shared" si="16"/>
        <v>0</v>
      </c>
      <c r="O43" s="1279">
        <f t="shared" si="12"/>
        <v>0</v>
      </c>
      <c r="P43" s="291">
        <f t="shared" si="13"/>
        <v>0</v>
      </c>
      <c r="Q43" s="350">
        <f t="shared" si="14"/>
        <v>0</v>
      </c>
    </row>
    <row r="44" spans="1:17" s="180" customFormat="1" ht="17.25" customHeight="1" thickBot="1">
      <c r="A44" s="161" t="s">
        <v>101</v>
      </c>
      <c r="B44" s="162" t="s">
        <v>175</v>
      </c>
      <c r="C44" s="298"/>
      <c r="D44" s="158"/>
      <c r="E44" s="1289">
        <f t="shared" si="15"/>
        <v>0</v>
      </c>
      <c r="F44" s="881"/>
      <c r="G44" s="158"/>
      <c r="H44" s="426">
        <f>F44+G44</f>
        <v>0</v>
      </c>
      <c r="I44" s="1069">
        <f>'önállóan működő'!C44+'önállóan működő'!F44+'önállóan működő'!I44+'önállóan működő'!L44+'önállóan működő'!O44+'önállóan gazd.'!C44+'önállóan gazd.'!F44</f>
        <v>0</v>
      </c>
      <c r="J44" s="224">
        <f>'önállóan működő'!D44+'önállóan működő'!G44+'önállóan működő'!J44+'önállóan működő'!M44+'önállóan működő'!P44+'önállóan gazd.'!D44+'önállóan gazd.'!G44</f>
        <v>0</v>
      </c>
      <c r="K44" s="227">
        <f>'önállóan működő'!E44+'önállóan működő'!H44+'önállóan működő'!K44+'önállóan működő'!N44+'önállóan működő'!Q44+'önállóan gazd.'!E44+'önállóan gazd.'!H44</f>
        <v>0</v>
      </c>
      <c r="L44" s="881">
        <v>32</v>
      </c>
      <c r="M44" s="158">
        <v>12</v>
      </c>
      <c r="N44" s="426">
        <f t="shared" si="16"/>
        <v>44</v>
      </c>
      <c r="O44" s="1279">
        <f t="shared" si="12"/>
        <v>32</v>
      </c>
      <c r="P44" s="291">
        <f t="shared" si="13"/>
        <v>12</v>
      </c>
      <c r="Q44" s="350">
        <f t="shared" si="14"/>
        <v>44</v>
      </c>
    </row>
    <row r="45" spans="1:17" s="208" customFormat="1" ht="17.25" customHeight="1" thickBot="1">
      <c r="A45" s="303">
        <v>2</v>
      </c>
      <c r="B45" s="295" t="s">
        <v>176</v>
      </c>
      <c r="C45" s="308">
        <f aca="true" t="shared" si="18" ref="C45:N45">SUM(C41:C44)</f>
        <v>0</v>
      </c>
      <c r="D45" s="304">
        <f t="shared" si="18"/>
        <v>0</v>
      </c>
      <c r="E45" s="320">
        <f t="shared" si="18"/>
        <v>0</v>
      </c>
      <c r="F45" s="337">
        <f t="shared" si="18"/>
        <v>0</v>
      </c>
      <c r="G45" s="304">
        <f t="shared" si="18"/>
        <v>0</v>
      </c>
      <c r="H45" s="310">
        <f t="shared" si="18"/>
        <v>0</v>
      </c>
      <c r="I45" s="337">
        <f t="shared" si="18"/>
        <v>0</v>
      </c>
      <c r="J45" s="304">
        <f t="shared" si="18"/>
        <v>0</v>
      </c>
      <c r="K45" s="310">
        <f t="shared" si="18"/>
        <v>0</v>
      </c>
      <c r="L45" s="337">
        <f t="shared" si="18"/>
        <v>32</v>
      </c>
      <c r="M45" s="304">
        <f t="shared" si="18"/>
        <v>12</v>
      </c>
      <c r="N45" s="310">
        <f t="shared" si="18"/>
        <v>44</v>
      </c>
      <c r="O45" s="423">
        <f t="shared" si="12"/>
        <v>32</v>
      </c>
      <c r="P45" s="284">
        <f t="shared" si="13"/>
        <v>12</v>
      </c>
      <c r="Q45" s="282">
        <f t="shared" si="14"/>
        <v>44</v>
      </c>
    </row>
    <row r="46" spans="1:17" s="208" customFormat="1" ht="17.25" customHeight="1" thickBot="1">
      <c r="A46" s="303">
        <v>3</v>
      </c>
      <c r="B46" s="295" t="s">
        <v>254</v>
      </c>
      <c r="C46" s="337">
        <v>274728</v>
      </c>
      <c r="D46" s="304">
        <v>-49030</v>
      </c>
      <c r="E46" s="320">
        <f>SUM(C46:D46)</f>
        <v>225698</v>
      </c>
      <c r="F46" s="337">
        <v>73844</v>
      </c>
      <c r="G46" s="304">
        <v>-13372</v>
      </c>
      <c r="H46" s="310">
        <f>SUM(F46:G46)</f>
        <v>60472</v>
      </c>
      <c r="I46" s="337">
        <f>'önállóan működő'!C46+'önállóan működő'!F46+'önállóan működő'!I46+'önállóan működő'!L46+'önállóan működő'!O46+'önállóan gazd.'!C46+'önállóan gazd.'!F46</f>
        <v>487086</v>
      </c>
      <c r="J46" s="304">
        <f>'önállóan működő'!D46+'önállóan működő'!G46+'önállóan működő'!J46+'önállóan működő'!M46+'önállóan működő'!P46+'önállóan gazd.'!D46+'önállóan gazd.'!G46</f>
        <v>-75522</v>
      </c>
      <c r="K46" s="310">
        <f>'önállóan működő'!E46+'önállóan működő'!H46+'önállóan működő'!K46+'önállóan működő'!N46+'önállóan működő'!Q46+'önállóan gazd.'!E46+'önállóan gazd.'!H46</f>
        <v>411564</v>
      </c>
      <c r="L46" s="337">
        <v>8666</v>
      </c>
      <c r="M46" s="304">
        <v>4849</v>
      </c>
      <c r="N46" s="310">
        <f>SUM(L46:M46)</f>
        <v>13515</v>
      </c>
      <c r="O46" s="423">
        <f t="shared" si="12"/>
        <v>495752</v>
      </c>
      <c r="P46" s="284">
        <f t="shared" si="13"/>
        <v>-70673</v>
      </c>
      <c r="Q46" s="282">
        <f t="shared" si="14"/>
        <v>425079</v>
      </c>
    </row>
    <row r="47" spans="1:17" s="180" customFormat="1" ht="17.25" customHeight="1" thickBot="1">
      <c r="A47" s="303">
        <v>4</v>
      </c>
      <c r="B47" s="295" t="s">
        <v>275</v>
      </c>
      <c r="C47" s="337"/>
      <c r="D47" s="304"/>
      <c r="E47" s="320">
        <f>SUM(C47:D47)</f>
        <v>0</v>
      </c>
      <c r="F47" s="337"/>
      <c r="G47" s="304"/>
      <c r="H47" s="310">
        <f>SUM(F47:G47)</f>
        <v>0</v>
      </c>
      <c r="I47" s="337">
        <f>'önállóan működő'!C47+'önállóan működő'!F47+'önállóan működő'!I47+'önállóan működő'!L47+'önállóan működő'!O47+'önállóan gazd.'!C47+'önállóan gazd.'!F47</f>
        <v>302</v>
      </c>
      <c r="J47" s="304">
        <f>'önállóan működő'!D47+'önállóan működő'!G47+'önállóan működő'!J47+'önállóan működő'!M47+'önállóan működő'!P47+'önállóan gazd.'!D47+'önállóan gazd.'!G47</f>
        <v>0</v>
      </c>
      <c r="K47" s="310">
        <f>'önállóan működő'!E47+'önállóan működő'!H47+'önállóan működő'!K47+'önállóan működő'!N47+'önállóan működő'!Q47+'önállóan gazd.'!E47+'önállóan gazd.'!H47</f>
        <v>302</v>
      </c>
      <c r="L47" s="337"/>
      <c r="M47" s="304"/>
      <c r="N47" s="310">
        <f>SUM(L47:M47)</f>
        <v>0</v>
      </c>
      <c r="O47" s="423">
        <f t="shared" si="12"/>
        <v>302</v>
      </c>
      <c r="P47" s="284">
        <f t="shared" si="13"/>
        <v>0</v>
      </c>
      <c r="Q47" s="282">
        <f t="shared" si="14"/>
        <v>302</v>
      </c>
    </row>
    <row r="48" spans="1:17" s="728" customFormat="1" ht="17.25" customHeight="1">
      <c r="A48" s="163" t="s">
        <v>98</v>
      </c>
      <c r="B48" s="149" t="s">
        <v>281</v>
      </c>
      <c r="C48" s="1069"/>
      <c r="D48" s="224"/>
      <c r="E48" s="1206">
        <f>C48+D48</f>
        <v>0</v>
      </c>
      <c r="F48" s="1069"/>
      <c r="G48" s="224"/>
      <c r="H48" s="351">
        <f>F48+G48</f>
        <v>0</v>
      </c>
      <c r="I48" s="1069">
        <f>'önállóan működő'!C48+'önállóan működő'!F48+'önállóan működő'!I48+'önállóan működő'!L48+'önállóan működő'!O48+'önállóan gazd.'!C48+'önállóan gazd.'!F48</f>
        <v>0</v>
      </c>
      <c r="J48" s="224">
        <f>'önállóan működő'!D48+'önállóan működő'!G48+'önállóan működő'!J48+'önállóan működő'!M48+'önállóan működő'!P48+'önállóan gazd.'!D48+'önállóan gazd.'!G48</f>
        <v>0</v>
      </c>
      <c r="K48" s="227">
        <f>'önállóan működő'!E48+'önállóan működő'!H48+'önállóan működő'!K48+'önállóan működő'!N48+'önállóan működő'!Q48+'önállóan gazd.'!E48+'önállóan gazd.'!H48</f>
        <v>0</v>
      </c>
      <c r="L48" s="1069"/>
      <c r="M48" s="224"/>
      <c r="N48" s="351">
        <f>L48+M48</f>
        <v>0</v>
      </c>
      <c r="O48" s="1279">
        <f t="shared" si="12"/>
        <v>0</v>
      </c>
      <c r="P48" s="291">
        <f t="shared" si="13"/>
        <v>0</v>
      </c>
      <c r="Q48" s="350">
        <f t="shared" si="14"/>
        <v>0</v>
      </c>
    </row>
    <row r="49" spans="1:17" s="180" customFormat="1" ht="17.25" customHeight="1">
      <c r="A49" s="161" t="s">
        <v>99</v>
      </c>
      <c r="B49" s="324" t="s">
        <v>380</v>
      </c>
      <c r="C49" s="880"/>
      <c r="D49" s="146"/>
      <c r="E49" s="1288">
        <f>C49+D49</f>
        <v>0</v>
      </c>
      <c r="F49" s="880"/>
      <c r="G49" s="146"/>
      <c r="H49" s="424">
        <f>F49+G49</f>
        <v>0</v>
      </c>
      <c r="I49" s="1069">
        <f>'önállóan működő'!C49+'önállóan működő'!F49+'önállóan működő'!I49+'önállóan működő'!L49+'önállóan működő'!O49+'önállóan gazd.'!C49+'önállóan gazd.'!F49</f>
        <v>0</v>
      </c>
      <c r="J49" s="224">
        <f>'önállóan működő'!D49+'önállóan működő'!G49+'önállóan működő'!J49+'önállóan működő'!M49+'önállóan működő'!P49+'önállóan gazd.'!D49+'önállóan gazd.'!G49</f>
        <v>0</v>
      </c>
      <c r="K49" s="227">
        <f>'önállóan működő'!E49+'önállóan működő'!H49+'önállóan működő'!K49+'önállóan működő'!N49+'önállóan működő'!Q49+'önállóan gazd.'!E49+'önállóan gazd.'!H49</f>
        <v>0</v>
      </c>
      <c r="L49" s="880"/>
      <c r="M49" s="146"/>
      <c r="N49" s="424">
        <f>L49+M49</f>
        <v>0</v>
      </c>
      <c r="O49" s="1279">
        <f t="shared" si="12"/>
        <v>0</v>
      </c>
      <c r="P49" s="291">
        <f t="shared" si="13"/>
        <v>0</v>
      </c>
      <c r="Q49" s="350">
        <f t="shared" si="14"/>
        <v>0</v>
      </c>
    </row>
    <row r="50" spans="1:17" s="180" customFormat="1" ht="17.25" customHeight="1" thickBot="1">
      <c r="A50" s="161" t="s">
        <v>100</v>
      </c>
      <c r="B50" s="324" t="s">
        <v>413</v>
      </c>
      <c r="C50" s="880"/>
      <c r="D50" s="146"/>
      <c r="E50" s="1288">
        <f>C50+D50</f>
        <v>0</v>
      </c>
      <c r="F50" s="880"/>
      <c r="G50" s="146"/>
      <c r="H50" s="424">
        <f>F50+G50</f>
        <v>0</v>
      </c>
      <c r="I50" s="1069">
        <f>'önállóan működő'!C50+'önállóan működő'!F50+'önállóan működő'!I50+'önállóan működő'!L50+'önállóan működő'!O50+'önállóan gazd.'!C50+'önállóan gazd.'!F50</f>
        <v>0</v>
      </c>
      <c r="J50" s="224">
        <f>'önállóan működő'!D50+'önállóan működő'!G50+'önállóan működő'!J50+'önállóan működő'!M50+'önállóan működő'!P50+'önállóan gazd.'!D50+'önállóan gazd.'!G50</f>
        <v>0</v>
      </c>
      <c r="K50" s="227">
        <f>'önállóan működő'!E50+'önállóan működő'!H50+'önállóan működő'!K50+'önállóan működő'!N50+'önállóan működő'!Q50+'önállóan gazd.'!E50+'önállóan gazd.'!H50</f>
        <v>0</v>
      </c>
      <c r="L50" s="880"/>
      <c r="M50" s="146"/>
      <c r="N50" s="424">
        <f>L50+M50</f>
        <v>0</v>
      </c>
      <c r="O50" s="1279">
        <f t="shared" si="12"/>
        <v>0</v>
      </c>
      <c r="P50" s="291">
        <f t="shared" si="13"/>
        <v>0</v>
      </c>
      <c r="Q50" s="350">
        <f t="shared" si="14"/>
        <v>0</v>
      </c>
    </row>
    <row r="51" spans="1:17" s="208" customFormat="1" ht="17.25" customHeight="1" thickBot="1">
      <c r="A51" s="303">
        <v>5</v>
      </c>
      <c r="B51" s="295" t="s">
        <v>178</v>
      </c>
      <c r="C51" s="337">
        <f aca="true" t="shared" si="19" ref="C51:N51">SUM(C48:C50)</f>
        <v>0</v>
      </c>
      <c r="D51" s="304">
        <f t="shared" si="19"/>
        <v>0</v>
      </c>
      <c r="E51" s="320">
        <f t="shared" si="19"/>
        <v>0</v>
      </c>
      <c r="F51" s="337">
        <f>SUM(F48:F50)</f>
        <v>0</v>
      </c>
      <c r="G51" s="304">
        <f>SUM(G48:G50)</f>
        <v>0</v>
      </c>
      <c r="H51" s="310">
        <f>SUM(H48:H50)</f>
        <v>0</v>
      </c>
      <c r="I51" s="337">
        <f t="shared" si="19"/>
        <v>0</v>
      </c>
      <c r="J51" s="304">
        <f t="shared" si="19"/>
        <v>0</v>
      </c>
      <c r="K51" s="310">
        <f t="shared" si="19"/>
        <v>0</v>
      </c>
      <c r="L51" s="337">
        <f t="shared" si="19"/>
        <v>0</v>
      </c>
      <c r="M51" s="304">
        <f t="shared" si="19"/>
        <v>0</v>
      </c>
      <c r="N51" s="310">
        <f t="shared" si="19"/>
        <v>0</v>
      </c>
      <c r="O51" s="423">
        <f t="shared" si="12"/>
        <v>0</v>
      </c>
      <c r="P51" s="284">
        <f t="shared" si="13"/>
        <v>0</v>
      </c>
      <c r="Q51" s="282">
        <f t="shared" si="14"/>
        <v>0</v>
      </c>
    </row>
    <row r="52" spans="1:17" s="208" customFormat="1" ht="17.25" customHeight="1" thickBot="1">
      <c r="A52" s="733">
        <v>6</v>
      </c>
      <c r="B52" s="734" t="s">
        <v>285</v>
      </c>
      <c r="C52" s="1078"/>
      <c r="D52" s="329"/>
      <c r="E52" s="1290">
        <f>C52+D52</f>
        <v>0</v>
      </c>
      <c r="F52" s="1078"/>
      <c r="G52" s="329"/>
      <c r="H52" s="283">
        <f>F52+G52</f>
        <v>0</v>
      </c>
      <c r="I52" s="337">
        <f>'önállóan működő'!C52+'önállóan működő'!F52+'önállóan működő'!I52+'önállóan működő'!L52+'önállóan működő'!O52+'önállóan gazd.'!C52+'önállóan gazd.'!F52</f>
        <v>0</v>
      </c>
      <c r="J52" s="304">
        <f>'önállóan működő'!D52+'önállóan működő'!G52+'önállóan működő'!J52+'önállóan működő'!M52+'önállóan működő'!P52+'önállóan gazd.'!D52+'önállóan gazd.'!G52</f>
        <v>0</v>
      </c>
      <c r="K52" s="310">
        <f>'önállóan működő'!E52+'önállóan működő'!H52+'önállóan működő'!K52+'önállóan működő'!N52+'önállóan működő'!Q52+'önállóan gazd.'!E52+'önállóan gazd.'!H52</f>
        <v>0</v>
      </c>
      <c r="L52" s="1078">
        <v>1358</v>
      </c>
      <c r="M52" s="329">
        <v>79</v>
      </c>
      <c r="N52" s="283">
        <f>L52+M52</f>
        <v>1437</v>
      </c>
      <c r="O52" s="423">
        <f t="shared" si="12"/>
        <v>1358</v>
      </c>
      <c r="P52" s="284">
        <f t="shared" si="13"/>
        <v>79</v>
      </c>
      <c r="Q52" s="282">
        <f t="shared" si="14"/>
        <v>1437</v>
      </c>
    </row>
    <row r="53" spans="1:17" s="180" customFormat="1" ht="17.25" customHeight="1">
      <c r="A53" s="144" t="s">
        <v>98</v>
      </c>
      <c r="B53" s="145" t="s">
        <v>382</v>
      </c>
      <c r="C53" s="1073"/>
      <c r="D53" s="147"/>
      <c r="E53" s="1291">
        <f>C53+D53</f>
        <v>0</v>
      </c>
      <c r="F53" s="1073"/>
      <c r="G53" s="147"/>
      <c r="H53" s="430">
        <f>F53+G53</f>
        <v>0</v>
      </c>
      <c r="I53" s="1069">
        <f>'önállóan működő'!C53+'önállóan működő'!F53+'önállóan működő'!I53+'önállóan működő'!L53+'önállóan működő'!O53+'önállóan gazd.'!C53+'önállóan gazd.'!F53</f>
        <v>0</v>
      </c>
      <c r="J53" s="224">
        <f>'önállóan működő'!D53+'önállóan működő'!G53+'önállóan működő'!J53+'önállóan működő'!M53+'önállóan működő'!P53+'önállóan gazd.'!D53+'önállóan gazd.'!G53</f>
        <v>0</v>
      </c>
      <c r="K53" s="227">
        <f>'önállóan működő'!E53+'önállóan működő'!H53+'önállóan működő'!K53+'önállóan működő'!N53+'önállóan működő'!Q53+'önállóan gazd.'!E53+'önállóan gazd.'!H53</f>
        <v>0</v>
      </c>
      <c r="L53" s="1073"/>
      <c r="M53" s="147"/>
      <c r="N53" s="430">
        <f>L53+M53</f>
        <v>0</v>
      </c>
      <c r="O53" s="1279">
        <f t="shared" si="12"/>
        <v>0</v>
      </c>
      <c r="P53" s="291">
        <f t="shared" si="13"/>
        <v>0</v>
      </c>
      <c r="Q53" s="350">
        <f t="shared" si="14"/>
        <v>0</v>
      </c>
    </row>
    <row r="54" spans="1:17" s="180" customFormat="1" ht="17.25" customHeight="1" thickBot="1">
      <c r="A54" s="325" t="s">
        <v>99</v>
      </c>
      <c r="B54" s="149" t="s">
        <v>383</v>
      </c>
      <c r="C54" s="1070"/>
      <c r="D54" s="311"/>
      <c r="E54" s="1206">
        <f>C54+D54</f>
        <v>0</v>
      </c>
      <c r="F54" s="1070"/>
      <c r="G54" s="311"/>
      <c r="H54" s="351">
        <f>F54+G54</f>
        <v>0</v>
      </c>
      <c r="I54" s="1069">
        <f>'önállóan működő'!C54+'önállóan működő'!F54+'önállóan működő'!I54+'önállóan működő'!L54+'önállóan működő'!O54+'önállóan gazd.'!C54+'önállóan gazd.'!F54</f>
        <v>0</v>
      </c>
      <c r="J54" s="224">
        <f>'önállóan működő'!D54+'önállóan működő'!G54+'önállóan működő'!J54+'önállóan működő'!M54+'önállóan működő'!P54+'önállóan gazd.'!D54+'önállóan gazd.'!G54</f>
        <v>0</v>
      </c>
      <c r="K54" s="227">
        <f>'önállóan működő'!E54+'önállóan működő'!H54+'önállóan működő'!K54+'önállóan működő'!N54+'önállóan működő'!Q54+'önállóan gazd.'!E54+'önállóan gazd.'!H54</f>
        <v>0</v>
      </c>
      <c r="L54" s="1070"/>
      <c r="M54" s="311"/>
      <c r="N54" s="351">
        <f>L54+M54</f>
        <v>0</v>
      </c>
      <c r="O54" s="1279">
        <f t="shared" si="12"/>
        <v>0</v>
      </c>
      <c r="P54" s="291">
        <f t="shared" si="13"/>
        <v>0</v>
      </c>
      <c r="Q54" s="350">
        <f t="shared" si="14"/>
        <v>0</v>
      </c>
    </row>
    <row r="55" spans="1:17" s="208" customFormat="1" ht="17.25" customHeight="1" thickBot="1">
      <c r="A55" s="303">
        <v>7</v>
      </c>
      <c r="B55" s="295" t="s">
        <v>181</v>
      </c>
      <c r="C55" s="337">
        <f aca="true" t="shared" si="20" ref="C55:N55">SUM(C53:C54)</f>
        <v>0</v>
      </c>
      <c r="D55" s="304">
        <f t="shared" si="20"/>
        <v>0</v>
      </c>
      <c r="E55" s="320">
        <f t="shared" si="20"/>
        <v>0</v>
      </c>
      <c r="F55" s="337">
        <f>SUM(F53:F54)</f>
        <v>0</v>
      </c>
      <c r="G55" s="304">
        <f>SUM(G53:G54)</f>
        <v>0</v>
      </c>
      <c r="H55" s="310">
        <f>SUM(H53:H54)</f>
        <v>0</v>
      </c>
      <c r="I55" s="337">
        <f>SUM(I53:I54)</f>
        <v>0</v>
      </c>
      <c r="J55" s="304">
        <f t="shared" si="20"/>
        <v>0</v>
      </c>
      <c r="K55" s="310">
        <f t="shared" si="20"/>
        <v>0</v>
      </c>
      <c r="L55" s="1080">
        <f t="shared" si="20"/>
        <v>0</v>
      </c>
      <c r="M55" s="1082">
        <f t="shared" si="20"/>
        <v>0</v>
      </c>
      <c r="N55" s="1084">
        <f t="shared" si="20"/>
        <v>0</v>
      </c>
      <c r="O55" s="423">
        <f t="shared" si="12"/>
        <v>0</v>
      </c>
      <c r="P55" s="284">
        <f t="shared" si="13"/>
        <v>0</v>
      </c>
      <c r="Q55" s="282">
        <f t="shared" si="14"/>
        <v>0</v>
      </c>
    </row>
    <row r="56" spans="1:19" s="180" customFormat="1" ht="17.25" customHeight="1" thickBot="1">
      <c r="A56" s="339">
        <v>8</v>
      </c>
      <c r="B56" s="340" t="s">
        <v>45</v>
      </c>
      <c r="C56" s="1074">
        <f aca="true" t="shared" si="21" ref="C56:N56">C34-C40-C45-C46-C47-C51-C52-C55-C57-C58-C59</f>
        <v>701025</v>
      </c>
      <c r="D56" s="1076">
        <f t="shared" si="21"/>
        <v>-7860</v>
      </c>
      <c r="E56" s="1292">
        <f t="shared" si="21"/>
        <v>693165</v>
      </c>
      <c r="F56" s="1074">
        <f>F34-F40-F45-F46-F47-F51-F52-F55-F57-F58-F59</f>
        <v>429084</v>
      </c>
      <c r="G56" s="1076">
        <f>G34-G40-G45-G46-G47-G51-G52-G55-G57-G58-G59</f>
        <v>3953</v>
      </c>
      <c r="H56" s="1267">
        <f>H34-H40-H45-H46-H47-H51-H52-H55-H57-H58-H59</f>
        <v>433037</v>
      </c>
      <c r="I56" s="1074">
        <f t="shared" si="21"/>
        <v>4326950</v>
      </c>
      <c r="J56" s="1076">
        <f t="shared" si="21"/>
        <v>15451</v>
      </c>
      <c r="K56" s="1267">
        <f t="shared" si="21"/>
        <v>4342401</v>
      </c>
      <c r="L56" s="1081">
        <f t="shared" si="21"/>
        <v>1450102</v>
      </c>
      <c r="M56" s="1083">
        <f t="shared" si="21"/>
        <v>-45487</v>
      </c>
      <c r="N56" s="751">
        <f t="shared" si="21"/>
        <v>1404615</v>
      </c>
      <c r="O56" s="1266">
        <f>O34-O40-O45-O46-O47-O51-O52-O55-O57-O58-O59</f>
        <v>5777052</v>
      </c>
      <c r="P56" s="1083">
        <f>P34-P40-P45-P46-P47-P51-P52-P55-P57-P58-P59</f>
        <v>-30036</v>
      </c>
      <c r="Q56" s="751">
        <f>Q34-Q40-Q45-Q46-Q47-Q51-Q52-Q55-Q57-Q58-Q59</f>
        <v>5747016</v>
      </c>
      <c r="R56" s="183"/>
      <c r="S56" s="184">
        <f>SUM(I56:J56)</f>
        <v>4342401</v>
      </c>
    </row>
    <row r="57" spans="1:17" s="208" customFormat="1" ht="17.25" customHeight="1">
      <c r="A57" s="326" t="s">
        <v>385</v>
      </c>
      <c r="B57" s="327" t="s">
        <v>184</v>
      </c>
      <c r="C57" s="1075">
        <v>18132</v>
      </c>
      <c r="D57" s="317">
        <v>977</v>
      </c>
      <c r="E57" s="1293">
        <f>SUM(C57:D57)</f>
        <v>19109</v>
      </c>
      <c r="F57" s="1075">
        <v>1350</v>
      </c>
      <c r="G57" s="317">
        <v>-140</v>
      </c>
      <c r="H57" s="431">
        <f>SUM(F57:G57)</f>
        <v>1210</v>
      </c>
      <c r="I57" s="1269">
        <f>'önállóan működő'!C57+'önállóan működő'!F57+'önállóan működő'!I57+'önállóan működő'!L57+'önállóan működő'!O57+'önállóan gazd.'!C57+'önállóan gazd.'!F57</f>
        <v>25803</v>
      </c>
      <c r="J57" s="1270">
        <f>'önállóan működő'!D57+'önállóan működő'!G57+'önállóan működő'!J57+'önállóan működő'!M57+'önállóan működő'!P57+'önállóan gazd.'!D57+'önállóan gazd.'!G57</f>
        <v>665</v>
      </c>
      <c r="K57" s="1271">
        <f>'önállóan működő'!E57+'önállóan működő'!H57+'önállóan működő'!K57+'önállóan működő'!N57+'önállóan működő'!Q57+'önállóan gazd.'!E57+'önállóan gazd.'!H57</f>
        <v>26468</v>
      </c>
      <c r="L57" s="1269">
        <v>3246</v>
      </c>
      <c r="M57" s="1270">
        <v>-401</v>
      </c>
      <c r="N57" s="773">
        <f>SUM(L57:M57)</f>
        <v>2845</v>
      </c>
      <c r="O57" s="1282">
        <f aca="true" t="shared" si="22" ref="O57:Q59">I57+L57</f>
        <v>29049</v>
      </c>
      <c r="P57" s="1159">
        <f t="shared" si="22"/>
        <v>264</v>
      </c>
      <c r="Q57" s="773">
        <f t="shared" si="22"/>
        <v>29313</v>
      </c>
    </row>
    <row r="58" spans="1:17" s="208" customFormat="1" ht="17.25" customHeight="1">
      <c r="A58" s="326" t="s">
        <v>183</v>
      </c>
      <c r="B58" s="327" t="s">
        <v>384</v>
      </c>
      <c r="C58" s="1075"/>
      <c r="D58" s="317"/>
      <c r="E58" s="1290">
        <f>SUM(C58:D58)</f>
        <v>0</v>
      </c>
      <c r="F58" s="1075"/>
      <c r="G58" s="317"/>
      <c r="H58" s="283">
        <f>SUM(F58:G58)</f>
        <v>0</v>
      </c>
      <c r="I58" s="1075">
        <f>'önállóan működő'!C58+'önállóan működő'!F58+'önállóan működő'!I58+'önállóan működő'!L58+'önállóan működő'!O58+'önállóan gazd.'!C58+'önállóan gazd.'!F58</f>
        <v>0</v>
      </c>
      <c r="J58" s="317">
        <f>'önállóan működő'!D58+'önállóan működő'!G58+'önállóan működő'!J58+'önállóan működő'!M58+'önállóan működő'!P58+'önállóan gazd.'!D58+'önállóan gazd.'!G58</f>
        <v>0</v>
      </c>
      <c r="K58" s="1104">
        <f>'önállóan működő'!E58+'önállóan működő'!H58+'önállóan működő'!K58+'önállóan működő'!N58+'önállóan működő'!Q58+'önállóan gazd.'!E58+'önállóan gazd.'!H58</f>
        <v>0</v>
      </c>
      <c r="L58" s="1075"/>
      <c r="M58" s="317"/>
      <c r="N58" s="431">
        <f>SUM(L58:M58)</f>
        <v>0</v>
      </c>
      <c r="O58" s="1283">
        <f t="shared" si="22"/>
        <v>0</v>
      </c>
      <c r="P58" s="286">
        <f t="shared" si="22"/>
        <v>0</v>
      </c>
      <c r="Q58" s="431">
        <f t="shared" si="22"/>
        <v>0</v>
      </c>
    </row>
    <row r="59" spans="1:17" s="208" customFormat="1" ht="17.25" customHeight="1" thickBot="1">
      <c r="A59" s="341">
        <v>10</v>
      </c>
      <c r="B59" s="342"/>
      <c r="C59" s="343"/>
      <c r="D59" s="344"/>
      <c r="E59" s="1294">
        <f>SUM(C59:D59)</f>
        <v>0</v>
      </c>
      <c r="F59" s="343"/>
      <c r="G59" s="344"/>
      <c r="H59" s="345">
        <f>SUM(F59:G59)</f>
        <v>0</v>
      </c>
      <c r="I59" s="1140">
        <f>'önállóan működő'!C59+'önállóan működő'!F59+'önállóan működő'!I59+'önállóan működő'!L59+'önállóan működő'!O59+'önállóan gazd.'!C59+'önállóan gazd.'!F59</f>
        <v>0</v>
      </c>
      <c r="J59" s="344">
        <f>'önállóan működő'!D59+'önállóan működő'!G59+'önállóan működő'!J59+'önállóan működő'!M59+'önállóan működő'!P59+'önállóan gazd.'!D59+'önállóan gazd.'!G59</f>
        <v>0</v>
      </c>
      <c r="K59" s="1275">
        <f>'önállóan működő'!E59+'önállóan működő'!H59+'önállóan működő'!K59+'önállóan működő'!N59+'önállóan működő'!Q59+'önállóan gazd.'!E59+'önállóan gazd.'!H59</f>
        <v>0</v>
      </c>
      <c r="L59" s="343"/>
      <c r="M59" s="344"/>
      <c r="N59" s="345">
        <f>SUM(L59:M59)</f>
        <v>0</v>
      </c>
      <c r="O59" s="436">
        <f t="shared" si="22"/>
        <v>0</v>
      </c>
      <c r="P59" s="1276">
        <f t="shared" si="22"/>
        <v>0</v>
      </c>
      <c r="Q59" s="437">
        <f t="shared" si="22"/>
        <v>0</v>
      </c>
    </row>
    <row r="60" spans="1:17" s="159" customFormat="1" ht="17.25" customHeight="1" thickBot="1" thickTop="1">
      <c r="A60" s="333" t="s">
        <v>109</v>
      </c>
      <c r="B60" s="335" t="s">
        <v>182</v>
      </c>
      <c r="C60" s="354">
        <f aca="true" t="shared" si="23" ref="C60:N60">C40+C45+C46+C47+C51+C52+C55+C56+C57+C58+C59</f>
        <v>993885</v>
      </c>
      <c r="D60" s="334">
        <f t="shared" si="23"/>
        <v>-55913</v>
      </c>
      <c r="E60" s="746">
        <f t="shared" si="23"/>
        <v>937972</v>
      </c>
      <c r="F60" s="354">
        <f>F40+F45+F46+F47+F51+F52+F55+F56+F57+F58+F59</f>
        <v>504278</v>
      </c>
      <c r="G60" s="334">
        <f>G40+G45+G46+G47+G51+G52+G55+G56+G57+G58+G59</f>
        <v>-9559</v>
      </c>
      <c r="H60" s="364">
        <f>H40+H45+H46+H47+H51+H52+H55+H56+H57+H58+H59</f>
        <v>494719</v>
      </c>
      <c r="I60" s="1265">
        <f t="shared" si="23"/>
        <v>4840141</v>
      </c>
      <c r="J60" s="334">
        <f t="shared" si="23"/>
        <v>-59406</v>
      </c>
      <c r="K60" s="364">
        <f t="shared" si="23"/>
        <v>4780735</v>
      </c>
      <c r="L60" s="354">
        <f t="shared" si="23"/>
        <v>1464736</v>
      </c>
      <c r="M60" s="334">
        <f t="shared" si="23"/>
        <v>-588</v>
      </c>
      <c r="N60" s="364">
        <f t="shared" si="23"/>
        <v>1464148</v>
      </c>
      <c r="O60" s="746">
        <f>O40+O45+O46+O47+O51+O52+O55+O56+O57+O58+O59</f>
        <v>6304877</v>
      </c>
      <c r="P60" s="748">
        <f>P40+P45+P46+P47+P51+P52+P55+P56+P57+P58+P59</f>
        <v>-59994</v>
      </c>
      <c r="Q60" s="364">
        <f>Q40+Q45+Q46+Q47+Q51+Q52+Q55+Q56+Q57+Q58+Q59</f>
        <v>6244883</v>
      </c>
    </row>
    <row r="61" spans="1:17" s="94" customFormat="1" ht="13.5" customHeight="1" thickBot="1" thickTop="1">
      <c r="A61" s="170"/>
      <c r="B61" s="171"/>
      <c r="C61" s="172"/>
      <c r="D61" s="172"/>
      <c r="E61" s="173"/>
      <c r="F61" s="172"/>
      <c r="G61" s="172"/>
      <c r="H61" s="173"/>
      <c r="I61" s="172"/>
      <c r="J61" s="172"/>
      <c r="K61" s="173"/>
      <c r="L61" s="172"/>
      <c r="M61" s="172"/>
      <c r="N61" s="173"/>
      <c r="O61" s="172"/>
      <c r="P61" s="172"/>
      <c r="Q61" s="173"/>
    </row>
    <row r="62" spans="1:17" s="180" customFormat="1" ht="17.25" customHeight="1" thickBot="1" thickTop="1">
      <c r="A62" s="174"/>
      <c r="B62" s="175" t="s">
        <v>593</v>
      </c>
      <c r="C62" s="176">
        <v>63.5</v>
      </c>
      <c r="D62" s="177"/>
      <c r="E62" s="178">
        <f>C62+D62</f>
        <v>63.5</v>
      </c>
      <c r="F62" s="176">
        <v>27.75</v>
      </c>
      <c r="G62" s="177"/>
      <c r="H62" s="178">
        <f>F62+G62</f>
        <v>27.75</v>
      </c>
      <c r="I62" s="205">
        <f>'önállóan működő'!C62+'önállóan működő'!F62+'önállóan működő'!I62+'önállóan működő'!L62+'önállóan működő'!O62+'önállóan gazd.'!C62+'önállóan gazd.'!F62</f>
        <v>631</v>
      </c>
      <c r="J62" s="205">
        <f>'önállóan működő'!D62+'önállóan működő'!G62+'önállóan működő'!J62+'önállóan működő'!M62+'önállóan működő'!P62+'önállóan gazd.'!D62+'önállóan gazd.'!G62</f>
        <v>0</v>
      </c>
      <c r="K62" s="912">
        <f>'önállóan működő'!E62+'önállóan működő'!H62+'önállóan működő'!K62+'önállóan működő'!N62+'önállóan működő'!Q62+'önállóan gazd.'!E62+'önállóan gazd.'!H62</f>
        <v>631</v>
      </c>
      <c r="L62" s="1415">
        <v>174</v>
      </c>
      <c r="M62" s="177"/>
      <c r="N62" s="178">
        <f>L62+M62</f>
        <v>174</v>
      </c>
      <c r="O62" s="204">
        <f>I62+L62</f>
        <v>805</v>
      </c>
      <c r="P62" s="205">
        <f aca="true" t="shared" si="24" ref="O62:Q63">J62+M62</f>
        <v>0</v>
      </c>
      <c r="Q62" s="206">
        <f t="shared" si="24"/>
        <v>805</v>
      </c>
    </row>
    <row r="63" spans="1:17" s="180" customFormat="1" ht="17.25" customHeight="1" thickBot="1" thickTop="1">
      <c r="A63" s="174"/>
      <c r="B63" s="175" t="s">
        <v>594</v>
      </c>
      <c r="C63" s="176">
        <v>0</v>
      </c>
      <c r="D63" s="177"/>
      <c r="E63" s="178">
        <f>C63+D63</f>
        <v>0</v>
      </c>
      <c r="F63" s="176">
        <v>0</v>
      </c>
      <c r="G63" s="177"/>
      <c r="H63" s="178">
        <f>F63+G63</f>
        <v>0</v>
      </c>
      <c r="I63" s="1268">
        <f>'önállóan működő'!C63+'önállóan működő'!F63+'önállóan működő'!I63+'önállóan működő'!L63+'önállóan működő'!O63+'önállóan gazd.'!C63+'önállóan gazd.'!F63</f>
        <v>0</v>
      </c>
      <c r="J63" s="205">
        <f>'önállóan működő'!D63+'önállóan működő'!G63+'önállóan működő'!J63+'önállóan működő'!M63+'önállóan működő'!P63+'önállóan gazd.'!D63+'önállóan gazd.'!G63</f>
        <v>0</v>
      </c>
      <c r="K63" s="912">
        <f>'önállóan működő'!E63+'önállóan működő'!H63+'önállóan működő'!K63+'önállóan működő'!N63+'önállóan működő'!Q63+'önállóan gazd.'!E63+'önállóan gazd.'!H63</f>
        <v>0</v>
      </c>
      <c r="L63" s="176">
        <v>0</v>
      </c>
      <c r="M63" s="177"/>
      <c r="N63" s="178">
        <f>L63+M63</f>
        <v>0</v>
      </c>
      <c r="O63" s="204">
        <f t="shared" si="24"/>
        <v>0</v>
      </c>
      <c r="P63" s="205">
        <f t="shared" si="24"/>
        <v>0</v>
      </c>
      <c r="Q63" s="206">
        <f t="shared" si="24"/>
        <v>0</v>
      </c>
    </row>
    <row r="64" ht="16.5" thickTop="1">
      <c r="A64" s="408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1100" customWidth="1"/>
    <col min="2" max="2" width="78.375" style="728" customWidth="1"/>
    <col min="3" max="14" width="14.875" style="728" customWidth="1"/>
    <col min="15" max="17" width="14.875" style="732" customWidth="1"/>
    <col min="18" max="16384" width="9.375" style="730" customWidth="1"/>
  </cols>
  <sheetData>
    <row r="1" spans="1:17" s="2" customFormat="1" ht="10.5" customHeight="1">
      <c r="A1" s="293"/>
      <c r="B1" s="294"/>
      <c r="C1" s="294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917"/>
      <c r="O1" s="390"/>
      <c r="P1" s="390"/>
      <c r="Q1" s="866" t="s">
        <v>880</v>
      </c>
    </row>
    <row r="2" spans="1:17" s="2" customFormat="1" ht="10.5" customHeight="1">
      <c r="A2" s="293"/>
      <c r="B2" s="294"/>
      <c r="C2" s="294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917"/>
      <c r="O2" s="390"/>
      <c r="P2" s="390"/>
      <c r="Q2" s="866" t="s">
        <v>93</v>
      </c>
    </row>
    <row r="3" spans="1:17" s="2" customFormat="1" ht="15.75">
      <c r="A3" s="293"/>
      <c r="B3" s="294"/>
      <c r="C3" s="294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917"/>
      <c r="O3" s="390"/>
      <c r="P3" s="390"/>
      <c r="Q3" s="866" t="s">
        <v>123</v>
      </c>
    </row>
    <row r="4" spans="1:17" s="3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s="4" customFormat="1" ht="18.75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62" s="2" customFormat="1" ht="16.5" customHeight="1" thickBot="1">
      <c r="A6" s="293"/>
      <c r="B6" s="294"/>
      <c r="C6" s="294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870"/>
      <c r="O6" s="870"/>
      <c r="P6" s="870"/>
      <c r="Q6" s="870" t="s">
        <v>134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17" s="62" customFormat="1" ht="18">
      <c r="A7" s="229" t="s">
        <v>124</v>
      </c>
      <c r="B7" s="93" t="s">
        <v>125</v>
      </c>
      <c r="C7" s="1918" t="s">
        <v>341</v>
      </c>
      <c r="D7" s="1919"/>
      <c r="E7" s="1919"/>
      <c r="F7" s="1918" t="s">
        <v>51</v>
      </c>
      <c r="G7" s="1919"/>
      <c r="H7" s="1920"/>
      <c r="I7" s="1902" t="s">
        <v>135</v>
      </c>
      <c r="J7" s="1903"/>
      <c r="K7" s="1904"/>
      <c r="L7" s="1902" t="s">
        <v>136</v>
      </c>
      <c r="M7" s="1903"/>
      <c r="N7" s="1904"/>
      <c r="O7" s="1913" t="s">
        <v>59</v>
      </c>
      <c r="P7" s="1914"/>
      <c r="Q7" s="1915"/>
    </row>
    <row r="8" spans="1:17" s="62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63" customFormat="1" ht="13.5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2">
        <v>8</v>
      </c>
      <c r="I9" s="411">
        <v>9</v>
      </c>
      <c r="J9" s="412">
        <v>10</v>
      </c>
      <c r="K9" s="414">
        <v>11</v>
      </c>
      <c r="L9" s="412">
        <v>12</v>
      </c>
      <c r="M9" s="412">
        <v>13</v>
      </c>
      <c r="N9" s="414">
        <v>14</v>
      </c>
      <c r="O9" s="412">
        <v>15</v>
      </c>
      <c r="P9" s="412">
        <v>16</v>
      </c>
      <c r="Q9" s="414">
        <v>17</v>
      </c>
    </row>
    <row r="10" spans="1:17" s="64" customFormat="1" ht="16.5" thickBot="1">
      <c r="A10" s="370"/>
      <c r="B10" s="336" t="s">
        <v>129</v>
      </c>
      <c r="C10" s="1094"/>
      <c r="D10" s="1095"/>
      <c r="E10" s="1096"/>
      <c r="F10" s="1097"/>
      <c r="G10" s="1098"/>
      <c r="H10" s="1096"/>
      <c r="I10" s="1097"/>
      <c r="J10" s="1098"/>
      <c r="K10" s="1096"/>
      <c r="L10" s="1099"/>
      <c r="M10" s="1108"/>
      <c r="N10" s="1107"/>
      <c r="O10" s="1099"/>
      <c r="P10" s="1108"/>
      <c r="Q10" s="1109"/>
    </row>
    <row r="11" spans="1:17" s="64" customFormat="1" ht="15" customHeight="1" thickBot="1">
      <c r="A11" s="303">
        <v>1</v>
      </c>
      <c r="B11" s="295" t="s">
        <v>113</v>
      </c>
      <c r="C11" s="304">
        <v>94158</v>
      </c>
      <c r="D11" s="304">
        <v>2393</v>
      </c>
      <c r="E11" s="348">
        <f>SUM(C11:D11)</f>
        <v>96551</v>
      </c>
      <c r="F11" s="304">
        <v>100416</v>
      </c>
      <c r="G11" s="304">
        <v>636</v>
      </c>
      <c r="H11" s="348">
        <f>SUM(F11:G11)</f>
        <v>101052</v>
      </c>
      <c r="I11" s="304">
        <v>7770</v>
      </c>
      <c r="J11" s="304">
        <v>-243</v>
      </c>
      <c r="K11" s="348">
        <f aca="true" t="shared" si="0" ref="K11:K16">SUM(I11:J11)</f>
        <v>7527</v>
      </c>
      <c r="L11" s="304">
        <v>19766</v>
      </c>
      <c r="M11" s="304">
        <v>5606</v>
      </c>
      <c r="N11" s="308">
        <f aca="true" t="shared" si="1" ref="N11:N16">SUM(L11:M11)</f>
        <v>25372</v>
      </c>
      <c r="O11" s="1123">
        <v>1706</v>
      </c>
      <c r="P11" s="377">
        <v>197</v>
      </c>
      <c r="Q11" s="1111">
        <f aca="true" t="shared" si="2" ref="Q11:Q16">SUM(O11:P11)</f>
        <v>1903</v>
      </c>
    </row>
    <row r="12" spans="1:17" s="64" customFormat="1" ht="16.5" thickBot="1">
      <c r="A12" s="307">
        <v>2</v>
      </c>
      <c r="B12" s="295" t="s">
        <v>202</v>
      </c>
      <c r="C12" s="306">
        <v>16458</v>
      </c>
      <c r="D12" s="304">
        <v>371</v>
      </c>
      <c r="E12" s="348">
        <f>SUM(C12:D12)</f>
        <v>16829</v>
      </c>
      <c r="F12" s="306">
        <v>18433</v>
      </c>
      <c r="G12" s="304">
        <v>-636</v>
      </c>
      <c r="H12" s="348">
        <f>SUM(F12:G12)</f>
        <v>17797</v>
      </c>
      <c r="I12" s="306">
        <v>1774</v>
      </c>
      <c r="J12" s="304">
        <v>-272</v>
      </c>
      <c r="K12" s="348">
        <f t="shared" si="0"/>
        <v>1502</v>
      </c>
      <c r="L12" s="306">
        <v>9344</v>
      </c>
      <c r="M12" s="304">
        <v>1640</v>
      </c>
      <c r="N12" s="348">
        <f t="shared" si="1"/>
        <v>10984</v>
      </c>
      <c r="O12" s="1123">
        <v>713</v>
      </c>
      <c r="P12" s="377">
        <v>345</v>
      </c>
      <c r="Q12" s="1111">
        <f t="shared" si="2"/>
        <v>1058</v>
      </c>
    </row>
    <row r="13" spans="1:17" s="68" customFormat="1" ht="16.5" thickBot="1">
      <c r="A13" s="307">
        <v>3</v>
      </c>
      <c r="B13" s="295" t="s">
        <v>116</v>
      </c>
      <c r="C13" s="306">
        <v>558882</v>
      </c>
      <c r="D13" s="304">
        <v>-106275</v>
      </c>
      <c r="E13" s="348">
        <f>SUM(C13:D13)</f>
        <v>452607</v>
      </c>
      <c r="F13" s="304">
        <v>2550</v>
      </c>
      <c r="G13" s="304"/>
      <c r="H13" s="348">
        <f>SUM(F13:G13)</f>
        <v>2550</v>
      </c>
      <c r="I13" s="304">
        <v>17579</v>
      </c>
      <c r="J13" s="304">
        <v>53616</v>
      </c>
      <c r="K13" s="348">
        <f t="shared" si="0"/>
        <v>71195</v>
      </c>
      <c r="L13" s="304">
        <v>59853</v>
      </c>
      <c r="M13" s="304">
        <v>-3946</v>
      </c>
      <c r="N13" s="308">
        <f t="shared" si="1"/>
        <v>55907</v>
      </c>
      <c r="O13" s="1123">
        <v>39355</v>
      </c>
      <c r="P13" s="377">
        <v>-542</v>
      </c>
      <c r="Q13" s="1111">
        <f t="shared" si="2"/>
        <v>38813</v>
      </c>
    </row>
    <row r="14" spans="1:17" s="68" customFormat="1" ht="16.5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10">
        <f>SUM(F14:G14)</f>
        <v>0</v>
      </c>
      <c r="I14" s="306"/>
      <c r="J14" s="306"/>
      <c r="K14" s="310">
        <f t="shared" si="0"/>
        <v>0</v>
      </c>
      <c r="L14" s="306"/>
      <c r="M14" s="306"/>
      <c r="N14" s="310">
        <f t="shared" si="1"/>
        <v>0</v>
      </c>
      <c r="O14" s="337"/>
      <c r="P14" s="304"/>
      <c r="Q14" s="310">
        <f t="shared" si="2"/>
        <v>0</v>
      </c>
    </row>
    <row r="15" spans="1:17" s="64" customFormat="1" ht="15.75">
      <c r="A15" s="163" t="s">
        <v>98</v>
      </c>
      <c r="B15" s="152" t="s">
        <v>370</v>
      </c>
      <c r="C15" s="224">
        <v>141742</v>
      </c>
      <c r="D15" s="224">
        <v>4484</v>
      </c>
      <c r="E15" s="379">
        <f>C15+D15</f>
        <v>146226</v>
      </c>
      <c r="F15" s="224"/>
      <c r="G15" s="224"/>
      <c r="H15" s="379">
        <f>F15+G15</f>
        <v>0</v>
      </c>
      <c r="I15" s="224"/>
      <c r="J15" s="224"/>
      <c r="K15" s="379">
        <f t="shared" si="0"/>
        <v>0</v>
      </c>
      <c r="L15" s="224"/>
      <c r="M15" s="224"/>
      <c r="N15" s="296">
        <f t="shared" si="1"/>
        <v>0</v>
      </c>
      <c r="O15" s="1121"/>
      <c r="P15" s="380"/>
      <c r="Q15" s="1110">
        <f t="shared" si="2"/>
        <v>0</v>
      </c>
    </row>
    <row r="16" spans="1:17" s="64" customFormat="1" ht="15.75">
      <c r="A16" s="160" t="s">
        <v>99</v>
      </c>
      <c r="B16" s="156" t="s">
        <v>554</v>
      </c>
      <c r="C16" s="297"/>
      <c r="D16" s="146"/>
      <c r="E16" s="227">
        <f>C16+D16</f>
        <v>0</v>
      </c>
      <c r="F16" s="146"/>
      <c r="G16" s="146"/>
      <c r="H16" s="379">
        <f>F16+G16</f>
        <v>0</v>
      </c>
      <c r="I16" s="146"/>
      <c r="J16" s="146"/>
      <c r="K16" s="379">
        <f t="shared" si="0"/>
        <v>0</v>
      </c>
      <c r="L16" s="146"/>
      <c r="M16" s="146"/>
      <c r="N16" s="296">
        <f t="shared" si="1"/>
        <v>0</v>
      </c>
      <c r="O16" s="1120"/>
      <c r="P16" s="382"/>
      <c r="Q16" s="1110">
        <f t="shared" si="2"/>
        <v>0</v>
      </c>
    </row>
    <row r="17" spans="1:17" s="64" customFormat="1" ht="15.75">
      <c r="A17" s="160" t="s">
        <v>100</v>
      </c>
      <c r="B17" s="156" t="s">
        <v>555</v>
      </c>
      <c r="C17" s="297"/>
      <c r="D17" s="146"/>
      <c r="E17" s="227">
        <f aca="true" t="shared" si="3" ref="E17:E22">C17+D17</f>
        <v>0</v>
      </c>
      <c r="F17" s="146"/>
      <c r="G17" s="146"/>
      <c r="H17" s="379">
        <f aca="true" t="shared" si="4" ref="H17:H22">F17+G17</f>
        <v>0</v>
      </c>
      <c r="I17" s="146"/>
      <c r="J17" s="146"/>
      <c r="K17" s="379">
        <f aca="true" t="shared" si="5" ref="K17:K22">SUM(I17:J17)</f>
        <v>0</v>
      </c>
      <c r="L17" s="146"/>
      <c r="M17" s="146"/>
      <c r="N17" s="296">
        <f aca="true" t="shared" si="6" ref="N17:N22">SUM(L17:M17)</f>
        <v>0</v>
      </c>
      <c r="O17" s="1120"/>
      <c r="P17" s="382"/>
      <c r="Q17" s="1110">
        <f aca="true" t="shared" si="7" ref="Q17:Q22">SUM(O17:P17)</f>
        <v>0</v>
      </c>
    </row>
    <row r="18" spans="1:87" s="2" customFormat="1" ht="15.75">
      <c r="A18" s="160" t="s">
        <v>101</v>
      </c>
      <c r="B18" s="156" t="s">
        <v>371</v>
      </c>
      <c r="C18" s="880">
        <v>4968</v>
      </c>
      <c r="D18" s="146"/>
      <c r="E18" s="227">
        <f t="shared" si="3"/>
        <v>4968</v>
      </c>
      <c r="F18" s="297"/>
      <c r="G18" s="146"/>
      <c r="H18" s="227">
        <f t="shared" si="4"/>
        <v>0</v>
      </c>
      <c r="I18" s="146">
        <v>12253</v>
      </c>
      <c r="J18" s="146"/>
      <c r="K18" s="379">
        <f t="shared" si="5"/>
        <v>12253</v>
      </c>
      <c r="L18" s="146"/>
      <c r="M18" s="146">
        <v>300</v>
      </c>
      <c r="N18" s="296">
        <f t="shared" si="6"/>
        <v>300</v>
      </c>
      <c r="O18" s="1120"/>
      <c r="P18" s="382"/>
      <c r="Q18" s="1110">
        <f t="shared" si="7"/>
        <v>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</row>
    <row r="19" spans="1:17" s="64" customFormat="1" ht="15.75" customHeight="1">
      <c r="A19" s="155" t="s">
        <v>192</v>
      </c>
      <c r="B19" s="156" t="s">
        <v>556</v>
      </c>
      <c r="C19" s="859"/>
      <c r="D19" s="146"/>
      <c r="E19" s="227">
        <f>C19+D19</f>
        <v>0</v>
      </c>
      <c r="F19" s="297"/>
      <c r="G19" s="146"/>
      <c r="H19" s="227">
        <f>F19+G19</f>
        <v>0</v>
      </c>
      <c r="I19" s="297">
        <v>10000</v>
      </c>
      <c r="J19" s="146"/>
      <c r="K19" s="227">
        <f>SUM(I19:J19)</f>
        <v>10000</v>
      </c>
      <c r="L19" s="146"/>
      <c r="M19" s="146"/>
      <c r="N19" s="296">
        <f>SUM(L19:M19)</f>
        <v>0</v>
      </c>
      <c r="O19" s="1120"/>
      <c r="P19" s="382"/>
      <c r="Q19" s="1110">
        <f>SUM(O19:P19)</f>
        <v>0</v>
      </c>
    </row>
    <row r="20" spans="1:17" s="64" customFormat="1" ht="15.75">
      <c r="A20" s="155" t="s">
        <v>327</v>
      </c>
      <c r="B20" s="156" t="s">
        <v>557</v>
      </c>
      <c r="C20" s="859"/>
      <c r="D20" s="146"/>
      <c r="E20" s="227">
        <f t="shared" si="3"/>
        <v>0</v>
      </c>
      <c r="F20" s="297"/>
      <c r="G20" s="146"/>
      <c r="H20" s="227">
        <f t="shared" si="4"/>
        <v>0</v>
      </c>
      <c r="I20" s="297"/>
      <c r="J20" s="1505"/>
      <c r="K20" s="227">
        <f t="shared" si="5"/>
        <v>0</v>
      </c>
      <c r="L20" s="297"/>
      <c r="M20" s="146"/>
      <c r="N20" s="861">
        <f t="shared" si="6"/>
        <v>0</v>
      </c>
      <c r="O20" s="1120"/>
      <c r="P20" s="382"/>
      <c r="Q20" s="1110">
        <f t="shared" si="7"/>
        <v>0</v>
      </c>
    </row>
    <row r="21" spans="1:17" s="64" customFormat="1" ht="15.75">
      <c r="A21" s="153" t="s">
        <v>328</v>
      </c>
      <c r="B21" s="156" t="s">
        <v>372</v>
      </c>
      <c r="C21" s="861"/>
      <c r="D21" s="224"/>
      <c r="E21" s="227">
        <f>C21+D21</f>
        <v>0</v>
      </c>
      <c r="F21" s="296"/>
      <c r="G21" s="224"/>
      <c r="H21" s="227">
        <f t="shared" si="4"/>
        <v>0</v>
      </c>
      <c r="I21" s="296">
        <v>68278</v>
      </c>
      <c r="J21" s="224"/>
      <c r="K21" s="227">
        <f t="shared" si="5"/>
        <v>68278</v>
      </c>
      <c r="L21" s="296">
        <v>42615</v>
      </c>
      <c r="M21" s="224">
        <v>-3600</v>
      </c>
      <c r="N21" s="861">
        <f t="shared" si="6"/>
        <v>39015</v>
      </c>
      <c r="O21" s="1121"/>
      <c r="P21" s="380"/>
      <c r="Q21" s="1110">
        <f t="shared" si="7"/>
        <v>0</v>
      </c>
    </row>
    <row r="22" spans="1:17" s="64" customFormat="1" ht="15" customHeight="1" thickBot="1">
      <c r="A22" s="16" t="s">
        <v>69</v>
      </c>
      <c r="B22" s="324" t="s">
        <v>373</v>
      </c>
      <c r="C22" s="860"/>
      <c r="D22" s="158"/>
      <c r="E22" s="227">
        <f t="shared" si="3"/>
        <v>0</v>
      </c>
      <c r="F22" s="298"/>
      <c r="G22" s="158"/>
      <c r="H22" s="227">
        <f t="shared" si="4"/>
        <v>0</v>
      </c>
      <c r="I22" s="1137"/>
      <c r="J22" s="383"/>
      <c r="K22" s="1110">
        <f t="shared" si="5"/>
        <v>0</v>
      </c>
      <c r="L22" s="298"/>
      <c r="M22" s="158"/>
      <c r="N22" s="861">
        <f t="shared" si="6"/>
        <v>0</v>
      </c>
      <c r="O22" s="1122"/>
      <c r="P22" s="383"/>
      <c r="Q22" s="1110">
        <f t="shared" si="7"/>
        <v>0</v>
      </c>
    </row>
    <row r="23" spans="1:17" s="68" customFormat="1" ht="16.5" thickBot="1">
      <c r="A23" s="307">
        <v>5</v>
      </c>
      <c r="B23" s="295" t="s">
        <v>171</v>
      </c>
      <c r="C23" s="337">
        <f aca="true" t="shared" si="8" ref="C23:Q23">SUM(C15:C22)</f>
        <v>146710</v>
      </c>
      <c r="D23" s="304">
        <f t="shared" si="8"/>
        <v>4484</v>
      </c>
      <c r="E23" s="310">
        <f t="shared" si="8"/>
        <v>151194</v>
      </c>
      <c r="F23" s="320">
        <f t="shared" si="8"/>
        <v>0</v>
      </c>
      <c r="G23" s="304">
        <f t="shared" si="8"/>
        <v>0</v>
      </c>
      <c r="H23" s="320">
        <f t="shared" si="8"/>
        <v>0</v>
      </c>
      <c r="I23" s="337">
        <f t="shared" si="8"/>
        <v>90531</v>
      </c>
      <c r="J23" s="304">
        <f t="shared" si="8"/>
        <v>0</v>
      </c>
      <c r="K23" s="310">
        <f t="shared" si="8"/>
        <v>90531</v>
      </c>
      <c r="L23" s="337">
        <f t="shared" si="8"/>
        <v>42615</v>
      </c>
      <c r="M23" s="304">
        <f t="shared" si="8"/>
        <v>-3300</v>
      </c>
      <c r="N23" s="310">
        <f t="shared" si="8"/>
        <v>39315</v>
      </c>
      <c r="O23" s="337">
        <f t="shared" si="8"/>
        <v>0</v>
      </c>
      <c r="P23" s="304">
        <f t="shared" si="8"/>
        <v>0</v>
      </c>
      <c r="Q23" s="310">
        <f t="shared" si="8"/>
        <v>0</v>
      </c>
    </row>
    <row r="24" spans="1:44" s="2" customFormat="1" ht="16.5" thickBot="1">
      <c r="A24" s="303">
        <v>6</v>
      </c>
      <c r="B24" s="295" t="s">
        <v>174</v>
      </c>
      <c r="C24" s="308">
        <v>2500</v>
      </c>
      <c r="D24" s="304">
        <v>18228</v>
      </c>
      <c r="E24" s="310">
        <f aca="true" t="shared" si="9" ref="E24:E30">SUM(C24:D24)</f>
        <v>20728</v>
      </c>
      <c r="F24" s="308"/>
      <c r="G24" s="304"/>
      <c r="H24" s="310">
        <f aca="true" t="shared" si="10" ref="H24:H30">SUM(F24:G24)</f>
        <v>0</v>
      </c>
      <c r="I24" s="308">
        <v>6929</v>
      </c>
      <c r="J24" s="304"/>
      <c r="K24" s="310">
        <f aca="true" t="shared" si="11" ref="K24:K30">SUM(I24:J24)</f>
        <v>6929</v>
      </c>
      <c r="L24" s="308">
        <v>2600</v>
      </c>
      <c r="M24" s="304">
        <v>1082</v>
      </c>
      <c r="N24" s="320">
        <f aca="true" t="shared" si="12" ref="N24:N30">SUM(L24:M24)</f>
        <v>3682</v>
      </c>
      <c r="O24" s="1123"/>
      <c r="P24" s="377">
        <v>2223</v>
      </c>
      <c r="Q24" s="1111">
        <f aca="true" t="shared" si="13" ref="Q24:Q30">SUM(O24:P24)</f>
        <v>2223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s="138" customFormat="1" ht="16.5" thickBot="1">
      <c r="A25" s="303">
        <v>7</v>
      </c>
      <c r="B25" s="295" t="s">
        <v>421</v>
      </c>
      <c r="C25" s="308">
        <v>1000</v>
      </c>
      <c r="D25" s="304">
        <v>27023</v>
      </c>
      <c r="E25" s="310">
        <f t="shared" si="9"/>
        <v>28023</v>
      </c>
      <c r="F25" s="308"/>
      <c r="G25" s="304"/>
      <c r="H25" s="320">
        <f t="shared" si="10"/>
        <v>0</v>
      </c>
      <c r="I25" s="337">
        <v>37981</v>
      </c>
      <c r="J25" s="304">
        <v>-23310</v>
      </c>
      <c r="K25" s="310">
        <f t="shared" si="11"/>
        <v>14671</v>
      </c>
      <c r="L25" s="320"/>
      <c r="M25" s="304"/>
      <c r="N25" s="320">
        <f t="shared" si="12"/>
        <v>0</v>
      </c>
      <c r="O25" s="1123"/>
      <c r="P25" s="377"/>
      <c r="Q25" s="1111">
        <f t="shared" si="13"/>
        <v>0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s="2" customFormat="1" ht="15.75">
      <c r="A26" s="163" t="s">
        <v>98</v>
      </c>
      <c r="B26" s="156" t="s">
        <v>560</v>
      </c>
      <c r="C26" s="296"/>
      <c r="D26" s="224"/>
      <c r="E26" s="227">
        <f t="shared" si="9"/>
        <v>0</v>
      </c>
      <c r="F26" s="296"/>
      <c r="G26" s="224"/>
      <c r="H26" s="227">
        <f t="shared" si="10"/>
        <v>0</v>
      </c>
      <c r="I26" s="296"/>
      <c r="J26" s="224"/>
      <c r="K26" s="227">
        <f t="shared" si="11"/>
        <v>0</v>
      </c>
      <c r="L26" s="296"/>
      <c r="M26" s="224"/>
      <c r="N26" s="861">
        <f t="shared" si="12"/>
        <v>0</v>
      </c>
      <c r="O26" s="1121"/>
      <c r="P26" s="380"/>
      <c r="Q26" s="1110">
        <f t="shared" si="13"/>
        <v>0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s="2" customFormat="1" ht="15.75">
      <c r="A27" s="163" t="s">
        <v>99</v>
      </c>
      <c r="B27" s="156" t="s">
        <v>558</v>
      </c>
      <c r="C27" s="296"/>
      <c r="D27" s="224"/>
      <c r="E27" s="227">
        <f t="shared" si="9"/>
        <v>0</v>
      </c>
      <c r="F27" s="296"/>
      <c r="G27" s="224"/>
      <c r="H27" s="227">
        <f t="shared" si="10"/>
        <v>0</v>
      </c>
      <c r="I27" s="296"/>
      <c r="J27" s="224"/>
      <c r="K27" s="227">
        <f t="shared" si="11"/>
        <v>0</v>
      </c>
      <c r="L27" s="296"/>
      <c r="M27" s="224"/>
      <c r="N27" s="861">
        <f t="shared" si="12"/>
        <v>0</v>
      </c>
      <c r="O27" s="1121"/>
      <c r="P27" s="380"/>
      <c r="Q27" s="1110">
        <f t="shared" si="13"/>
        <v>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s="2" customFormat="1" ht="15.75">
      <c r="A28" s="163" t="s">
        <v>100</v>
      </c>
      <c r="B28" s="156" t="s">
        <v>374</v>
      </c>
      <c r="C28" s="296"/>
      <c r="D28" s="224"/>
      <c r="E28" s="227">
        <f t="shared" si="9"/>
        <v>0</v>
      </c>
      <c r="F28" s="296"/>
      <c r="G28" s="224"/>
      <c r="H28" s="227">
        <f t="shared" si="10"/>
        <v>0</v>
      </c>
      <c r="I28" s="296">
        <v>1165</v>
      </c>
      <c r="J28" s="224"/>
      <c r="K28" s="227">
        <f t="shared" si="11"/>
        <v>1165</v>
      </c>
      <c r="L28" s="296"/>
      <c r="M28" s="146"/>
      <c r="N28" s="861">
        <f t="shared" si="12"/>
        <v>0</v>
      </c>
      <c r="O28" s="1121"/>
      <c r="P28" s="380"/>
      <c r="Q28" s="1110">
        <f t="shared" si="13"/>
        <v>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s="2" customFormat="1" ht="15.75">
      <c r="A29" s="163" t="s">
        <v>101</v>
      </c>
      <c r="B29" s="156" t="s">
        <v>559</v>
      </c>
      <c r="C29" s="296">
        <v>12859</v>
      </c>
      <c r="D29" s="224">
        <v>459</v>
      </c>
      <c r="E29" s="227">
        <f t="shared" si="9"/>
        <v>13318</v>
      </c>
      <c r="F29" s="296"/>
      <c r="G29" s="224"/>
      <c r="H29" s="227">
        <f t="shared" si="10"/>
        <v>0</v>
      </c>
      <c r="I29" s="296"/>
      <c r="J29" s="224"/>
      <c r="K29" s="227">
        <f t="shared" si="11"/>
        <v>0</v>
      </c>
      <c r="L29" s="296"/>
      <c r="M29" s="224"/>
      <c r="N29" s="861">
        <f t="shared" si="12"/>
        <v>0</v>
      </c>
      <c r="O29" s="1121"/>
      <c r="P29" s="380"/>
      <c r="Q29" s="1110">
        <f t="shared" si="13"/>
        <v>0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s="2" customFormat="1" ht="16.5" thickBot="1">
      <c r="A30" s="325" t="s">
        <v>192</v>
      </c>
      <c r="B30" s="156" t="s">
        <v>375</v>
      </c>
      <c r="C30" s="319"/>
      <c r="D30" s="311"/>
      <c r="E30" s="314">
        <f t="shared" si="9"/>
        <v>0</v>
      </c>
      <c r="F30" s="319"/>
      <c r="G30" s="311"/>
      <c r="H30" s="314">
        <f t="shared" si="10"/>
        <v>0</v>
      </c>
      <c r="I30" s="319">
        <v>44397</v>
      </c>
      <c r="J30" s="311">
        <v>-272</v>
      </c>
      <c r="K30" s="314">
        <f t="shared" si="11"/>
        <v>44125</v>
      </c>
      <c r="L30" s="319">
        <v>461</v>
      </c>
      <c r="M30" s="311"/>
      <c r="N30" s="164">
        <f t="shared" si="12"/>
        <v>461</v>
      </c>
      <c r="O30" s="1124"/>
      <c r="P30" s="386"/>
      <c r="Q30" s="1112">
        <f t="shared" si="13"/>
        <v>0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</row>
    <row r="31" spans="1:44" s="138" customFormat="1" ht="16.5" thickBot="1">
      <c r="A31" s="303">
        <v>8</v>
      </c>
      <c r="B31" s="295" t="s">
        <v>173</v>
      </c>
      <c r="C31" s="337">
        <f aca="true" t="shared" si="14" ref="C31:Q31">SUM(C26:C30)</f>
        <v>12859</v>
      </c>
      <c r="D31" s="304">
        <f t="shared" si="14"/>
        <v>459</v>
      </c>
      <c r="E31" s="310">
        <f t="shared" si="14"/>
        <v>13318</v>
      </c>
      <c r="F31" s="320">
        <f t="shared" si="14"/>
        <v>0</v>
      </c>
      <c r="G31" s="304">
        <f t="shared" si="14"/>
        <v>0</v>
      </c>
      <c r="H31" s="320">
        <f t="shared" si="14"/>
        <v>0</v>
      </c>
      <c r="I31" s="337">
        <f t="shared" si="14"/>
        <v>45562</v>
      </c>
      <c r="J31" s="304">
        <f t="shared" si="14"/>
        <v>-272</v>
      </c>
      <c r="K31" s="310">
        <f t="shared" si="14"/>
        <v>45290</v>
      </c>
      <c r="L31" s="337">
        <f t="shared" si="14"/>
        <v>461</v>
      </c>
      <c r="M31" s="304">
        <f t="shared" si="14"/>
        <v>0</v>
      </c>
      <c r="N31" s="320">
        <f t="shared" si="14"/>
        <v>461</v>
      </c>
      <c r="O31" s="337">
        <f t="shared" si="14"/>
        <v>0</v>
      </c>
      <c r="P31" s="304">
        <f t="shared" si="14"/>
        <v>0</v>
      </c>
      <c r="Q31" s="310">
        <f t="shared" si="14"/>
        <v>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</row>
    <row r="32" spans="1:17" s="2" customFormat="1" ht="16.5" thickBot="1">
      <c r="A32" s="303">
        <v>9</v>
      </c>
      <c r="B32" s="295" t="s">
        <v>179</v>
      </c>
      <c r="C32" s="308">
        <v>72111</v>
      </c>
      <c r="D32" s="304">
        <v>114695</v>
      </c>
      <c r="E32" s="310">
        <f>SUM(C32:D32)</f>
        <v>186806</v>
      </c>
      <c r="F32" s="308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20">
        <f>SUM(L32:M32)</f>
        <v>0</v>
      </c>
      <c r="O32" s="1123"/>
      <c r="P32" s="377"/>
      <c r="Q32" s="1111">
        <f>SUM(O32:P32)</f>
        <v>0</v>
      </c>
    </row>
    <row r="33" spans="1:17" s="37" customFormat="1" ht="16.5" thickBot="1">
      <c r="A33" s="357">
        <v>10</v>
      </c>
      <c r="B33" s="358"/>
      <c r="C33" s="908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287">
        <f>SUM(L33:M33)</f>
        <v>0</v>
      </c>
      <c r="O33" s="165"/>
      <c r="P33" s="359"/>
      <c r="Q33" s="1101">
        <f>SUM(O33:P33)</f>
        <v>0</v>
      </c>
    </row>
    <row r="34" spans="1:17" s="37" customFormat="1" ht="17.25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904678</v>
      </c>
      <c r="D34" s="334">
        <f t="shared" si="15"/>
        <v>61378</v>
      </c>
      <c r="E34" s="746">
        <f t="shared" si="15"/>
        <v>966056</v>
      </c>
      <c r="F34" s="355">
        <f t="shared" si="15"/>
        <v>121399</v>
      </c>
      <c r="G34" s="334">
        <f t="shared" si="15"/>
        <v>0</v>
      </c>
      <c r="H34" s="746">
        <f t="shared" si="15"/>
        <v>121399</v>
      </c>
      <c r="I34" s="355">
        <f t="shared" si="15"/>
        <v>208126</v>
      </c>
      <c r="J34" s="334">
        <f t="shared" si="15"/>
        <v>29519</v>
      </c>
      <c r="K34" s="746">
        <f t="shared" si="15"/>
        <v>237645</v>
      </c>
      <c r="L34" s="355">
        <f t="shared" si="15"/>
        <v>134639</v>
      </c>
      <c r="M34" s="334">
        <f t="shared" si="15"/>
        <v>1082</v>
      </c>
      <c r="N34" s="746">
        <f t="shared" si="15"/>
        <v>135721</v>
      </c>
      <c r="O34" s="355">
        <f t="shared" si="15"/>
        <v>41774</v>
      </c>
      <c r="P34" s="334">
        <f t="shared" si="15"/>
        <v>2223</v>
      </c>
      <c r="Q34" s="364">
        <f t="shared" si="15"/>
        <v>43997</v>
      </c>
    </row>
    <row r="35" spans="1:21" s="2" customFormat="1" ht="17.25" thickBot="1" thickTop="1">
      <c r="A35" s="151"/>
      <c r="B35" s="336" t="s">
        <v>131</v>
      </c>
      <c r="C35" s="1071"/>
      <c r="D35" s="292"/>
      <c r="E35" s="1102"/>
      <c r="F35" s="862"/>
      <c r="G35" s="292"/>
      <c r="H35" s="1102"/>
      <c r="I35" s="909"/>
      <c r="J35" s="292"/>
      <c r="K35" s="1102"/>
      <c r="L35" s="909"/>
      <c r="M35" s="292"/>
      <c r="N35" s="862"/>
      <c r="O35" s="1071"/>
      <c r="P35" s="292"/>
      <c r="Q35" s="1102"/>
      <c r="R35" s="207"/>
      <c r="S35" s="207"/>
      <c r="T35" s="207"/>
      <c r="U35" s="207"/>
    </row>
    <row r="36" spans="1:17" s="2" customFormat="1" ht="15.75">
      <c r="A36" s="737" t="s">
        <v>98</v>
      </c>
      <c r="B36" s="738" t="s">
        <v>376</v>
      </c>
      <c r="C36" s="1079"/>
      <c r="D36" s="739"/>
      <c r="E36" s="744">
        <f aca="true" t="shared" si="16" ref="E36:E44"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3">
        <f>SUM(L36:M36)</f>
        <v>0</v>
      </c>
      <c r="O36" s="1125"/>
      <c r="P36" s="742"/>
      <c r="Q36" s="1113">
        <f>SUM(O36:P36)</f>
        <v>0</v>
      </c>
    </row>
    <row r="37" spans="1:17" s="2" customFormat="1" ht="15.75">
      <c r="A37" s="160" t="s">
        <v>99</v>
      </c>
      <c r="B37" s="156" t="s">
        <v>235</v>
      </c>
      <c r="C37" s="880">
        <v>20693</v>
      </c>
      <c r="D37" s="146"/>
      <c r="E37" s="169">
        <f>SUM(C37:D37)</f>
        <v>20693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859">
        <f>SUM(L37:M37)</f>
        <v>0</v>
      </c>
      <c r="O37" s="1120"/>
      <c r="P37" s="382"/>
      <c r="Q37" s="1114">
        <f>SUM(O37:P37)</f>
        <v>0</v>
      </c>
    </row>
    <row r="38" spans="1:17" s="2" customFormat="1" ht="15.75">
      <c r="A38" s="325" t="s">
        <v>100</v>
      </c>
      <c r="B38" s="149" t="s">
        <v>377</v>
      </c>
      <c r="C38" s="1070"/>
      <c r="D38" s="311"/>
      <c r="E38" s="314">
        <f t="shared" si="16"/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164">
        <f>SUM(L38:M38)</f>
        <v>0</v>
      </c>
      <c r="O38" s="1124"/>
      <c r="P38" s="386"/>
      <c r="Q38" s="1112">
        <f>SUM(O38:P38)</f>
        <v>0</v>
      </c>
    </row>
    <row r="39" spans="1:17" s="2" customFormat="1" ht="16.5" thickBot="1">
      <c r="A39" s="161" t="s">
        <v>101</v>
      </c>
      <c r="B39" s="162" t="s">
        <v>381</v>
      </c>
      <c r="C39" s="881"/>
      <c r="D39" s="158"/>
      <c r="E39" s="237">
        <f>SUM(C39:D39)</f>
        <v>0</v>
      </c>
      <c r="F39" s="860"/>
      <c r="G39" s="158"/>
      <c r="H39" s="237">
        <f>SUM(F39:G39)</f>
        <v>0</v>
      </c>
      <c r="I39" s="881"/>
      <c r="J39" s="158"/>
      <c r="K39" s="237">
        <f>SUM(I39:J39)</f>
        <v>0</v>
      </c>
      <c r="L39" s="881"/>
      <c r="M39" s="158"/>
      <c r="N39" s="860">
        <f>SUM(L39:M39)</f>
        <v>0</v>
      </c>
      <c r="O39" s="1122"/>
      <c r="P39" s="383"/>
      <c r="Q39" s="1115">
        <f>SUM(O39:P39)</f>
        <v>0</v>
      </c>
    </row>
    <row r="40" spans="1:17" s="138" customFormat="1" ht="16.5" thickBot="1">
      <c r="A40" s="303">
        <v>1</v>
      </c>
      <c r="B40" s="295" t="s">
        <v>177</v>
      </c>
      <c r="C40" s="337">
        <f aca="true" t="shared" si="17" ref="C40:Q40">SUM(C36:C39)</f>
        <v>20693</v>
      </c>
      <c r="D40" s="304">
        <f t="shared" si="17"/>
        <v>0</v>
      </c>
      <c r="E40" s="310">
        <f t="shared" si="17"/>
        <v>20693</v>
      </c>
      <c r="F40" s="337">
        <f t="shared" si="17"/>
        <v>0</v>
      </c>
      <c r="G40" s="304">
        <f t="shared" si="17"/>
        <v>0</v>
      </c>
      <c r="H40" s="310">
        <f t="shared" si="17"/>
        <v>0</v>
      </c>
      <c r="I40" s="337">
        <f t="shared" si="17"/>
        <v>0</v>
      </c>
      <c r="J40" s="304">
        <f t="shared" si="17"/>
        <v>0</v>
      </c>
      <c r="K40" s="310">
        <f t="shared" si="17"/>
        <v>0</v>
      </c>
      <c r="L40" s="337">
        <f t="shared" si="17"/>
        <v>0</v>
      </c>
      <c r="M40" s="304">
        <f t="shared" si="17"/>
        <v>0</v>
      </c>
      <c r="N40" s="310">
        <f t="shared" si="17"/>
        <v>0</v>
      </c>
      <c r="O40" s="337">
        <f t="shared" si="17"/>
        <v>0</v>
      </c>
      <c r="P40" s="304">
        <f t="shared" si="17"/>
        <v>0</v>
      </c>
      <c r="Q40" s="310">
        <f t="shared" si="17"/>
        <v>0</v>
      </c>
    </row>
    <row r="41" spans="1:17" s="2" customFormat="1" ht="15.75">
      <c r="A41" s="163" t="s">
        <v>98</v>
      </c>
      <c r="B41" s="152" t="s">
        <v>403</v>
      </c>
      <c r="C41" s="1069"/>
      <c r="D41" s="224"/>
      <c r="E41" s="227">
        <f t="shared" si="16"/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861">
        <f>SUM(L41:M41)</f>
        <v>0</v>
      </c>
      <c r="O41" s="1121"/>
      <c r="P41" s="380"/>
      <c r="Q41" s="1110">
        <f>SUM(O41:P41)</f>
        <v>0</v>
      </c>
    </row>
    <row r="42" spans="1:17" s="2" customFormat="1" ht="15.75">
      <c r="A42" s="160" t="s">
        <v>99</v>
      </c>
      <c r="B42" s="156" t="s">
        <v>378</v>
      </c>
      <c r="C42" s="880"/>
      <c r="D42" s="146"/>
      <c r="E42" s="169">
        <f>SUM(C42:D42)</f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859">
        <f>SUM(L42:M42)</f>
        <v>0</v>
      </c>
      <c r="O42" s="1120"/>
      <c r="P42" s="382"/>
      <c r="Q42" s="1114">
        <f>SUM(O42:P42)</f>
        <v>0</v>
      </c>
    </row>
    <row r="43" spans="1:17" s="2" customFormat="1" ht="15.75">
      <c r="A43" s="160" t="s">
        <v>100</v>
      </c>
      <c r="B43" s="156" t="s">
        <v>379</v>
      </c>
      <c r="C43" s="880"/>
      <c r="D43" s="146"/>
      <c r="E43" s="169">
        <f>SUM(C43:D43)</f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859">
        <f>SUM(L43:M43)</f>
        <v>0</v>
      </c>
      <c r="O43" s="1120"/>
      <c r="P43" s="382"/>
      <c r="Q43" s="1114">
        <f>SUM(O43:P43)</f>
        <v>0</v>
      </c>
    </row>
    <row r="44" spans="1:17" s="2" customFormat="1" ht="16.5" thickBot="1">
      <c r="A44" s="161" t="s">
        <v>101</v>
      </c>
      <c r="B44" s="162" t="s">
        <v>175</v>
      </c>
      <c r="C44" s="881">
        <v>8943</v>
      </c>
      <c r="D44" s="158">
        <v>1833</v>
      </c>
      <c r="E44" s="237">
        <f t="shared" si="16"/>
        <v>10776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860">
        <f>SUM(L44:M44)</f>
        <v>0</v>
      </c>
      <c r="O44" s="1122"/>
      <c r="P44" s="383"/>
      <c r="Q44" s="1115">
        <f>SUM(O44:P44)</f>
        <v>0</v>
      </c>
    </row>
    <row r="45" spans="1:17" s="138" customFormat="1" ht="16.5" thickBot="1">
      <c r="A45" s="303">
        <v>2</v>
      </c>
      <c r="B45" s="295" t="s">
        <v>176</v>
      </c>
      <c r="C45" s="337">
        <f>SUM(C41:C44)</f>
        <v>8943</v>
      </c>
      <c r="D45" s="304">
        <f aca="true" t="shared" si="18" ref="D45:Q45">SUM(D41:D44)</f>
        <v>1833</v>
      </c>
      <c r="E45" s="306">
        <f t="shared" si="18"/>
        <v>10776</v>
      </c>
      <c r="F45" s="337">
        <f t="shared" si="18"/>
        <v>0</v>
      </c>
      <c r="G45" s="304">
        <f t="shared" si="18"/>
        <v>0</v>
      </c>
      <c r="H45" s="306">
        <f t="shared" si="18"/>
        <v>0</v>
      </c>
      <c r="I45" s="337">
        <f t="shared" si="18"/>
        <v>0</v>
      </c>
      <c r="J45" s="304">
        <f t="shared" si="18"/>
        <v>0</v>
      </c>
      <c r="K45" s="306">
        <f t="shared" si="18"/>
        <v>0</v>
      </c>
      <c r="L45" s="337">
        <f t="shared" si="18"/>
        <v>0</v>
      </c>
      <c r="M45" s="304">
        <f t="shared" si="18"/>
        <v>0</v>
      </c>
      <c r="N45" s="320">
        <f t="shared" si="18"/>
        <v>0</v>
      </c>
      <c r="O45" s="337">
        <f t="shared" si="18"/>
        <v>0</v>
      </c>
      <c r="P45" s="304">
        <f t="shared" si="18"/>
        <v>0</v>
      </c>
      <c r="Q45" s="310">
        <f t="shared" si="18"/>
        <v>0</v>
      </c>
    </row>
    <row r="46" spans="1:17" s="138" customFormat="1" ht="16.5" thickBot="1">
      <c r="A46" s="303">
        <v>3</v>
      </c>
      <c r="B46" s="295" t="s">
        <v>254</v>
      </c>
      <c r="C46" s="337">
        <v>56878</v>
      </c>
      <c r="D46" s="304">
        <v>16084</v>
      </c>
      <c r="E46" s="306">
        <f>SUM(C46:D46)</f>
        <v>72962</v>
      </c>
      <c r="F46" s="337"/>
      <c r="G46" s="304"/>
      <c r="H46" s="306">
        <f>SUM(F46:G46)</f>
        <v>0</v>
      </c>
      <c r="I46" s="337"/>
      <c r="J46" s="304"/>
      <c r="K46" s="306">
        <f>SUM(I46:J46)</f>
        <v>0</v>
      </c>
      <c r="L46" s="337">
        <v>101</v>
      </c>
      <c r="M46" s="304">
        <v>33</v>
      </c>
      <c r="N46" s="320">
        <f>SUM(L46:M46)</f>
        <v>134</v>
      </c>
      <c r="O46" s="337"/>
      <c r="P46" s="304">
        <v>381</v>
      </c>
      <c r="Q46" s="310">
        <f>SUM(O46:P46)</f>
        <v>381</v>
      </c>
    </row>
    <row r="47" spans="1:17" s="2" customFormat="1" ht="16.5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>
        <v>10000</v>
      </c>
      <c r="J47" s="304"/>
      <c r="K47" s="306">
        <f>SUM(I47:J47)</f>
        <v>10000</v>
      </c>
      <c r="L47" s="337">
        <v>85</v>
      </c>
      <c r="M47" s="304"/>
      <c r="N47" s="320">
        <f>SUM(L47:M47)</f>
        <v>85</v>
      </c>
      <c r="O47" s="337"/>
      <c r="P47" s="304"/>
      <c r="Q47" s="310">
        <f>SUM(O47:P47)</f>
        <v>0</v>
      </c>
    </row>
    <row r="48" spans="1:17" s="2" customFormat="1" ht="15.7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/>
      <c r="M48" s="224">
        <v>1082</v>
      </c>
      <c r="N48" s="861">
        <f>SUM(L48:M48)</f>
        <v>1082</v>
      </c>
      <c r="O48" s="1121"/>
      <c r="P48" s="380"/>
      <c r="Q48" s="1110">
        <f>SUM(O48:P48)</f>
        <v>0</v>
      </c>
    </row>
    <row r="49" spans="1:17" s="2" customFormat="1" ht="15.7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859">
        <f>SUM(L49:M49)</f>
        <v>0</v>
      </c>
      <c r="O49" s="1120"/>
      <c r="P49" s="382"/>
      <c r="Q49" s="1114">
        <f>SUM(O49:P49)</f>
        <v>0</v>
      </c>
    </row>
    <row r="50" spans="1:17" s="2" customFormat="1" ht="16.5" thickBot="1">
      <c r="A50" s="161" t="s">
        <v>100</v>
      </c>
      <c r="B50" s="324" t="s">
        <v>413</v>
      </c>
      <c r="C50" s="880"/>
      <c r="D50" s="146"/>
      <c r="E50" s="169">
        <f>SUM(C50:D50)</f>
        <v>0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880"/>
      <c r="M50" s="146"/>
      <c r="N50" s="859">
        <f>SUM(L50:M50)</f>
        <v>0</v>
      </c>
      <c r="O50" s="1120"/>
      <c r="P50" s="382"/>
      <c r="Q50" s="1114">
        <f>SUM(O50:P50)</f>
        <v>0</v>
      </c>
    </row>
    <row r="51" spans="1:17" s="138" customFormat="1" ht="16.5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19" ref="E51:Q51">SUM(E48:E50)</f>
        <v>0</v>
      </c>
      <c r="F51" s="337">
        <f t="shared" si="19"/>
        <v>0</v>
      </c>
      <c r="G51" s="304">
        <f t="shared" si="19"/>
        <v>0</v>
      </c>
      <c r="H51" s="306">
        <f t="shared" si="19"/>
        <v>0</v>
      </c>
      <c r="I51" s="337">
        <f t="shared" si="19"/>
        <v>0</v>
      </c>
      <c r="J51" s="304">
        <f t="shared" si="19"/>
        <v>0</v>
      </c>
      <c r="K51" s="306">
        <f t="shared" si="19"/>
        <v>0</v>
      </c>
      <c r="L51" s="337">
        <f t="shared" si="19"/>
        <v>0</v>
      </c>
      <c r="M51" s="304">
        <f t="shared" si="19"/>
        <v>1082</v>
      </c>
      <c r="N51" s="306">
        <f t="shared" si="19"/>
        <v>1082</v>
      </c>
      <c r="O51" s="337">
        <f t="shared" si="19"/>
        <v>0</v>
      </c>
      <c r="P51" s="304">
        <f t="shared" si="19"/>
        <v>0</v>
      </c>
      <c r="Q51" s="310">
        <f t="shared" si="19"/>
        <v>0</v>
      </c>
    </row>
    <row r="52" spans="1:17" s="138" customFormat="1" ht="16.5" thickBot="1">
      <c r="A52" s="733">
        <v>6</v>
      </c>
      <c r="B52" s="734" t="s">
        <v>285</v>
      </c>
      <c r="C52" s="1072">
        <v>4</v>
      </c>
      <c r="D52" s="329"/>
      <c r="E52" s="322">
        <f>SUM(C52:D52)</f>
        <v>4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1078"/>
      <c r="M52" s="329"/>
      <c r="N52" s="323">
        <f>SUM(L52:M52)</f>
        <v>0</v>
      </c>
      <c r="O52" s="1126"/>
      <c r="P52" s="727"/>
      <c r="Q52" s="1116">
        <f>SUM(O52:P52)</f>
        <v>0</v>
      </c>
    </row>
    <row r="53" spans="1:17" s="2" customFormat="1" ht="15.75">
      <c r="A53" s="144" t="s">
        <v>98</v>
      </c>
      <c r="B53" s="145" t="s">
        <v>382</v>
      </c>
      <c r="C53" s="1073">
        <v>2099</v>
      </c>
      <c r="D53" s="147">
        <v>459</v>
      </c>
      <c r="E53" s="203">
        <f>SUM(C53:D53)</f>
        <v>2558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1073"/>
      <c r="M53" s="147"/>
      <c r="N53" s="863">
        <f>SUM(L53:M53)</f>
        <v>0</v>
      </c>
      <c r="O53" s="1127"/>
      <c r="P53" s="391"/>
      <c r="Q53" s="1117">
        <f>SUM(O53:P53)</f>
        <v>0</v>
      </c>
    </row>
    <row r="54" spans="1:17" s="2" customFormat="1" ht="16.5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164">
        <f>SUM(L54:M54)</f>
        <v>0</v>
      </c>
      <c r="O54" s="1124"/>
      <c r="P54" s="386"/>
      <c r="Q54" s="1112">
        <f>SUM(O54:P54)</f>
        <v>0</v>
      </c>
    </row>
    <row r="55" spans="1:17" s="138" customFormat="1" ht="17.25" customHeight="1" thickBot="1">
      <c r="A55" s="303">
        <v>7</v>
      </c>
      <c r="B55" s="295" t="s">
        <v>181</v>
      </c>
      <c r="C55" s="337">
        <f>SUM(C53:C54)</f>
        <v>2099</v>
      </c>
      <c r="D55" s="304">
        <f aca="true" t="shared" si="20" ref="D55:Q55">SUM(D53:D54)</f>
        <v>459</v>
      </c>
      <c r="E55" s="306">
        <f t="shared" si="20"/>
        <v>2558</v>
      </c>
      <c r="F55" s="337">
        <f t="shared" si="20"/>
        <v>0</v>
      </c>
      <c r="G55" s="304">
        <f t="shared" si="20"/>
        <v>0</v>
      </c>
      <c r="H55" s="306">
        <f t="shared" si="20"/>
        <v>0</v>
      </c>
      <c r="I55" s="337">
        <f t="shared" si="20"/>
        <v>0</v>
      </c>
      <c r="J55" s="304">
        <f t="shared" si="20"/>
        <v>0</v>
      </c>
      <c r="K55" s="306">
        <f t="shared" si="20"/>
        <v>0</v>
      </c>
      <c r="L55" s="337">
        <f t="shared" si="20"/>
        <v>0</v>
      </c>
      <c r="M55" s="304">
        <f t="shared" si="20"/>
        <v>0</v>
      </c>
      <c r="N55" s="306">
        <f t="shared" si="20"/>
        <v>0</v>
      </c>
      <c r="O55" s="1080">
        <f t="shared" si="20"/>
        <v>0</v>
      </c>
      <c r="P55" s="1082">
        <f t="shared" si="20"/>
        <v>0</v>
      </c>
      <c r="Q55" s="1084">
        <f t="shared" si="20"/>
        <v>0</v>
      </c>
    </row>
    <row r="56" spans="1:17" s="2" customFormat="1" ht="19.5" customHeight="1" thickBot="1">
      <c r="A56" s="690">
        <v>8</v>
      </c>
      <c r="B56" s="691" t="s">
        <v>46</v>
      </c>
      <c r="C56" s="1105">
        <f>C34-C40-C45-C46-C47-C51-C52-C55-C57-C58-C59</f>
        <v>-4783580</v>
      </c>
      <c r="D56" s="1106">
        <f>D34-D40-D45-D46-D47-D51-D52-D55-D57-D58-D59</f>
        <v>-59093</v>
      </c>
      <c r="E56" s="1103">
        <f aca="true" t="shared" si="21" ref="E56:Q56">E34-E40-E45-E46-E47-E51-E52-E55-E57-E58-E59</f>
        <v>-4842673</v>
      </c>
      <c r="F56" s="1105">
        <f t="shared" si="21"/>
        <v>121399</v>
      </c>
      <c r="G56" s="1106">
        <f t="shared" si="21"/>
        <v>0</v>
      </c>
      <c r="H56" s="1103">
        <f t="shared" si="21"/>
        <v>121399</v>
      </c>
      <c r="I56" s="1105">
        <f t="shared" si="21"/>
        <v>198126</v>
      </c>
      <c r="J56" s="1106">
        <f t="shared" si="21"/>
        <v>29519</v>
      </c>
      <c r="K56" s="1103">
        <f t="shared" si="21"/>
        <v>227645</v>
      </c>
      <c r="L56" s="1105">
        <f t="shared" si="21"/>
        <v>134453</v>
      </c>
      <c r="M56" s="1106">
        <f t="shared" si="21"/>
        <v>-33</v>
      </c>
      <c r="N56" s="1103">
        <f t="shared" si="21"/>
        <v>134420</v>
      </c>
      <c r="O56" s="1128">
        <f t="shared" si="21"/>
        <v>41774</v>
      </c>
      <c r="P56" s="1130">
        <f t="shared" si="21"/>
        <v>1842</v>
      </c>
      <c r="Q56" s="1118">
        <f t="shared" si="21"/>
        <v>43616</v>
      </c>
    </row>
    <row r="57" spans="1:17" s="138" customFormat="1" ht="15.75">
      <c r="A57" s="326" t="s">
        <v>385</v>
      </c>
      <c r="B57" s="327" t="s">
        <v>184</v>
      </c>
      <c r="C57" s="1075">
        <v>4934641</v>
      </c>
      <c r="D57" s="317">
        <v>-12600</v>
      </c>
      <c r="E57" s="1104">
        <f>SUM(C57:D57)</f>
        <v>4922041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864">
        <f>SUM(L57:M57)</f>
        <v>0</v>
      </c>
      <c r="O57" s="1129"/>
      <c r="P57" s="394"/>
      <c r="Q57" s="1119">
        <f>SUM(O57:P57)</f>
        <v>0</v>
      </c>
    </row>
    <row r="58" spans="1:17" s="138" customFormat="1" ht="15.75">
      <c r="A58" s="326" t="s">
        <v>183</v>
      </c>
      <c r="B58" s="327" t="s">
        <v>384</v>
      </c>
      <c r="C58" s="316">
        <v>665000</v>
      </c>
      <c r="D58" s="317">
        <v>114695</v>
      </c>
      <c r="E58" s="392">
        <f>SUM(C58:D58)</f>
        <v>779695</v>
      </c>
      <c r="F58" s="321"/>
      <c r="G58" s="317"/>
      <c r="H58" s="392">
        <f>SUM(F58:G58)</f>
        <v>0</v>
      </c>
      <c r="I58" s="1075"/>
      <c r="J58" s="317"/>
      <c r="K58" s="1104">
        <f>SUM(I58:J58)</f>
        <v>0</v>
      </c>
      <c r="L58" s="1075"/>
      <c r="M58" s="317"/>
      <c r="N58" s="864">
        <f>SUM(L58:M58)</f>
        <v>0</v>
      </c>
      <c r="O58" s="1129"/>
      <c r="P58" s="394"/>
      <c r="Q58" s="1119">
        <f>SUM(O58:P58)</f>
        <v>0</v>
      </c>
    </row>
    <row r="59" spans="1:17" s="138" customFormat="1" ht="16.5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919">
        <f>SUM(L59:M59)</f>
        <v>0</v>
      </c>
      <c r="O59" s="398"/>
      <c r="P59" s="399"/>
      <c r="Q59" s="400">
        <f>SUM(O59:P59)</f>
        <v>0</v>
      </c>
    </row>
    <row r="60" spans="1:17" s="37" customFormat="1" ht="17.25" thickBot="1" thickTop="1">
      <c r="A60" s="333" t="s">
        <v>109</v>
      </c>
      <c r="B60" s="335" t="s">
        <v>182</v>
      </c>
      <c r="C60" s="747">
        <f>C40+C45+C46+C47+C51+C52+C55+C56+C57+C58+C59</f>
        <v>904678</v>
      </c>
      <c r="D60" s="748">
        <f aca="true" t="shared" si="22" ref="D60:Q60">D40+D45+D46+D47+D51+D52+D55+D56+D57+D58+D59</f>
        <v>61378</v>
      </c>
      <c r="E60" s="353">
        <f t="shared" si="22"/>
        <v>966056</v>
      </c>
      <c r="F60" s="354">
        <f t="shared" si="22"/>
        <v>121399</v>
      </c>
      <c r="G60" s="334">
        <f t="shared" si="22"/>
        <v>0</v>
      </c>
      <c r="H60" s="353">
        <f t="shared" si="22"/>
        <v>121399</v>
      </c>
      <c r="I60" s="747">
        <f t="shared" si="22"/>
        <v>208126</v>
      </c>
      <c r="J60" s="748">
        <f t="shared" si="22"/>
        <v>29519</v>
      </c>
      <c r="K60" s="353">
        <f t="shared" si="22"/>
        <v>237645</v>
      </c>
      <c r="L60" s="354">
        <f t="shared" si="22"/>
        <v>134639</v>
      </c>
      <c r="M60" s="334">
        <f t="shared" si="22"/>
        <v>1082</v>
      </c>
      <c r="N60" s="353">
        <f t="shared" si="22"/>
        <v>135721</v>
      </c>
      <c r="O60" s="354">
        <f t="shared" si="22"/>
        <v>41774</v>
      </c>
      <c r="P60" s="334">
        <f t="shared" si="22"/>
        <v>2223</v>
      </c>
      <c r="Q60" s="364">
        <f t="shared" si="22"/>
        <v>43997</v>
      </c>
    </row>
    <row r="61" spans="1:17" s="2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1"/>
      <c r="P61" s="401"/>
      <c r="Q61" s="401"/>
    </row>
    <row r="62" spans="1:17" s="2" customFormat="1" ht="17.25" thickBot="1" thickTop="1">
      <c r="A62" s="174"/>
      <c r="B62" s="175" t="s">
        <v>593</v>
      </c>
      <c r="C62" s="920">
        <v>4</v>
      </c>
      <c r="D62" s="404"/>
      <c r="E62" s="403">
        <f>SUM(C62:D62)</f>
        <v>4</v>
      </c>
      <c r="F62" s="204">
        <v>36</v>
      </c>
      <c r="G62" s="402"/>
      <c r="H62" s="403">
        <f>SUM(F62:G62)</f>
        <v>36</v>
      </c>
      <c r="I62" s="204"/>
      <c r="J62" s="402"/>
      <c r="K62" s="403">
        <f>SUM(I62:J62)</f>
        <v>0</v>
      </c>
      <c r="L62" s="204"/>
      <c r="M62" s="402"/>
      <c r="N62" s="403">
        <f>SUM(L62:M62)</f>
        <v>0</v>
      </c>
      <c r="O62" s="405"/>
      <c r="P62" s="913"/>
      <c r="Q62" s="407">
        <f>SUM(O62:P62)</f>
        <v>0</v>
      </c>
    </row>
    <row r="63" spans="1:17" s="2" customFormat="1" ht="17.25" thickBot="1" thickTop="1">
      <c r="A63" s="174"/>
      <c r="B63" s="175" t="s">
        <v>594</v>
      </c>
      <c r="C63" s="920"/>
      <c r="D63" s="404"/>
      <c r="E63" s="403">
        <f>SUM(C63:D63)</f>
        <v>0</v>
      </c>
      <c r="F63" s="204"/>
      <c r="G63" s="402"/>
      <c r="H63" s="403">
        <f>SUM(F63:G63)</f>
        <v>0</v>
      </c>
      <c r="I63" s="204"/>
      <c r="J63" s="402"/>
      <c r="K63" s="403">
        <f>SUM(I63:J63)</f>
        <v>0</v>
      </c>
      <c r="L63" s="204"/>
      <c r="M63" s="402"/>
      <c r="N63" s="403">
        <f>SUM(L63:M63)</f>
        <v>0</v>
      </c>
      <c r="O63" s="405"/>
      <c r="P63" s="913"/>
      <c r="Q63" s="407">
        <f>SUM(O63:P63)</f>
        <v>0</v>
      </c>
    </row>
    <row r="64" spans="1:17" s="2" customFormat="1" ht="16.5" thickTop="1">
      <c r="A64" s="408"/>
      <c r="B64" s="917"/>
      <c r="C64" s="917"/>
      <c r="D64" s="917"/>
      <c r="E64" s="917"/>
      <c r="F64" s="917"/>
      <c r="G64" s="917"/>
      <c r="H64" s="917"/>
      <c r="I64" s="917"/>
      <c r="J64" s="917"/>
      <c r="K64" s="917"/>
      <c r="L64" s="921"/>
      <c r="M64" s="917"/>
      <c r="N64" s="917"/>
      <c r="O64" s="922"/>
      <c r="P64" s="922"/>
      <c r="Q64" s="922"/>
    </row>
    <row r="65" spans="1:17" s="2" customFormat="1" ht="15.75">
      <c r="A65" s="408"/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22"/>
      <c r="P65" s="922"/>
      <c r="Q65" s="922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21.75" customHeight="1"/>
  <cols>
    <col min="1" max="1" width="5.375" style="409" customWidth="1"/>
    <col min="2" max="2" width="78.375" style="94" customWidth="1"/>
    <col min="3" max="17" width="14.875" style="94" customWidth="1"/>
  </cols>
  <sheetData>
    <row r="1" spans="1:17" ht="12" customHeight="1">
      <c r="A1" s="293"/>
      <c r="B1" s="294"/>
      <c r="C1" s="294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867"/>
      <c r="O1" s="867"/>
      <c r="P1" s="867"/>
      <c r="Q1" s="866" t="s">
        <v>881</v>
      </c>
    </row>
    <row r="2" spans="1:17" ht="12" customHeight="1">
      <c r="A2" s="293"/>
      <c r="B2" s="294"/>
      <c r="C2" s="294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867"/>
      <c r="O2" s="867"/>
      <c r="P2" s="867"/>
      <c r="Q2" s="866" t="s">
        <v>93</v>
      </c>
    </row>
    <row r="3" spans="1:17" ht="12" customHeight="1">
      <c r="A3" s="293"/>
      <c r="B3" s="294"/>
      <c r="C3" s="294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867"/>
      <c r="O3" s="867"/>
      <c r="P3" s="867"/>
      <c r="Q3" s="867" t="s">
        <v>132</v>
      </c>
    </row>
    <row r="4" spans="1:17" ht="21.75" customHeight="1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ht="21.75" customHeight="1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17" ht="21.75" customHeight="1" thickBot="1">
      <c r="A6" s="293"/>
      <c r="B6" s="294"/>
      <c r="C6" s="294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879"/>
      <c r="O6" s="905"/>
      <c r="P6" s="376"/>
      <c r="Q6" s="13" t="s">
        <v>134</v>
      </c>
    </row>
    <row r="7" spans="1:17" s="94" customFormat="1" ht="33.75" customHeight="1">
      <c r="A7" s="229" t="s">
        <v>124</v>
      </c>
      <c r="B7" s="93" t="s">
        <v>125</v>
      </c>
      <c r="C7" s="1913" t="s">
        <v>137</v>
      </c>
      <c r="D7" s="1914"/>
      <c r="E7" s="1915"/>
      <c r="F7" s="1924" t="s">
        <v>138</v>
      </c>
      <c r="G7" s="1925"/>
      <c r="H7" s="1926"/>
      <c r="I7" s="1924" t="s">
        <v>140</v>
      </c>
      <c r="J7" s="1925"/>
      <c r="K7" s="1926"/>
      <c r="L7" s="1913" t="s">
        <v>141</v>
      </c>
      <c r="M7" s="1914"/>
      <c r="N7" s="1915"/>
      <c r="O7" s="1921" t="s">
        <v>412</v>
      </c>
      <c r="P7" s="1922"/>
      <c r="Q7" s="1923"/>
    </row>
    <row r="8" spans="1:17" s="31" customFormat="1" ht="30.75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44" customFormat="1" ht="15.75" customHeight="1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2">
        <v>8</v>
      </c>
      <c r="I9" s="411">
        <v>9</v>
      </c>
      <c r="J9" s="412">
        <v>10</v>
      </c>
      <c r="K9" s="414">
        <v>11</v>
      </c>
      <c r="L9" s="412">
        <v>12</v>
      </c>
      <c r="M9" s="412">
        <v>13</v>
      </c>
      <c r="N9" s="414">
        <v>14</v>
      </c>
      <c r="O9" s="412">
        <v>15</v>
      </c>
      <c r="P9" s="412">
        <v>16</v>
      </c>
      <c r="Q9" s="414">
        <v>17</v>
      </c>
    </row>
    <row r="10" spans="1:17" s="31" customFormat="1" ht="15.75" customHeight="1" thickBot="1">
      <c r="A10" s="370"/>
      <c r="B10" s="336" t="s">
        <v>129</v>
      </c>
      <c r="C10" s="371"/>
      <c r="D10" s="372"/>
      <c r="E10" s="373"/>
      <c r="F10" s="374"/>
      <c r="G10" s="375"/>
      <c r="H10" s="373"/>
      <c r="I10" s="374"/>
      <c r="J10" s="375"/>
      <c r="K10" s="373"/>
      <c r="L10" s="918"/>
      <c r="M10" s="1133"/>
      <c r="N10" s="889"/>
      <c r="O10" s="918"/>
      <c r="P10" s="375"/>
      <c r="Q10" s="889"/>
    </row>
    <row r="11" spans="1:17" s="31" customFormat="1" ht="15.75" customHeight="1" thickBot="1">
      <c r="A11" s="303">
        <v>1</v>
      </c>
      <c r="B11" s="295" t="s">
        <v>113</v>
      </c>
      <c r="C11" s="304"/>
      <c r="D11" s="304"/>
      <c r="E11" s="348">
        <f>SUM(C11:D11)</f>
        <v>0</v>
      </c>
      <c r="F11" s="304"/>
      <c r="G11" s="304"/>
      <c r="H11" s="348">
        <f>SUM(F11:G11)</f>
        <v>0</v>
      </c>
      <c r="I11" s="304">
        <v>6739</v>
      </c>
      <c r="J11" s="304"/>
      <c r="K11" s="348">
        <f aca="true" t="shared" si="0" ref="K11:K16">SUM(I11:J11)</f>
        <v>6739</v>
      </c>
      <c r="L11" s="304">
        <v>1027</v>
      </c>
      <c r="M11" s="304"/>
      <c r="N11" s="348">
        <f aca="true" t="shared" si="1" ref="N11:N16">SUM(L11:M11)</f>
        <v>1027</v>
      </c>
      <c r="O11" s="308">
        <v>739</v>
      </c>
      <c r="P11" s="304"/>
      <c r="Q11" s="310">
        <f aca="true" t="shared" si="2" ref="Q11:Q16">SUM(O11:P11)</f>
        <v>739</v>
      </c>
    </row>
    <row r="12" spans="1:17" ht="15.75" customHeight="1" thickBot="1">
      <c r="A12" s="307">
        <v>2</v>
      </c>
      <c r="B12" s="295" t="s">
        <v>202</v>
      </c>
      <c r="C12" s="306"/>
      <c r="D12" s="304"/>
      <c r="E12" s="348">
        <f>SUM(C12:D12)</f>
        <v>0</v>
      </c>
      <c r="F12" s="306"/>
      <c r="G12" s="304"/>
      <c r="H12" s="348">
        <f>SUM(F12:G12)</f>
        <v>0</v>
      </c>
      <c r="I12" s="306">
        <v>1223</v>
      </c>
      <c r="J12" s="304"/>
      <c r="K12" s="348">
        <f t="shared" si="0"/>
        <v>1223</v>
      </c>
      <c r="L12" s="306"/>
      <c r="M12" s="304"/>
      <c r="N12" s="348">
        <f t="shared" si="1"/>
        <v>0</v>
      </c>
      <c r="O12" s="308">
        <v>300</v>
      </c>
      <c r="P12" s="304"/>
      <c r="Q12" s="310">
        <f t="shared" si="2"/>
        <v>300</v>
      </c>
    </row>
    <row r="13" spans="1:17" s="15" customFormat="1" ht="15.75" customHeight="1" thickBot="1">
      <c r="A13" s="307">
        <v>3</v>
      </c>
      <c r="B13" s="295" t="s">
        <v>116</v>
      </c>
      <c r="C13" s="320">
        <v>135303</v>
      </c>
      <c r="D13" s="304"/>
      <c r="E13" s="310">
        <f>SUM(C13:D13)</f>
        <v>135303</v>
      </c>
      <c r="F13" s="308">
        <v>67627</v>
      </c>
      <c r="G13" s="304"/>
      <c r="H13" s="310">
        <f>SUM(F13:G13)</f>
        <v>67627</v>
      </c>
      <c r="I13" s="304"/>
      <c r="J13" s="304"/>
      <c r="K13" s="348">
        <f t="shared" si="0"/>
        <v>0</v>
      </c>
      <c r="L13" s="304">
        <v>4918</v>
      </c>
      <c r="M13" s="304">
        <v>603</v>
      </c>
      <c r="N13" s="348">
        <f t="shared" si="1"/>
        <v>5521</v>
      </c>
      <c r="O13" s="308">
        <v>63194</v>
      </c>
      <c r="P13" s="304">
        <v>-1497</v>
      </c>
      <c r="Q13" s="310">
        <f t="shared" si="2"/>
        <v>61697</v>
      </c>
    </row>
    <row r="14" spans="1:17" s="15" customFormat="1" ht="15.75" customHeight="1" thickBot="1">
      <c r="A14" s="307">
        <v>4</v>
      </c>
      <c r="B14" s="295" t="s">
        <v>172</v>
      </c>
      <c r="C14" s="320"/>
      <c r="D14" s="304"/>
      <c r="E14" s="310">
        <f>SUM(C14:D14)</f>
        <v>0</v>
      </c>
      <c r="F14" s="320"/>
      <c r="G14" s="304"/>
      <c r="H14" s="310">
        <f>SUM(F14:G14)</f>
        <v>0</v>
      </c>
      <c r="I14" s="306"/>
      <c r="J14" s="306"/>
      <c r="K14" s="310">
        <f t="shared" si="0"/>
        <v>0</v>
      </c>
      <c r="L14" s="306"/>
      <c r="M14" s="306"/>
      <c r="N14" s="310">
        <f t="shared" si="1"/>
        <v>0</v>
      </c>
      <c r="O14" s="320"/>
      <c r="P14" s="304"/>
      <c r="Q14" s="310">
        <f t="shared" si="2"/>
        <v>0</v>
      </c>
    </row>
    <row r="15" spans="1:17" ht="15.75" customHeight="1">
      <c r="A15" s="163" t="s">
        <v>98</v>
      </c>
      <c r="B15" s="152" t="s">
        <v>370</v>
      </c>
      <c r="C15" s="296"/>
      <c r="D15" s="224"/>
      <c r="E15" s="227">
        <f>C15+D15</f>
        <v>0</v>
      </c>
      <c r="F15" s="296"/>
      <c r="G15" s="224"/>
      <c r="H15" s="227">
        <f>F15+G15</f>
        <v>0</v>
      </c>
      <c r="I15" s="224"/>
      <c r="J15" s="224"/>
      <c r="K15" s="379">
        <f t="shared" si="0"/>
        <v>0</v>
      </c>
      <c r="L15" s="224"/>
      <c r="M15" s="224"/>
      <c r="N15" s="379">
        <f t="shared" si="1"/>
        <v>0</v>
      </c>
      <c r="O15" s="296"/>
      <c r="P15" s="224"/>
      <c r="Q15" s="227">
        <f t="shared" si="2"/>
        <v>0</v>
      </c>
    </row>
    <row r="16" spans="1:17" ht="15.75" customHeight="1">
      <c r="A16" s="160" t="s">
        <v>99</v>
      </c>
      <c r="B16" s="156" t="s">
        <v>554</v>
      </c>
      <c r="C16" s="297"/>
      <c r="D16" s="146"/>
      <c r="E16" s="227">
        <f>C16+D16</f>
        <v>0</v>
      </c>
      <c r="F16" s="297"/>
      <c r="G16" s="146"/>
      <c r="H16" s="227">
        <f>F16+G16</f>
        <v>0</v>
      </c>
      <c r="I16" s="146"/>
      <c r="J16" s="146"/>
      <c r="K16" s="379">
        <f t="shared" si="0"/>
        <v>0</v>
      </c>
      <c r="L16" s="146"/>
      <c r="M16" s="146"/>
      <c r="N16" s="379">
        <f t="shared" si="1"/>
        <v>0</v>
      </c>
      <c r="O16" s="297"/>
      <c r="P16" s="146"/>
      <c r="Q16" s="227">
        <f t="shared" si="2"/>
        <v>0</v>
      </c>
    </row>
    <row r="17" spans="1:17" ht="15.75" customHeight="1">
      <c r="A17" s="160" t="s">
        <v>100</v>
      </c>
      <c r="B17" s="156" t="s">
        <v>555</v>
      </c>
      <c r="C17" s="297"/>
      <c r="D17" s="146"/>
      <c r="E17" s="227">
        <f aca="true" t="shared" si="3" ref="E17:E22">C17+D17</f>
        <v>0</v>
      </c>
      <c r="F17" s="297"/>
      <c r="G17" s="146"/>
      <c r="H17" s="227">
        <f aca="true" t="shared" si="4" ref="H17:H22">F17+G17</f>
        <v>0</v>
      </c>
      <c r="I17" s="146"/>
      <c r="J17" s="146"/>
      <c r="K17" s="379">
        <f aca="true" t="shared" si="5" ref="K17:K22">SUM(I17:J17)</f>
        <v>0</v>
      </c>
      <c r="L17" s="146"/>
      <c r="M17" s="146"/>
      <c r="N17" s="379">
        <f aca="true" t="shared" si="6" ref="N17:N22">SUM(L17:M17)</f>
        <v>0</v>
      </c>
      <c r="O17" s="297"/>
      <c r="P17" s="146"/>
      <c r="Q17" s="227">
        <f aca="true" t="shared" si="7" ref="Q17:Q22">SUM(O17:P17)</f>
        <v>0</v>
      </c>
    </row>
    <row r="18" spans="1:17" ht="15.75" customHeight="1">
      <c r="A18" s="160" t="s">
        <v>101</v>
      </c>
      <c r="B18" s="156" t="s">
        <v>371</v>
      </c>
      <c r="C18" s="880"/>
      <c r="D18" s="146"/>
      <c r="E18" s="227">
        <f t="shared" si="3"/>
        <v>0</v>
      </c>
      <c r="F18" s="297"/>
      <c r="G18" s="146"/>
      <c r="H18" s="227">
        <f t="shared" si="4"/>
        <v>0</v>
      </c>
      <c r="I18" s="297"/>
      <c r="J18" s="146"/>
      <c r="K18" s="227">
        <f t="shared" si="5"/>
        <v>0</v>
      </c>
      <c r="L18" s="146"/>
      <c r="M18" s="146"/>
      <c r="N18" s="379">
        <f t="shared" si="6"/>
        <v>0</v>
      </c>
      <c r="O18" s="297"/>
      <c r="P18" s="146"/>
      <c r="Q18" s="227">
        <f t="shared" si="7"/>
        <v>0</v>
      </c>
    </row>
    <row r="19" spans="1:17" ht="15.75" customHeight="1">
      <c r="A19" s="155" t="s">
        <v>192</v>
      </c>
      <c r="B19" s="156" t="s">
        <v>556</v>
      </c>
      <c r="C19" s="859"/>
      <c r="D19" s="146"/>
      <c r="E19" s="227">
        <f>C19+D19</f>
        <v>0</v>
      </c>
      <c r="F19" s="297"/>
      <c r="G19" s="146"/>
      <c r="H19" s="227">
        <f>F19+G19</f>
        <v>0</v>
      </c>
      <c r="I19" s="297"/>
      <c r="J19" s="146"/>
      <c r="K19" s="227">
        <f>SUM(I19:J19)</f>
        <v>0</v>
      </c>
      <c r="L19" s="146"/>
      <c r="M19" s="146"/>
      <c r="N19" s="379">
        <f>SUM(L19:M19)</f>
        <v>0</v>
      </c>
      <c r="O19" s="297"/>
      <c r="P19" s="146"/>
      <c r="Q19" s="227">
        <f>SUM(O19:P19)</f>
        <v>0</v>
      </c>
    </row>
    <row r="20" spans="1:17" ht="15.75" customHeight="1">
      <c r="A20" s="155" t="s">
        <v>327</v>
      </c>
      <c r="B20" s="156" t="s">
        <v>557</v>
      </c>
      <c r="C20" s="859"/>
      <c r="D20" s="146"/>
      <c r="E20" s="227">
        <f t="shared" si="3"/>
        <v>0</v>
      </c>
      <c r="F20" s="297"/>
      <c r="G20" s="146"/>
      <c r="H20" s="227">
        <f t="shared" si="4"/>
        <v>0</v>
      </c>
      <c r="I20" s="297"/>
      <c r="J20" s="146"/>
      <c r="K20" s="227">
        <f t="shared" si="5"/>
        <v>0</v>
      </c>
      <c r="L20" s="297"/>
      <c r="M20" s="146"/>
      <c r="N20" s="227">
        <f t="shared" si="6"/>
        <v>0</v>
      </c>
      <c r="O20" s="297"/>
      <c r="P20" s="146"/>
      <c r="Q20" s="227">
        <f t="shared" si="7"/>
        <v>0</v>
      </c>
    </row>
    <row r="21" spans="1:17" ht="15.75" customHeight="1">
      <c r="A21" s="153" t="s">
        <v>328</v>
      </c>
      <c r="B21" s="156" t="s">
        <v>372</v>
      </c>
      <c r="C21" s="861"/>
      <c r="D21" s="224"/>
      <c r="E21" s="227">
        <f>C21+D21</f>
        <v>0</v>
      </c>
      <c r="F21" s="296">
        <v>560</v>
      </c>
      <c r="G21" s="224"/>
      <c r="H21" s="227">
        <f t="shared" si="4"/>
        <v>560</v>
      </c>
      <c r="I21" s="296">
        <v>170</v>
      </c>
      <c r="J21" s="224"/>
      <c r="K21" s="227">
        <f t="shared" si="5"/>
        <v>170</v>
      </c>
      <c r="L21" s="296">
        <v>5300</v>
      </c>
      <c r="M21" s="224">
        <v>-500</v>
      </c>
      <c r="N21" s="227">
        <f t="shared" si="6"/>
        <v>4800</v>
      </c>
      <c r="O21" s="296">
        <v>4934</v>
      </c>
      <c r="P21" s="224"/>
      <c r="Q21" s="227">
        <f t="shared" si="7"/>
        <v>4934</v>
      </c>
    </row>
    <row r="22" spans="1:17" ht="15.75" customHeight="1" thickBot="1">
      <c r="A22" s="16" t="s">
        <v>69</v>
      </c>
      <c r="B22" s="324" t="s">
        <v>373</v>
      </c>
      <c r="C22" s="860"/>
      <c r="D22" s="158"/>
      <c r="E22" s="227">
        <f t="shared" si="3"/>
        <v>0</v>
      </c>
      <c r="F22" s="298"/>
      <c r="G22" s="158"/>
      <c r="H22" s="227">
        <f t="shared" si="4"/>
        <v>0</v>
      </c>
      <c r="I22" s="298"/>
      <c r="J22" s="158"/>
      <c r="K22" s="227">
        <f t="shared" si="5"/>
        <v>0</v>
      </c>
      <c r="L22" s="298"/>
      <c r="M22" s="158"/>
      <c r="N22" s="227">
        <f t="shared" si="6"/>
        <v>0</v>
      </c>
      <c r="O22" s="298"/>
      <c r="P22" s="158"/>
      <c r="Q22" s="227">
        <f t="shared" si="7"/>
        <v>0</v>
      </c>
    </row>
    <row r="23" spans="1:17" s="15" customFormat="1" ht="15.75" customHeight="1" thickBot="1">
      <c r="A23" s="307">
        <v>5</v>
      </c>
      <c r="B23" s="295" t="s">
        <v>171</v>
      </c>
      <c r="C23" s="337">
        <f aca="true" t="shared" si="8" ref="C23:Q23">SUM(C15:C22)</f>
        <v>0</v>
      </c>
      <c r="D23" s="304">
        <f t="shared" si="8"/>
        <v>0</v>
      </c>
      <c r="E23" s="310">
        <f t="shared" si="8"/>
        <v>0</v>
      </c>
      <c r="F23" s="320">
        <f t="shared" si="8"/>
        <v>560</v>
      </c>
      <c r="G23" s="304">
        <f t="shared" si="8"/>
        <v>0</v>
      </c>
      <c r="H23" s="320">
        <f t="shared" si="8"/>
        <v>560</v>
      </c>
      <c r="I23" s="337">
        <f t="shared" si="8"/>
        <v>170</v>
      </c>
      <c r="J23" s="304">
        <f t="shared" si="8"/>
        <v>0</v>
      </c>
      <c r="K23" s="310">
        <f t="shared" si="8"/>
        <v>170</v>
      </c>
      <c r="L23" s="337">
        <f t="shared" si="8"/>
        <v>5300</v>
      </c>
      <c r="M23" s="304">
        <f t="shared" si="8"/>
        <v>-500</v>
      </c>
      <c r="N23" s="310">
        <f t="shared" si="8"/>
        <v>4800</v>
      </c>
      <c r="O23" s="337">
        <f t="shared" si="8"/>
        <v>4934</v>
      </c>
      <c r="P23" s="304">
        <f t="shared" si="8"/>
        <v>0</v>
      </c>
      <c r="Q23" s="310">
        <f t="shared" si="8"/>
        <v>4934</v>
      </c>
    </row>
    <row r="24" spans="1:17" ht="15.75" customHeight="1" thickBot="1">
      <c r="A24" s="303">
        <v>6</v>
      </c>
      <c r="B24" s="295" t="s">
        <v>174</v>
      </c>
      <c r="C24" s="308"/>
      <c r="D24" s="304"/>
      <c r="E24" s="310">
        <f aca="true" t="shared" si="9" ref="E24:E30">SUM(C24:D24)</f>
        <v>0</v>
      </c>
      <c r="F24" s="308"/>
      <c r="G24" s="304"/>
      <c r="H24" s="310">
        <f aca="true" t="shared" si="10" ref="H24:H30">SUM(F24:G24)</f>
        <v>0</v>
      </c>
      <c r="I24" s="308"/>
      <c r="J24" s="304"/>
      <c r="K24" s="310">
        <f aca="true" t="shared" si="11" ref="K24:K30">SUM(I24:J24)</f>
        <v>0</v>
      </c>
      <c r="L24" s="308"/>
      <c r="M24" s="304"/>
      <c r="N24" s="310">
        <f aca="true" t="shared" si="12" ref="N24:N30">SUM(L24:M24)</f>
        <v>0</v>
      </c>
      <c r="O24" s="337">
        <v>1440</v>
      </c>
      <c r="P24" s="304">
        <v>1497</v>
      </c>
      <c r="Q24" s="310">
        <f aca="true" t="shared" si="13" ref="Q24:Q30">SUM(O24:P24)</f>
        <v>2937</v>
      </c>
    </row>
    <row r="25" spans="1:17" s="15" customFormat="1" ht="15.75" customHeight="1" thickBot="1">
      <c r="A25" s="303">
        <v>7</v>
      </c>
      <c r="B25" s="295" t="s">
        <v>421</v>
      </c>
      <c r="C25" s="308"/>
      <c r="D25" s="304"/>
      <c r="E25" s="310">
        <f t="shared" si="9"/>
        <v>0</v>
      </c>
      <c r="F25" s="308"/>
      <c r="G25" s="304"/>
      <c r="H25" s="320">
        <f t="shared" si="10"/>
        <v>0</v>
      </c>
      <c r="I25" s="337"/>
      <c r="J25" s="304"/>
      <c r="K25" s="310">
        <f t="shared" si="11"/>
        <v>0</v>
      </c>
      <c r="L25" s="320"/>
      <c r="M25" s="304"/>
      <c r="N25" s="310">
        <f t="shared" si="12"/>
        <v>0</v>
      </c>
      <c r="O25" s="308"/>
      <c r="P25" s="304"/>
      <c r="Q25" s="310">
        <f t="shared" si="13"/>
        <v>0</v>
      </c>
    </row>
    <row r="26" spans="1:17" ht="15.75" customHeight="1">
      <c r="A26" s="163" t="s">
        <v>98</v>
      </c>
      <c r="B26" s="156" t="s">
        <v>560</v>
      </c>
      <c r="C26" s="296"/>
      <c r="D26" s="224"/>
      <c r="E26" s="227">
        <f t="shared" si="9"/>
        <v>0</v>
      </c>
      <c r="F26" s="296"/>
      <c r="G26" s="224"/>
      <c r="H26" s="227">
        <f t="shared" si="10"/>
        <v>0</v>
      </c>
      <c r="I26" s="296"/>
      <c r="J26" s="224"/>
      <c r="K26" s="227">
        <f t="shared" si="11"/>
        <v>0</v>
      </c>
      <c r="L26" s="296"/>
      <c r="M26" s="224"/>
      <c r="N26" s="227">
        <f t="shared" si="12"/>
        <v>0</v>
      </c>
      <c r="O26" s="296"/>
      <c r="P26" s="224"/>
      <c r="Q26" s="227">
        <f t="shared" si="13"/>
        <v>0</v>
      </c>
    </row>
    <row r="27" spans="1:17" ht="15.75" customHeight="1">
      <c r="A27" s="163" t="s">
        <v>99</v>
      </c>
      <c r="B27" s="156" t="s">
        <v>558</v>
      </c>
      <c r="C27" s="296"/>
      <c r="D27" s="224"/>
      <c r="E27" s="227">
        <f t="shared" si="9"/>
        <v>0</v>
      </c>
      <c r="F27" s="296"/>
      <c r="G27" s="224"/>
      <c r="H27" s="227">
        <f t="shared" si="10"/>
        <v>0</v>
      </c>
      <c r="I27" s="296"/>
      <c r="J27" s="224"/>
      <c r="K27" s="227">
        <f t="shared" si="11"/>
        <v>0</v>
      </c>
      <c r="L27" s="296"/>
      <c r="M27" s="224"/>
      <c r="N27" s="227">
        <f t="shared" si="12"/>
        <v>0</v>
      </c>
      <c r="O27" s="296"/>
      <c r="P27" s="224"/>
      <c r="Q27" s="227">
        <f t="shared" si="13"/>
        <v>0</v>
      </c>
    </row>
    <row r="28" spans="1:17" ht="15.75" customHeight="1">
      <c r="A28" s="163" t="s">
        <v>100</v>
      </c>
      <c r="B28" s="156" t="s">
        <v>374</v>
      </c>
      <c r="C28" s="296"/>
      <c r="D28" s="224"/>
      <c r="E28" s="227">
        <f t="shared" si="9"/>
        <v>0</v>
      </c>
      <c r="F28" s="296"/>
      <c r="G28" s="224"/>
      <c r="H28" s="227">
        <f t="shared" si="10"/>
        <v>0</v>
      </c>
      <c r="I28" s="296"/>
      <c r="J28" s="224"/>
      <c r="K28" s="227">
        <f t="shared" si="11"/>
        <v>0</v>
      </c>
      <c r="L28" s="296"/>
      <c r="M28" s="224"/>
      <c r="N28" s="227">
        <f t="shared" si="12"/>
        <v>0</v>
      </c>
      <c r="O28" s="296"/>
      <c r="P28" s="224"/>
      <c r="Q28" s="227">
        <f t="shared" si="13"/>
        <v>0</v>
      </c>
    </row>
    <row r="29" spans="1:17" ht="15.75" customHeight="1">
      <c r="A29" s="163" t="s">
        <v>101</v>
      </c>
      <c r="B29" s="156" t="s">
        <v>559</v>
      </c>
      <c r="C29" s="296"/>
      <c r="D29" s="224"/>
      <c r="E29" s="227">
        <f t="shared" si="9"/>
        <v>0</v>
      </c>
      <c r="F29" s="296"/>
      <c r="G29" s="224"/>
      <c r="H29" s="227">
        <f t="shared" si="10"/>
        <v>0</v>
      </c>
      <c r="I29" s="296"/>
      <c r="J29" s="224"/>
      <c r="K29" s="227">
        <f t="shared" si="11"/>
        <v>0</v>
      </c>
      <c r="L29" s="296"/>
      <c r="M29" s="224"/>
      <c r="N29" s="227">
        <f t="shared" si="12"/>
        <v>0</v>
      </c>
      <c r="O29" s="296"/>
      <c r="P29" s="224"/>
      <c r="Q29" s="227">
        <f t="shared" si="13"/>
        <v>0</v>
      </c>
    </row>
    <row r="30" spans="1:17" ht="15.75" customHeight="1" thickBot="1">
      <c r="A30" s="325" t="s">
        <v>192</v>
      </c>
      <c r="B30" s="156" t="s">
        <v>375</v>
      </c>
      <c r="C30" s="319"/>
      <c r="D30" s="311"/>
      <c r="E30" s="314">
        <f t="shared" si="9"/>
        <v>0</v>
      </c>
      <c r="F30" s="319">
        <v>175</v>
      </c>
      <c r="G30" s="311"/>
      <c r="H30" s="314">
        <f t="shared" si="10"/>
        <v>175</v>
      </c>
      <c r="I30" s="319"/>
      <c r="J30" s="311"/>
      <c r="K30" s="314">
        <f t="shared" si="11"/>
        <v>0</v>
      </c>
      <c r="L30" s="319">
        <v>279</v>
      </c>
      <c r="M30" s="311">
        <v>1000</v>
      </c>
      <c r="N30" s="314">
        <f t="shared" si="12"/>
        <v>1279</v>
      </c>
      <c r="O30" s="319">
        <v>15200</v>
      </c>
      <c r="P30" s="311"/>
      <c r="Q30" s="314">
        <f t="shared" si="13"/>
        <v>15200</v>
      </c>
    </row>
    <row r="31" spans="1:17" s="15" customFormat="1" ht="15.75" customHeight="1" thickBot="1">
      <c r="A31" s="303">
        <v>8</v>
      </c>
      <c r="B31" s="295" t="s">
        <v>173</v>
      </c>
      <c r="C31" s="337">
        <f aca="true" t="shared" si="14" ref="C31:Q31">SUM(C26:C30)</f>
        <v>0</v>
      </c>
      <c r="D31" s="304">
        <f t="shared" si="14"/>
        <v>0</v>
      </c>
      <c r="E31" s="310">
        <f t="shared" si="14"/>
        <v>0</v>
      </c>
      <c r="F31" s="320">
        <f t="shared" si="14"/>
        <v>175</v>
      </c>
      <c r="G31" s="304">
        <f t="shared" si="14"/>
        <v>0</v>
      </c>
      <c r="H31" s="320">
        <f t="shared" si="14"/>
        <v>175</v>
      </c>
      <c r="I31" s="337">
        <f t="shared" si="14"/>
        <v>0</v>
      </c>
      <c r="J31" s="304">
        <f t="shared" si="14"/>
        <v>0</v>
      </c>
      <c r="K31" s="310">
        <f t="shared" si="14"/>
        <v>0</v>
      </c>
      <c r="L31" s="337">
        <f t="shared" si="14"/>
        <v>279</v>
      </c>
      <c r="M31" s="304">
        <f t="shared" si="14"/>
        <v>1000</v>
      </c>
      <c r="N31" s="320">
        <f t="shared" si="14"/>
        <v>1279</v>
      </c>
      <c r="O31" s="337">
        <f t="shared" si="14"/>
        <v>15200</v>
      </c>
      <c r="P31" s="304">
        <f t="shared" si="14"/>
        <v>0</v>
      </c>
      <c r="Q31" s="310">
        <f t="shared" si="14"/>
        <v>15200</v>
      </c>
    </row>
    <row r="32" spans="1:17" ht="15.75" customHeight="1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10">
        <f>SUM(L32:M32)</f>
        <v>0</v>
      </c>
      <c r="O32" s="337"/>
      <c r="P32" s="304"/>
      <c r="Q32" s="310">
        <f>SUM(O32:P32)</f>
        <v>0</v>
      </c>
    </row>
    <row r="33" spans="1:17" s="34" customFormat="1" ht="15.75" customHeight="1" thickBot="1">
      <c r="A33" s="357">
        <v>10</v>
      </c>
      <c r="B33" s="358"/>
      <c r="C33" s="165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1101">
        <f>SUM(L33:M33)</f>
        <v>0</v>
      </c>
      <c r="O33" s="165"/>
      <c r="P33" s="359"/>
      <c r="Q33" s="1101">
        <f>SUM(O33:P33)</f>
        <v>0</v>
      </c>
    </row>
    <row r="34" spans="1:113" s="37" customFormat="1" ht="15.75" customHeight="1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135303</v>
      </c>
      <c r="D34" s="334">
        <f t="shared" si="15"/>
        <v>0</v>
      </c>
      <c r="E34" s="746">
        <f t="shared" si="15"/>
        <v>135303</v>
      </c>
      <c r="F34" s="355">
        <f t="shared" si="15"/>
        <v>68362</v>
      </c>
      <c r="G34" s="334">
        <f t="shared" si="15"/>
        <v>0</v>
      </c>
      <c r="H34" s="746">
        <f t="shared" si="15"/>
        <v>68362</v>
      </c>
      <c r="I34" s="355">
        <f t="shared" si="15"/>
        <v>8132</v>
      </c>
      <c r="J34" s="334">
        <f t="shared" si="15"/>
        <v>0</v>
      </c>
      <c r="K34" s="746">
        <f t="shared" si="15"/>
        <v>8132</v>
      </c>
      <c r="L34" s="355">
        <f t="shared" si="15"/>
        <v>11524</v>
      </c>
      <c r="M34" s="334">
        <f t="shared" si="15"/>
        <v>1103</v>
      </c>
      <c r="N34" s="746">
        <f t="shared" si="15"/>
        <v>12627</v>
      </c>
      <c r="O34" s="355">
        <f t="shared" si="15"/>
        <v>85807</v>
      </c>
      <c r="P34" s="334">
        <f t="shared" si="15"/>
        <v>0</v>
      </c>
      <c r="Q34" s="364">
        <f t="shared" si="15"/>
        <v>85807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</row>
    <row r="35" spans="1:113" ht="15.75" customHeight="1" thickBot="1" thickTop="1">
      <c r="A35" s="151"/>
      <c r="B35" s="336" t="s">
        <v>131</v>
      </c>
      <c r="C35" s="1071"/>
      <c r="D35" s="292"/>
      <c r="E35" s="1102"/>
      <c r="F35" s="862"/>
      <c r="G35" s="292"/>
      <c r="H35" s="1102"/>
      <c r="I35" s="909"/>
      <c r="J35" s="292"/>
      <c r="K35" s="1102"/>
      <c r="L35" s="909"/>
      <c r="M35" s="292"/>
      <c r="N35" s="1102"/>
      <c r="O35" s="1071"/>
      <c r="P35" s="292"/>
      <c r="Q35" s="1102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</row>
    <row r="36" spans="1:17" s="730" customFormat="1" ht="15.75" customHeight="1">
      <c r="A36" s="737" t="s">
        <v>98</v>
      </c>
      <c r="B36" s="738" t="s">
        <v>376</v>
      </c>
      <c r="C36" s="1079"/>
      <c r="D36" s="739"/>
      <c r="E36" s="744">
        <f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4">
        <f>SUM(L36:M36)</f>
        <v>0</v>
      </c>
      <c r="O36" s="1079"/>
      <c r="P36" s="739"/>
      <c r="Q36" s="744">
        <f>SUM(O36:P36)</f>
        <v>0</v>
      </c>
    </row>
    <row r="37" spans="1:17" s="730" customFormat="1" ht="15.75" customHeight="1">
      <c r="A37" s="160" t="s">
        <v>99</v>
      </c>
      <c r="B37" s="156" t="s">
        <v>235</v>
      </c>
      <c r="C37" s="880"/>
      <c r="D37" s="146"/>
      <c r="E37" s="169">
        <f>SUM(C37:D37)</f>
        <v>0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169">
        <f>SUM(L37:M37)</f>
        <v>0</v>
      </c>
      <c r="O37" s="880"/>
      <c r="P37" s="146"/>
      <c r="Q37" s="169">
        <f>SUM(O37:P37)</f>
        <v>0</v>
      </c>
    </row>
    <row r="38" spans="1:17" s="730" customFormat="1" ht="15.75" customHeight="1">
      <c r="A38" s="325" t="s">
        <v>100</v>
      </c>
      <c r="B38" s="149" t="s">
        <v>377</v>
      </c>
      <c r="C38" s="1070"/>
      <c r="D38" s="311"/>
      <c r="E38" s="314">
        <f>SUM(C38:D38)</f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314">
        <f>SUM(L38:M38)</f>
        <v>0</v>
      </c>
      <c r="O38" s="1070"/>
      <c r="P38" s="311"/>
      <c r="Q38" s="314">
        <f>SUM(O38:P38)</f>
        <v>0</v>
      </c>
    </row>
    <row r="39" spans="1:17" s="730" customFormat="1" ht="15.75" customHeight="1" thickBot="1">
      <c r="A39" s="161" t="s">
        <v>101</v>
      </c>
      <c r="B39" s="162" t="s">
        <v>381</v>
      </c>
      <c r="C39" s="881"/>
      <c r="D39" s="158"/>
      <c r="E39" s="237">
        <f>SUM(C39:D39)</f>
        <v>0</v>
      </c>
      <c r="F39" s="860"/>
      <c r="G39" s="158"/>
      <c r="H39" s="237">
        <f>SUM(F39:G39)</f>
        <v>0</v>
      </c>
      <c r="I39" s="881"/>
      <c r="J39" s="158"/>
      <c r="K39" s="237">
        <f>SUM(I39:J39)</f>
        <v>0</v>
      </c>
      <c r="L39" s="881">
        <v>61</v>
      </c>
      <c r="M39" s="158"/>
      <c r="N39" s="237">
        <f>SUM(L39:M39)</f>
        <v>61</v>
      </c>
      <c r="O39" s="881"/>
      <c r="P39" s="158"/>
      <c r="Q39" s="237">
        <f>SUM(O39:P39)</f>
        <v>0</v>
      </c>
    </row>
    <row r="40" spans="1:17" s="15" customFormat="1" ht="15.75" customHeight="1" thickBot="1">
      <c r="A40" s="303">
        <v>1</v>
      </c>
      <c r="B40" s="295" t="s">
        <v>177</v>
      </c>
      <c r="C40" s="337">
        <f aca="true" t="shared" si="16" ref="C40:Q40">SUM(C36:C39)</f>
        <v>0</v>
      </c>
      <c r="D40" s="304">
        <f t="shared" si="16"/>
        <v>0</v>
      </c>
      <c r="E40" s="310">
        <f t="shared" si="16"/>
        <v>0</v>
      </c>
      <c r="F40" s="337">
        <f t="shared" si="16"/>
        <v>0</v>
      </c>
      <c r="G40" s="304">
        <f t="shared" si="16"/>
        <v>0</v>
      </c>
      <c r="H40" s="310">
        <f t="shared" si="16"/>
        <v>0</v>
      </c>
      <c r="I40" s="337">
        <f t="shared" si="16"/>
        <v>0</v>
      </c>
      <c r="J40" s="304">
        <f t="shared" si="16"/>
        <v>0</v>
      </c>
      <c r="K40" s="310">
        <f t="shared" si="16"/>
        <v>0</v>
      </c>
      <c r="L40" s="337">
        <f t="shared" si="16"/>
        <v>61</v>
      </c>
      <c r="M40" s="304">
        <f t="shared" si="16"/>
        <v>0</v>
      </c>
      <c r="N40" s="310">
        <f t="shared" si="16"/>
        <v>61</v>
      </c>
      <c r="O40" s="337">
        <f t="shared" si="16"/>
        <v>0</v>
      </c>
      <c r="P40" s="304">
        <f t="shared" si="16"/>
        <v>0</v>
      </c>
      <c r="Q40" s="310">
        <f t="shared" si="16"/>
        <v>0</v>
      </c>
    </row>
    <row r="41" spans="1:17" ht="15.75" customHeight="1">
      <c r="A41" s="163" t="s">
        <v>98</v>
      </c>
      <c r="B41" s="152" t="s">
        <v>403</v>
      </c>
      <c r="C41" s="1069"/>
      <c r="D41" s="224"/>
      <c r="E41" s="227">
        <f>SUM(C41:D41)</f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227">
        <f>SUM(L41:M41)</f>
        <v>0</v>
      </c>
      <c r="O41" s="1069"/>
      <c r="P41" s="224"/>
      <c r="Q41" s="227">
        <f>SUM(O41:P41)</f>
        <v>0</v>
      </c>
    </row>
    <row r="42" spans="1:17" ht="15.75" customHeight="1">
      <c r="A42" s="160" t="s">
        <v>99</v>
      </c>
      <c r="B42" s="156" t="s">
        <v>378</v>
      </c>
      <c r="C42" s="880"/>
      <c r="D42" s="146"/>
      <c r="E42" s="169">
        <f>SUM(C42:D42)</f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169">
        <f>SUM(L42:M42)</f>
        <v>0</v>
      </c>
      <c r="O42" s="880"/>
      <c r="P42" s="146"/>
      <c r="Q42" s="169">
        <f>SUM(O42:P42)</f>
        <v>0</v>
      </c>
    </row>
    <row r="43" spans="1:17" ht="15.75" customHeight="1">
      <c r="A43" s="160" t="s">
        <v>100</v>
      </c>
      <c r="B43" s="156" t="s">
        <v>379</v>
      </c>
      <c r="C43" s="880"/>
      <c r="D43" s="146"/>
      <c r="E43" s="169">
        <f>SUM(C43:D43)</f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169">
        <f>SUM(L43:M43)</f>
        <v>0</v>
      </c>
      <c r="O43" s="880"/>
      <c r="P43" s="146"/>
      <c r="Q43" s="169">
        <f>SUM(O43:P43)</f>
        <v>0</v>
      </c>
    </row>
    <row r="44" spans="1:17" ht="15.75" customHeight="1" thickBot="1">
      <c r="A44" s="161" t="s">
        <v>101</v>
      </c>
      <c r="B44" s="162" t="s">
        <v>175</v>
      </c>
      <c r="C44" s="881"/>
      <c r="D44" s="158"/>
      <c r="E44" s="237">
        <f>SUM(C44:D44)</f>
        <v>0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237">
        <f>SUM(L44:M44)</f>
        <v>0</v>
      </c>
      <c r="O44" s="881"/>
      <c r="P44" s="158"/>
      <c r="Q44" s="237">
        <f>SUM(O44:P44)</f>
        <v>0</v>
      </c>
    </row>
    <row r="45" spans="1:17" s="15" customFormat="1" ht="15.75" customHeight="1" thickBot="1">
      <c r="A45" s="303">
        <v>2</v>
      </c>
      <c r="B45" s="295" t="s">
        <v>176</v>
      </c>
      <c r="C45" s="337">
        <f>SUM(C41:C44)</f>
        <v>0</v>
      </c>
      <c r="D45" s="304">
        <f aca="true" t="shared" si="17" ref="D45:Q45">SUM(D41:D44)</f>
        <v>0</v>
      </c>
      <c r="E45" s="306">
        <f t="shared" si="17"/>
        <v>0</v>
      </c>
      <c r="F45" s="337">
        <f t="shared" si="17"/>
        <v>0</v>
      </c>
      <c r="G45" s="304">
        <f t="shared" si="17"/>
        <v>0</v>
      </c>
      <c r="H45" s="306">
        <f t="shared" si="17"/>
        <v>0</v>
      </c>
      <c r="I45" s="337">
        <f t="shared" si="17"/>
        <v>0</v>
      </c>
      <c r="J45" s="304">
        <f t="shared" si="17"/>
        <v>0</v>
      </c>
      <c r="K45" s="306">
        <f t="shared" si="17"/>
        <v>0</v>
      </c>
      <c r="L45" s="337">
        <f t="shared" si="17"/>
        <v>0</v>
      </c>
      <c r="M45" s="304">
        <f t="shared" si="17"/>
        <v>0</v>
      </c>
      <c r="N45" s="320">
        <f t="shared" si="17"/>
        <v>0</v>
      </c>
      <c r="O45" s="337">
        <f t="shared" si="17"/>
        <v>0</v>
      </c>
      <c r="P45" s="304">
        <f t="shared" si="17"/>
        <v>0</v>
      </c>
      <c r="Q45" s="310">
        <f t="shared" si="17"/>
        <v>0</v>
      </c>
    </row>
    <row r="46" spans="1:17" s="15" customFormat="1" ht="15.75" customHeight="1" thickBot="1">
      <c r="A46" s="303">
        <v>3</v>
      </c>
      <c r="B46" s="295" t="s">
        <v>254</v>
      </c>
      <c r="C46" s="337">
        <v>1270</v>
      </c>
      <c r="D46" s="304">
        <v>-305</v>
      </c>
      <c r="E46" s="306">
        <f>SUM(C46:D46)</f>
        <v>965</v>
      </c>
      <c r="F46" s="337">
        <v>2767</v>
      </c>
      <c r="G46" s="304"/>
      <c r="H46" s="306">
        <f>SUM(F46:G46)</f>
        <v>2767</v>
      </c>
      <c r="I46" s="337"/>
      <c r="J46" s="304"/>
      <c r="K46" s="306">
        <f>SUM(I46:J46)</f>
        <v>0</v>
      </c>
      <c r="L46" s="337"/>
      <c r="M46" s="304"/>
      <c r="N46" s="320">
        <f>SUM(L46:M46)</f>
        <v>0</v>
      </c>
      <c r="O46" s="337"/>
      <c r="P46" s="304"/>
      <c r="Q46" s="310">
        <f>SUM(O46:P46)</f>
        <v>0</v>
      </c>
    </row>
    <row r="47" spans="1:17" ht="15.75" customHeight="1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>
        <v>282</v>
      </c>
      <c r="G47" s="304">
        <v>186</v>
      </c>
      <c r="H47" s="306">
        <f>SUM(F47:G47)</f>
        <v>468</v>
      </c>
      <c r="I47" s="337"/>
      <c r="J47" s="304"/>
      <c r="K47" s="306">
        <f>SUM(I47:J47)</f>
        <v>0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30" customFormat="1" ht="15.75" customHeight="1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/>
      <c r="M48" s="224"/>
      <c r="N48" s="227">
        <f>SUM(L48:M48)</f>
        <v>0</v>
      </c>
      <c r="O48" s="1069"/>
      <c r="P48" s="224"/>
      <c r="Q48" s="227">
        <f>SUM(O48:P48)</f>
        <v>0</v>
      </c>
    </row>
    <row r="49" spans="1:17" ht="15.75" customHeight="1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169">
        <f>SUM(L49:M49)</f>
        <v>0</v>
      </c>
      <c r="O49" s="880"/>
      <c r="P49" s="146"/>
      <c r="Q49" s="169">
        <f>SUM(O49:P49)</f>
        <v>0</v>
      </c>
    </row>
    <row r="50" spans="1:17" ht="15.75" customHeight="1" thickBot="1">
      <c r="A50" s="161" t="s">
        <v>100</v>
      </c>
      <c r="B50" s="324" t="s">
        <v>413</v>
      </c>
      <c r="C50" s="880"/>
      <c r="D50" s="146"/>
      <c r="E50" s="169">
        <f>SUM(C50:D50)</f>
        <v>0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880"/>
      <c r="M50" s="146"/>
      <c r="N50" s="169">
        <f>SUM(L50:M50)</f>
        <v>0</v>
      </c>
      <c r="O50" s="880"/>
      <c r="P50" s="146"/>
      <c r="Q50" s="169">
        <f>SUM(O50:P50)</f>
        <v>0</v>
      </c>
    </row>
    <row r="51" spans="1:17" s="15" customFormat="1" ht="15.75" customHeight="1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18" ref="E51:Q51">SUM(E48:E50)</f>
        <v>0</v>
      </c>
      <c r="F51" s="337">
        <f t="shared" si="18"/>
        <v>0</v>
      </c>
      <c r="G51" s="304">
        <f t="shared" si="18"/>
        <v>0</v>
      </c>
      <c r="H51" s="306">
        <f t="shared" si="18"/>
        <v>0</v>
      </c>
      <c r="I51" s="337">
        <f t="shared" si="18"/>
        <v>0</v>
      </c>
      <c r="J51" s="304">
        <f t="shared" si="18"/>
        <v>0</v>
      </c>
      <c r="K51" s="306">
        <f t="shared" si="18"/>
        <v>0</v>
      </c>
      <c r="L51" s="337">
        <f t="shared" si="18"/>
        <v>0</v>
      </c>
      <c r="M51" s="304">
        <f t="shared" si="18"/>
        <v>0</v>
      </c>
      <c r="N51" s="306">
        <f t="shared" si="18"/>
        <v>0</v>
      </c>
      <c r="O51" s="337">
        <f t="shared" si="18"/>
        <v>0</v>
      </c>
      <c r="P51" s="304">
        <f t="shared" si="18"/>
        <v>0</v>
      </c>
      <c r="Q51" s="310">
        <f t="shared" si="18"/>
        <v>0</v>
      </c>
    </row>
    <row r="52" spans="1:17" s="15" customFormat="1" ht="15.75" customHeight="1" thickBot="1">
      <c r="A52" s="733">
        <v>6</v>
      </c>
      <c r="B52" s="734" t="s">
        <v>285</v>
      </c>
      <c r="C52" s="1072"/>
      <c r="D52" s="329"/>
      <c r="E52" s="322">
        <f>SUM(C52:D52)</f>
        <v>0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1078"/>
      <c r="M52" s="329"/>
      <c r="N52" s="322">
        <f>SUM(L52:M52)</f>
        <v>0</v>
      </c>
      <c r="O52" s="1078"/>
      <c r="P52" s="329"/>
      <c r="Q52" s="322">
        <f>SUM(O52:P52)</f>
        <v>0</v>
      </c>
    </row>
    <row r="53" spans="1:17" ht="15.75" customHeight="1">
      <c r="A53" s="144" t="s">
        <v>98</v>
      </c>
      <c r="B53" s="145" t="s">
        <v>382</v>
      </c>
      <c r="C53" s="1073"/>
      <c r="D53" s="147"/>
      <c r="E53" s="203">
        <f>SUM(C53:D53)</f>
        <v>0</v>
      </c>
      <c r="F53" s="863">
        <v>558</v>
      </c>
      <c r="G53" s="147">
        <v>179</v>
      </c>
      <c r="H53" s="203">
        <f>SUM(F53:G53)</f>
        <v>737</v>
      </c>
      <c r="I53" s="1073"/>
      <c r="J53" s="147"/>
      <c r="K53" s="203">
        <f>SUM(I53:J53)</f>
        <v>0</v>
      </c>
      <c r="L53" s="1073"/>
      <c r="M53" s="147"/>
      <c r="N53" s="203">
        <f>SUM(L53:M53)</f>
        <v>0</v>
      </c>
      <c r="O53" s="1073"/>
      <c r="P53" s="147"/>
      <c r="Q53" s="203">
        <f>SUM(O53:P53)</f>
        <v>0</v>
      </c>
    </row>
    <row r="54" spans="1:17" ht="15.75" customHeight="1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314">
        <f>SUM(L54:M54)</f>
        <v>0</v>
      </c>
      <c r="O54" s="1070"/>
      <c r="P54" s="311"/>
      <c r="Q54" s="314">
        <f>SUM(O54:P54)</f>
        <v>0</v>
      </c>
    </row>
    <row r="55" spans="1:17" s="15" customFormat="1" ht="15.7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19" ref="D55:Q55">SUM(D53:D54)</f>
        <v>0</v>
      </c>
      <c r="E55" s="306">
        <f t="shared" si="19"/>
        <v>0</v>
      </c>
      <c r="F55" s="337">
        <f t="shared" si="19"/>
        <v>558</v>
      </c>
      <c r="G55" s="304">
        <f t="shared" si="19"/>
        <v>179</v>
      </c>
      <c r="H55" s="306">
        <f t="shared" si="19"/>
        <v>737</v>
      </c>
      <c r="I55" s="337">
        <f t="shared" si="19"/>
        <v>0</v>
      </c>
      <c r="J55" s="304">
        <f t="shared" si="19"/>
        <v>0</v>
      </c>
      <c r="K55" s="306">
        <f t="shared" si="19"/>
        <v>0</v>
      </c>
      <c r="L55" s="337">
        <f t="shared" si="19"/>
        <v>0</v>
      </c>
      <c r="M55" s="304">
        <f t="shared" si="19"/>
        <v>0</v>
      </c>
      <c r="N55" s="306">
        <f t="shared" si="19"/>
        <v>0</v>
      </c>
      <c r="O55" s="1080">
        <f t="shared" si="19"/>
        <v>0</v>
      </c>
      <c r="P55" s="1082">
        <f t="shared" si="19"/>
        <v>0</v>
      </c>
      <c r="Q55" s="1084">
        <f t="shared" si="19"/>
        <v>0</v>
      </c>
    </row>
    <row r="56" spans="1:17" s="268" customFormat="1" ht="15.75" customHeight="1" thickBot="1">
      <c r="A56" s="690">
        <v>8</v>
      </c>
      <c r="B56" s="691" t="s">
        <v>46</v>
      </c>
      <c r="C56" s="1105">
        <f>C34-C40-C45-C46-C47-C51-C52-C55-C57-C58-C59</f>
        <v>134033</v>
      </c>
      <c r="D56" s="1106">
        <f>D34-D40-D45-D46-D47-D51-D52-D55-D57-D58-D59</f>
        <v>305</v>
      </c>
      <c r="E56" s="1103">
        <f aca="true" t="shared" si="20" ref="E56:Q56">E34-E40-E45-E46-E47-E51-E52-E55-E57-E58-E59</f>
        <v>134338</v>
      </c>
      <c r="F56" s="1105">
        <f t="shared" si="20"/>
        <v>64755</v>
      </c>
      <c r="G56" s="1106">
        <f t="shared" si="20"/>
        <v>-365</v>
      </c>
      <c r="H56" s="1103">
        <f t="shared" si="20"/>
        <v>64390</v>
      </c>
      <c r="I56" s="1105">
        <f t="shared" si="20"/>
        <v>8132</v>
      </c>
      <c r="J56" s="1106">
        <f t="shared" si="20"/>
        <v>0</v>
      </c>
      <c r="K56" s="1103">
        <f t="shared" si="20"/>
        <v>8132</v>
      </c>
      <c r="L56" s="1105">
        <f t="shared" si="20"/>
        <v>11463</v>
      </c>
      <c r="M56" s="1106">
        <f t="shared" si="20"/>
        <v>1103</v>
      </c>
      <c r="N56" s="1103">
        <f t="shared" si="20"/>
        <v>12566</v>
      </c>
      <c r="O56" s="1128">
        <f t="shared" si="20"/>
        <v>85807</v>
      </c>
      <c r="P56" s="1130">
        <f t="shared" si="20"/>
        <v>0</v>
      </c>
      <c r="Q56" s="1118">
        <f t="shared" si="20"/>
        <v>85807</v>
      </c>
    </row>
    <row r="57" spans="1:17" s="15" customFormat="1" ht="15.75" customHeight="1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1104">
        <f>SUM(L57:M57)</f>
        <v>0</v>
      </c>
      <c r="O57" s="1075"/>
      <c r="P57" s="317"/>
      <c r="Q57" s="1104">
        <f>SUM(O57:P57)</f>
        <v>0</v>
      </c>
    </row>
    <row r="58" spans="1:17" s="15" customFormat="1" ht="15.75" customHeight="1">
      <c r="A58" s="326" t="s">
        <v>183</v>
      </c>
      <c r="B58" s="327" t="s">
        <v>384</v>
      </c>
      <c r="C58" s="316"/>
      <c r="D58" s="317"/>
      <c r="E58" s="392">
        <f>SUM(C58:D58)</f>
        <v>0</v>
      </c>
      <c r="F58" s="321"/>
      <c r="G58" s="317"/>
      <c r="H58" s="392">
        <f>SUM(F58:G58)</f>
        <v>0</v>
      </c>
      <c r="I58" s="1075"/>
      <c r="J58" s="317"/>
      <c r="K58" s="1104">
        <f>SUM(I58:J58)</f>
        <v>0</v>
      </c>
      <c r="L58" s="1075"/>
      <c r="M58" s="317"/>
      <c r="N58" s="1104">
        <f>SUM(L58:M58)</f>
        <v>0</v>
      </c>
      <c r="O58" s="316"/>
      <c r="P58" s="317"/>
      <c r="Q58" s="392">
        <f>SUM(O58:P58)</f>
        <v>0</v>
      </c>
    </row>
    <row r="59" spans="1:17" s="15" customFormat="1" ht="15.75" customHeight="1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397">
        <f>SUM(L59:M59)</f>
        <v>0</v>
      </c>
      <c r="O59" s="343"/>
      <c r="P59" s="344"/>
      <c r="Q59" s="397">
        <f>SUM(O59:P59)</f>
        <v>0</v>
      </c>
    </row>
    <row r="60" spans="1:17" s="34" customFormat="1" ht="15.75" customHeight="1" thickBot="1" thickTop="1">
      <c r="A60" s="333" t="s">
        <v>109</v>
      </c>
      <c r="B60" s="335" t="s">
        <v>182</v>
      </c>
      <c r="C60" s="747">
        <f>C40+C45+C46+C47+C51+C52+C55+C56+C57+C58+C59</f>
        <v>135303</v>
      </c>
      <c r="D60" s="748">
        <f aca="true" t="shared" si="21" ref="D60:Q60">D40+D45+D46+D47+D51+D52+D55+D56+D57+D58+D59</f>
        <v>0</v>
      </c>
      <c r="E60" s="746">
        <f t="shared" si="21"/>
        <v>135303</v>
      </c>
      <c r="F60" s="354">
        <f t="shared" si="21"/>
        <v>68362</v>
      </c>
      <c r="G60" s="334">
        <f t="shared" si="21"/>
        <v>0</v>
      </c>
      <c r="H60" s="746">
        <f t="shared" si="21"/>
        <v>68362</v>
      </c>
      <c r="I60" s="747">
        <f t="shared" si="21"/>
        <v>8132</v>
      </c>
      <c r="J60" s="748">
        <f t="shared" si="21"/>
        <v>0</v>
      </c>
      <c r="K60" s="746">
        <f t="shared" si="21"/>
        <v>8132</v>
      </c>
      <c r="L60" s="354">
        <f t="shared" si="21"/>
        <v>11524</v>
      </c>
      <c r="M60" s="334">
        <f t="shared" si="21"/>
        <v>1103</v>
      </c>
      <c r="N60" s="746">
        <f t="shared" si="21"/>
        <v>12627</v>
      </c>
      <c r="O60" s="354">
        <f t="shared" si="21"/>
        <v>85807</v>
      </c>
      <c r="P60" s="334">
        <f t="shared" si="21"/>
        <v>0</v>
      </c>
      <c r="Q60" s="364">
        <f t="shared" si="21"/>
        <v>85807</v>
      </c>
    </row>
    <row r="61" spans="1:17" ht="15.7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5.75" customHeight="1" thickBot="1" thickTop="1">
      <c r="A62" s="174"/>
      <c r="B62" s="175" t="s">
        <v>593</v>
      </c>
      <c r="C62" s="204"/>
      <c r="D62" s="402"/>
      <c r="E62" s="403">
        <f>SUM(C62:D62)</f>
        <v>0</v>
      </c>
      <c r="F62" s="204"/>
      <c r="G62" s="402"/>
      <c r="H62" s="403">
        <f>SUM(F62:G62)</f>
        <v>0</v>
      </c>
      <c r="I62" s="204"/>
      <c r="J62" s="402"/>
      <c r="K62" s="403">
        <f>SUM(I62:J62)</f>
        <v>0</v>
      </c>
      <c r="L62" s="204"/>
      <c r="M62" s="402"/>
      <c r="N62" s="403">
        <f>SUM(L62:M62)</f>
        <v>0</v>
      </c>
      <c r="O62" s="204"/>
      <c r="P62" s="404"/>
      <c r="Q62" s="403">
        <f>SUM(O62:P62)</f>
        <v>0</v>
      </c>
    </row>
    <row r="63" spans="1:17" ht="15.75" customHeight="1" thickBot="1" thickTop="1">
      <c r="A63" s="174"/>
      <c r="B63" s="175" t="s">
        <v>594</v>
      </c>
      <c r="C63" s="204"/>
      <c r="D63" s="402"/>
      <c r="E63" s="403">
        <f>SUM(C63:D63)</f>
        <v>0</v>
      </c>
      <c r="F63" s="204"/>
      <c r="G63" s="402"/>
      <c r="H63" s="403">
        <f>SUM(F63:G63)</f>
        <v>0</v>
      </c>
      <c r="I63" s="204"/>
      <c r="J63" s="402"/>
      <c r="K63" s="403">
        <f>SUM(I63:J63)</f>
        <v>0</v>
      </c>
      <c r="L63" s="204"/>
      <c r="M63" s="402"/>
      <c r="N63" s="403">
        <f>SUM(L63:M63)</f>
        <v>0</v>
      </c>
      <c r="O63" s="204"/>
      <c r="P63" s="404"/>
      <c r="Q63" s="403">
        <f>SUM(O63:P63)</f>
        <v>0</v>
      </c>
    </row>
    <row r="64" ht="21.75" customHeight="1" thickTop="1">
      <c r="A64" s="408"/>
    </row>
    <row r="65" ht="21.75" customHeight="1">
      <c r="A65" s="408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9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17" width="14.625" style="94" customWidth="1"/>
  </cols>
  <sheetData>
    <row r="1" spans="1:17" ht="10.5" customHeight="1">
      <c r="A1" s="293"/>
      <c r="B1" s="294"/>
      <c r="C1" s="294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866" t="s">
        <v>881</v>
      </c>
    </row>
    <row r="2" spans="1:17" ht="10.5" customHeight="1">
      <c r="A2" s="293"/>
      <c r="B2" s="294"/>
      <c r="C2" s="294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866" t="s">
        <v>93</v>
      </c>
    </row>
    <row r="3" spans="1:17" ht="15">
      <c r="A3" s="293"/>
      <c r="B3" s="294"/>
      <c r="C3" s="294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867" t="s">
        <v>139</v>
      </c>
    </row>
    <row r="4" spans="1:17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17" ht="34.5" customHeight="1" thickBot="1">
      <c r="A6" s="293"/>
      <c r="B6" s="294"/>
      <c r="C6" s="294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879" t="s">
        <v>134</v>
      </c>
    </row>
    <row r="7" spans="1:17" s="94" customFormat="1" ht="42" customHeight="1">
      <c r="A7" s="229" t="s">
        <v>124</v>
      </c>
      <c r="B7" s="93" t="s">
        <v>125</v>
      </c>
      <c r="C7" s="1905" t="s">
        <v>427</v>
      </c>
      <c r="D7" s="1903"/>
      <c r="E7" s="1904"/>
      <c r="F7" s="1902" t="s">
        <v>60</v>
      </c>
      <c r="G7" s="1903"/>
      <c r="H7" s="1904"/>
      <c r="I7" s="1902" t="s">
        <v>78</v>
      </c>
      <c r="J7" s="1903"/>
      <c r="K7" s="1904"/>
      <c r="L7" s="1902" t="s">
        <v>193</v>
      </c>
      <c r="M7" s="1903"/>
      <c r="N7" s="1904"/>
      <c r="O7" s="1905" t="s">
        <v>565</v>
      </c>
      <c r="P7" s="1927"/>
      <c r="Q7" s="1928"/>
    </row>
    <row r="8" spans="1:20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</row>
    <row r="9" spans="1:201" s="35" customFormat="1" ht="13.5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2">
        <v>8</v>
      </c>
      <c r="I9" s="411">
        <v>9</v>
      </c>
      <c r="J9" s="412">
        <v>10</v>
      </c>
      <c r="K9" s="414">
        <v>11</v>
      </c>
      <c r="L9" s="411">
        <v>9</v>
      </c>
      <c r="M9" s="412">
        <v>10</v>
      </c>
      <c r="N9" s="414">
        <v>11</v>
      </c>
      <c r="O9" s="412">
        <v>12</v>
      </c>
      <c r="P9" s="412">
        <v>13</v>
      </c>
      <c r="Q9" s="414">
        <v>14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</row>
    <row r="10" spans="1:17" ht="16.5" thickBot="1">
      <c r="A10" s="370"/>
      <c r="B10" s="336" t="s">
        <v>129</v>
      </c>
      <c r="C10" s="371"/>
      <c r="D10" s="372"/>
      <c r="E10" s="373"/>
      <c r="F10" s="374"/>
      <c r="G10" s="375"/>
      <c r="H10" s="373"/>
      <c r="I10" s="374"/>
      <c r="J10" s="375"/>
      <c r="K10" s="373"/>
      <c r="L10" s="918"/>
      <c r="M10" s="1133"/>
      <c r="N10" s="889"/>
      <c r="O10" s="918"/>
      <c r="P10" s="375"/>
      <c r="Q10" s="889"/>
    </row>
    <row r="11" spans="1:17" ht="16.5" thickBot="1">
      <c r="A11" s="303">
        <v>1</v>
      </c>
      <c r="B11" s="295" t="s">
        <v>113</v>
      </c>
      <c r="C11" s="304"/>
      <c r="D11" s="304"/>
      <c r="E11" s="348">
        <f>SUM(C11:D11)</f>
        <v>0</v>
      </c>
      <c r="F11" s="304"/>
      <c r="G11" s="304"/>
      <c r="H11" s="348">
        <f>SUM(F11:G11)</f>
        <v>0</v>
      </c>
      <c r="I11" s="304"/>
      <c r="J11" s="304"/>
      <c r="K11" s="348">
        <f aca="true" t="shared" si="0" ref="K11:K16">SUM(I11:J11)</f>
        <v>0</v>
      </c>
      <c r="L11" s="304"/>
      <c r="M11" s="304"/>
      <c r="N11" s="348">
        <f aca="true" t="shared" si="1" ref="N11:N16">SUM(L11:M11)</f>
        <v>0</v>
      </c>
      <c r="O11" s="308"/>
      <c r="P11" s="304"/>
      <c r="Q11" s="310">
        <f aca="true" t="shared" si="2" ref="Q11:Q16">SUM(O11:P11)</f>
        <v>0</v>
      </c>
    </row>
    <row r="12" spans="1:17" ht="16.5" thickBot="1">
      <c r="A12" s="307">
        <v>2</v>
      </c>
      <c r="B12" s="295" t="s">
        <v>202</v>
      </c>
      <c r="C12" s="306"/>
      <c r="D12" s="304"/>
      <c r="E12" s="348">
        <f>SUM(C12:D12)</f>
        <v>0</v>
      </c>
      <c r="F12" s="320"/>
      <c r="G12" s="304"/>
      <c r="H12" s="310">
        <f>SUM(F12:G12)</f>
        <v>0</v>
      </c>
      <c r="I12" s="306"/>
      <c r="J12" s="304"/>
      <c r="K12" s="348">
        <f t="shared" si="0"/>
        <v>0</v>
      </c>
      <c r="L12" s="306"/>
      <c r="M12" s="304"/>
      <c r="N12" s="348">
        <f t="shared" si="1"/>
        <v>0</v>
      </c>
      <c r="O12" s="308"/>
      <c r="P12" s="304"/>
      <c r="Q12" s="310">
        <f t="shared" si="2"/>
        <v>0</v>
      </c>
    </row>
    <row r="13" spans="1:17" s="15" customFormat="1" ht="16.5" thickBot="1">
      <c r="A13" s="307">
        <v>3</v>
      </c>
      <c r="B13" s="295" t="s">
        <v>116</v>
      </c>
      <c r="C13" s="320">
        <v>2610</v>
      </c>
      <c r="D13" s="304">
        <v>-54</v>
      </c>
      <c r="E13" s="310">
        <f>SUM(C13:D13)</f>
        <v>2556</v>
      </c>
      <c r="F13" s="320">
        <v>51803</v>
      </c>
      <c r="G13" s="304"/>
      <c r="H13" s="310">
        <f>SUM(F13:G13)</f>
        <v>51803</v>
      </c>
      <c r="I13" s="304"/>
      <c r="J13" s="304"/>
      <c r="K13" s="348">
        <f t="shared" si="0"/>
        <v>0</v>
      </c>
      <c r="L13" s="308"/>
      <c r="M13" s="304"/>
      <c r="N13" s="310">
        <f t="shared" si="1"/>
        <v>0</v>
      </c>
      <c r="O13" s="308">
        <v>1740</v>
      </c>
      <c r="P13" s="304"/>
      <c r="Q13" s="310">
        <f t="shared" si="2"/>
        <v>1740</v>
      </c>
    </row>
    <row r="14" spans="1:17" s="15" customFormat="1" ht="16.5" thickBot="1">
      <c r="A14" s="307">
        <v>4</v>
      </c>
      <c r="B14" s="295" t="s">
        <v>172</v>
      </c>
      <c r="C14" s="320">
        <v>91423</v>
      </c>
      <c r="D14" s="304">
        <v>54</v>
      </c>
      <c r="E14" s="310">
        <f>SUM(C14:D14)</f>
        <v>91477</v>
      </c>
      <c r="F14" s="320"/>
      <c r="G14" s="304"/>
      <c r="H14" s="310">
        <f>SUM(F14:G14)</f>
        <v>0</v>
      </c>
      <c r="I14" s="320"/>
      <c r="J14" s="304"/>
      <c r="K14" s="310">
        <f t="shared" si="0"/>
        <v>0</v>
      </c>
      <c r="L14" s="320"/>
      <c r="M14" s="304"/>
      <c r="N14" s="310">
        <f t="shared" si="1"/>
        <v>0</v>
      </c>
      <c r="O14" s="320"/>
      <c r="P14" s="304"/>
      <c r="Q14" s="310">
        <f t="shared" si="2"/>
        <v>0</v>
      </c>
    </row>
    <row r="15" spans="1:17" ht="15">
      <c r="A15" s="163" t="s">
        <v>98</v>
      </c>
      <c r="B15" s="152" t="s">
        <v>370</v>
      </c>
      <c r="C15" s="296"/>
      <c r="D15" s="224"/>
      <c r="E15" s="227">
        <f>C15+D15</f>
        <v>0</v>
      </c>
      <c r="F15" s="296"/>
      <c r="G15" s="224"/>
      <c r="H15" s="227">
        <f>F15+G15</f>
        <v>0</v>
      </c>
      <c r="I15" s="296"/>
      <c r="J15" s="224"/>
      <c r="K15" s="379">
        <f t="shared" si="0"/>
        <v>0</v>
      </c>
      <c r="L15" s="296"/>
      <c r="M15" s="224"/>
      <c r="N15" s="227">
        <f t="shared" si="1"/>
        <v>0</v>
      </c>
      <c r="O15" s="296"/>
      <c r="P15" s="224"/>
      <c r="Q15" s="227">
        <f t="shared" si="2"/>
        <v>0</v>
      </c>
    </row>
    <row r="16" spans="1:17" ht="15">
      <c r="A16" s="160" t="s">
        <v>99</v>
      </c>
      <c r="B16" s="156" t="s">
        <v>554</v>
      </c>
      <c r="C16" s="297"/>
      <c r="D16" s="146"/>
      <c r="E16" s="227">
        <f>C16+D16</f>
        <v>0</v>
      </c>
      <c r="F16" s="1132"/>
      <c r="G16" s="146"/>
      <c r="H16" s="227">
        <f>F16+G16</f>
        <v>0</v>
      </c>
      <c r="I16" s="297"/>
      <c r="J16" s="146"/>
      <c r="K16" s="227">
        <f t="shared" si="0"/>
        <v>0</v>
      </c>
      <c r="L16" s="297"/>
      <c r="M16" s="146"/>
      <c r="N16" s="227">
        <f t="shared" si="1"/>
        <v>0</v>
      </c>
      <c r="O16" s="297"/>
      <c r="P16" s="146"/>
      <c r="Q16" s="227">
        <f t="shared" si="2"/>
        <v>0</v>
      </c>
    </row>
    <row r="17" spans="1:17" ht="15">
      <c r="A17" s="160" t="s">
        <v>100</v>
      </c>
      <c r="B17" s="156" t="s">
        <v>555</v>
      </c>
      <c r="C17" s="297"/>
      <c r="D17" s="146"/>
      <c r="E17" s="227">
        <f aca="true" t="shared" si="3" ref="E17:E22">C17+D17</f>
        <v>0</v>
      </c>
      <c r="G17" s="146"/>
      <c r="H17" s="227">
        <f aca="true" t="shared" si="4" ref="H17:H22">F17+G17</f>
        <v>0</v>
      </c>
      <c r="I17" s="297"/>
      <c r="J17" s="146"/>
      <c r="K17" s="227">
        <f aca="true" t="shared" si="5" ref="K17:K22">SUM(I17:J17)</f>
        <v>0</v>
      </c>
      <c r="L17" s="297"/>
      <c r="M17" s="146"/>
      <c r="N17" s="227">
        <f aca="true" t="shared" si="6" ref="N17:N22">SUM(L17:M17)</f>
        <v>0</v>
      </c>
      <c r="O17" s="297"/>
      <c r="P17" s="146"/>
      <c r="Q17" s="227">
        <f aca="true" t="shared" si="7" ref="Q17:Q22">SUM(O17:P17)</f>
        <v>0</v>
      </c>
    </row>
    <row r="18" spans="1:17" ht="15">
      <c r="A18" s="160" t="s">
        <v>101</v>
      </c>
      <c r="B18" s="156" t="s">
        <v>371</v>
      </c>
      <c r="C18" s="297">
        <v>11300</v>
      </c>
      <c r="D18" s="146"/>
      <c r="E18" s="227">
        <f t="shared" si="3"/>
        <v>11300</v>
      </c>
      <c r="F18" s="880">
        <v>144</v>
      </c>
      <c r="G18" s="146"/>
      <c r="H18" s="227">
        <f t="shared" si="4"/>
        <v>144</v>
      </c>
      <c r="I18" s="297"/>
      <c r="J18" s="146"/>
      <c r="K18" s="227">
        <f t="shared" si="5"/>
        <v>0</v>
      </c>
      <c r="L18" s="297"/>
      <c r="M18" s="146"/>
      <c r="N18" s="227">
        <f t="shared" si="6"/>
        <v>0</v>
      </c>
      <c r="O18" s="297">
        <v>8809</v>
      </c>
      <c r="P18" s="146">
        <v>-1648</v>
      </c>
      <c r="Q18" s="227">
        <f t="shared" si="7"/>
        <v>7161</v>
      </c>
    </row>
    <row r="19" spans="1:17" ht="15">
      <c r="A19" s="155" t="s">
        <v>192</v>
      </c>
      <c r="B19" s="156" t="s">
        <v>556</v>
      </c>
      <c r="C19" s="859"/>
      <c r="D19" s="146"/>
      <c r="E19" s="227">
        <f>C19+D19</f>
        <v>0</v>
      </c>
      <c r="F19" s="297"/>
      <c r="G19" s="146"/>
      <c r="H19" s="227">
        <f>F19+G19</f>
        <v>0</v>
      </c>
      <c r="I19" s="297"/>
      <c r="J19" s="146"/>
      <c r="K19" s="227">
        <f>SUM(I19:J19)</f>
        <v>0</v>
      </c>
      <c r="L19" s="297"/>
      <c r="M19" s="146"/>
      <c r="N19" s="227">
        <f>SUM(L19:M19)</f>
        <v>0</v>
      </c>
      <c r="O19" s="297"/>
      <c r="P19" s="146"/>
      <c r="Q19" s="227">
        <f>SUM(O19:P19)</f>
        <v>0</v>
      </c>
    </row>
    <row r="20" spans="1:17" ht="15">
      <c r="A20" s="155" t="s">
        <v>327</v>
      </c>
      <c r="B20" s="156" t="s">
        <v>557</v>
      </c>
      <c r="C20" s="859"/>
      <c r="D20" s="146"/>
      <c r="E20" s="227">
        <f t="shared" si="3"/>
        <v>0</v>
      </c>
      <c r="F20" s="297"/>
      <c r="G20" s="146"/>
      <c r="H20" s="227">
        <f t="shared" si="4"/>
        <v>0</v>
      </c>
      <c r="I20" s="297"/>
      <c r="J20" s="146"/>
      <c r="K20" s="227">
        <f t="shared" si="5"/>
        <v>0</v>
      </c>
      <c r="L20" s="297"/>
      <c r="M20" s="146"/>
      <c r="N20" s="227">
        <f t="shared" si="6"/>
        <v>0</v>
      </c>
      <c r="O20" s="297"/>
      <c r="P20" s="146"/>
      <c r="Q20" s="227">
        <f t="shared" si="7"/>
        <v>0</v>
      </c>
    </row>
    <row r="21" spans="1:17" ht="15">
      <c r="A21" s="153" t="s">
        <v>328</v>
      </c>
      <c r="B21" s="156" t="s">
        <v>372</v>
      </c>
      <c r="C21" s="861"/>
      <c r="D21" s="224"/>
      <c r="E21" s="227">
        <f>C21+D21</f>
        <v>0</v>
      </c>
      <c r="F21" s="296">
        <v>37307</v>
      </c>
      <c r="G21" s="224"/>
      <c r="H21" s="227">
        <f t="shared" si="4"/>
        <v>37307</v>
      </c>
      <c r="I21" s="296">
        <v>2700</v>
      </c>
      <c r="J21" s="224"/>
      <c r="K21" s="227">
        <f t="shared" si="5"/>
        <v>2700</v>
      </c>
      <c r="L21" s="296"/>
      <c r="M21" s="224"/>
      <c r="N21" s="227">
        <f t="shared" si="6"/>
        <v>0</v>
      </c>
      <c r="O21" s="296"/>
      <c r="P21" s="224"/>
      <c r="Q21" s="227">
        <f t="shared" si="7"/>
        <v>0</v>
      </c>
    </row>
    <row r="22" spans="1:17" ht="15" customHeight="1" thickBot="1">
      <c r="A22" s="16" t="s">
        <v>69</v>
      </c>
      <c r="B22" s="324" t="s">
        <v>373</v>
      </c>
      <c r="C22" s="860"/>
      <c r="D22" s="158"/>
      <c r="E22" s="227">
        <f t="shared" si="3"/>
        <v>0</v>
      </c>
      <c r="F22" s="298"/>
      <c r="G22" s="158"/>
      <c r="H22" s="227">
        <f t="shared" si="4"/>
        <v>0</v>
      </c>
      <c r="I22" s="298"/>
      <c r="J22" s="158"/>
      <c r="K22" s="227">
        <f t="shared" si="5"/>
        <v>0</v>
      </c>
      <c r="L22" s="298"/>
      <c r="M22" s="158"/>
      <c r="N22" s="227">
        <f t="shared" si="6"/>
        <v>0</v>
      </c>
      <c r="O22" s="298"/>
      <c r="P22" s="158"/>
      <c r="Q22" s="227">
        <f t="shared" si="7"/>
        <v>0</v>
      </c>
    </row>
    <row r="23" spans="1:17" s="15" customFormat="1" ht="16.5" thickBot="1">
      <c r="A23" s="307">
        <v>5</v>
      </c>
      <c r="B23" s="295" t="s">
        <v>171</v>
      </c>
      <c r="C23" s="337">
        <f aca="true" t="shared" si="8" ref="C23:Q23">SUM(C15:C22)</f>
        <v>11300</v>
      </c>
      <c r="D23" s="304">
        <f t="shared" si="8"/>
        <v>0</v>
      </c>
      <c r="E23" s="310">
        <f t="shared" si="8"/>
        <v>11300</v>
      </c>
      <c r="F23" s="320">
        <f t="shared" si="8"/>
        <v>37451</v>
      </c>
      <c r="G23" s="304">
        <f t="shared" si="8"/>
        <v>0</v>
      </c>
      <c r="H23" s="320">
        <f t="shared" si="8"/>
        <v>37451</v>
      </c>
      <c r="I23" s="337">
        <f t="shared" si="8"/>
        <v>2700</v>
      </c>
      <c r="J23" s="304">
        <f t="shared" si="8"/>
        <v>0</v>
      </c>
      <c r="K23" s="310">
        <f t="shared" si="8"/>
        <v>2700</v>
      </c>
      <c r="L23" s="337">
        <f t="shared" si="8"/>
        <v>0</v>
      </c>
      <c r="M23" s="304">
        <f t="shared" si="8"/>
        <v>0</v>
      </c>
      <c r="N23" s="310">
        <f t="shared" si="8"/>
        <v>0</v>
      </c>
      <c r="O23" s="337">
        <f t="shared" si="8"/>
        <v>8809</v>
      </c>
      <c r="P23" s="304">
        <f t="shared" si="8"/>
        <v>-1648</v>
      </c>
      <c r="Q23" s="310">
        <f t="shared" si="8"/>
        <v>7161</v>
      </c>
    </row>
    <row r="24" spans="1:17" ht="16.5" thickBot="1">
      <c r="A24" s="303">
        <v>6</v>
      </c>
      <c r="B24" s="295" t="s">
        <v>174</v>
      </c>
      <c r="C24" s="308"/>
      <c r="D24" s="304"/>
      <c r="E24" s="310">
        <f aca="true" t="shared" si="9" ref="E24:E30">SUM(C24:D24)</f>
        <v>0</v>
      </c>
      <c r="F24" s="308"/>
      <c r="G24" s="304"/>
      <c r="H24" s="310">
        <f aca="true" t="shared" si="10" ref="H24:H30">SUM(F24:G24)</f>
        <v>0</v>
      </c>
      <c r="I24" s="308"/>
      <c r="J24" s="304"/>
      <c r="K24" s="310">
        <f aca="true" t="shared" si="11" ref="K24:K30">SUM(I24:J24)</f>
        <v>0</v>
      </c>
      <c r="L24" s="308"/>
      <c r="M24" s="304"/>
      <c r="N24" s="310">
        <f aca="true" t="shared" si="12" ref="N24:N30">SUM(L24:M24)</f>
        <v>0</v>
      </c>
      <c r="O24" s="337"/>
      <c r="P24" s="304"/>
      <c r="Q24" s="310">
        <f aca="true" t="shared" si="13" ref="Q24:Q30">SUM(O24:P24)</f>
        <v>0</v>
      </c>
    </row>
    <row r="25" spans="1:17" s="15" customFormat="1" ht="16.5" thickBot="1">
      <c r="A25" s="303">
        <v>7</v>
      </c>
      <c r="B25" s="295" t="s">
        <v>421</v>
      </c>
      <c r="C25" s="308"/>
      <c r="D25" s="304"/>
      <c r="E25" s="310">
        <f t="shared" si="9"/>
        <v>0</v>
      </c>
      <c r="F25" s="308"/>
      <c r="G25" s="304"/>
      <c r="H25" s="320">
        <f t="shared" si="10"/>
        <v>0</v>
      </c>
      <c r="I25" s="337"/>
      <c r="J25" s="304"/>
      <c r="K25" s="310">
        <f t="shared" si="11"/>
        <v>0</v>
      </c>
      <c r="L25" s="320"/>
      <c r="M25" s="304"/>
      <c r="N25" s="310">
        <f t="shared" si="12"/>
        <v>0</v>
      </c>
      <c r="O25" s="308"/>
      <c r="P25" s="304"/>
      <c r="Q25" s="310">
        <f t="shared" si="13"/>
        <v>0</v>
      </c>
    </row>
    <row r="26" spans="1:17" ht="15">
      <c r="A26" s="163" t="s">
        <v>98</v>
      </c>
      <c r="B26" s="156" t="s">
        <v>560</v>
      </c>
      <c r="C26" s="296"/>
      <c r="D26" s="224"/>
      <c r="E26" s="227">
        <f t="shared" si="9"/>
        <v>0</v>
      </c>
      <c r="F26" s="296"/>
      <c r="G26" s="224"/>
      <c r="H26" s="227">
        <f t="shared" si="10"/>
        <v>0</v>
      </c>
      <c r="I26" s="296"/>
      <c r="J26" s="224"/>
      <c r="K26" s="227">
        <f t="shared" si="11"/>
        <v>0</v>
      </c>
      <c r="L26" s="296"/>
      <c r="M26" s="224"/>
      <c r="N26" s="227">
        <f t="shared" si="12"/>
        <v>0</v>
      </c>
      <c r="O26" s="296"/>
      <c r="P26" s="224"/>
      <c r="Q26" s="227">
        <f t="shared" si="13"/>
        <v>0</v>
      </c>
    </row>
    <row r="27" spans="1:17" ht="15">
      <c r="A27" s="163" t="s">
        <v>99</v>
      </c>
      <c r="B27" s="156" t="s">
        <v>558</v>
      </c>
      <c r="C27" s="296"/>
      <c r="D27" s="224"/>
      <c r="E27" s="227">
        <f t="shared" si="9"/>
        <v>0</v>
      </c>
      <c r="F27" s="296"/>
      <c r="G27" s="224"/>
      <c r="H27" s="227">
        <f t="shared" si="10"/>
        <v>0</v>
      </c>
      <c r="I27" s="296"/>
      <c r="J27" s="224"/>
      <c r="K27" s="227">
        <f t="shared" si="11"/>
        <v>0</v>
      </c>
      <c r="L27" s="296"/>
      <c r="M27" s="224"/>
      <c r="N27" s="227">
        <f t="shared" si="12"/>
        <v>0</v>
      </c>
      <c r="O27" s="296"/>
      <c r="P27" s="224"/>
      <c r="Q27" s="227">
        <f t="shared" si="13"/>
        <v>0</v>
      </c>
    </row>
    <row r="28" spans="1:17" ht="15">
      <c r="A28" s="163" t="s">
        <v>100</v>
      </c>
      <c r="B28" s="156" t="s">
        <v>374</v>
      </c>
      <c r="C28" s="296"/>
      <c r="D28" s="224"/>
      <c r="E28" s="227">
        <f t="shared" si="9"/>
        <v>0</v>
      </c>
      <c r="F28" s="296"/>
      <c r="G28" s="224"/>
      <c r="H28" s="227">
        <f t="shared" si="10"/>
        <v>0</v>
      </c>
      <c r="I28" s="296"/>
      <c r="J28" s="224"/>
      <c r="K28" s="227">
        <f t="shared" si="11"/>
        <v>0</v>
      </c>
      <c r="L28" s="296"/>
      <c r="M28" s="224"/>
      <c r="N28" s="227">
        <f t="shared" si="12"/>
        <v>0</v>
      </c>
      <c r="O28" s="296"/>
      <c r="P28" s="224"/>
      <c r="Q28" s="227">
        <f t="shared" si="13"/>
        <v>0</v>
      </c>
    </row>
    <row r="29" spans="1:17" ht="15">
      <c r="A29" s="163" t="s">
        <v>101</v>
      </c>
      <c r="B29" s="156" t="s">
        <v>559</v>
      </c>
      <c r="C29" s="296"/>
      <c r="D29" s="224"/>
      <c r="E29" s="227">
        <f t="shared" si="9"/>
        <v>0</v>
      </c>
      <c r="F29" s="296"/>
      <c r="G29" s="224"/>
      <c r="H29" s="227">
        <f t="shared" si="10"/>
        <v>0</v>
      </c>
      <c r="I29" s="296"/>
      <c r="J29" s="224"/>
      <c r="K29" s="227">
        <f t="shared" si="11"/>
        <v>0</v>
      </c>
      <c r="L29" s="296"/>
      <c r="M29" s="224"/>
      <c r="N29" s="227">
        <f t="shared" si="12"/>
        <v>0</v>
      </c>
      <c r="O29" s="296"/>
      <c r="P29" s="224"/>
      <c r="Q29" s="227">
        <f t="shared" si="13"/>
        <v>0</v>
      </c>
    </row>
    <row r="30" spans="1:17" ht="15.75" thickBot="1">
      <c r="A30" s="325" t="s">
        <v>192</v>
      </c>
      <c r="B30" s="156" t="s">
        <v>375</v>
      </c>
      <c r="C30" s="319"/>
      <c r="D30" s="311"/>
      <c r="E30" s="314">
        <f t="shared" si="9"/>
        <v>0</v>
      </c>
      <c r="F30" s="319"/>
      <c r="G30" s="311"/>
      <c r="H30" s="314">
        <f t="shared" si="10"/>
        <v>0</v>
      </c>
      <c r="I30" s="319"/>
      <c r="J30" s="311"/>
      <c r="K30" s="314">
        <f t="shared" si="11"/>
        <v>0</v>
      </c>
      <c r="L30" s="319">
        <v>10000</v>
      </c>
      <c r="M30" s="311"/>
      <c r="N30" s="314">
        <f t="shared" si="12"/>
        <v>10000</v>
      </c>
      <c r="O30" s="319"/>
      <c r="P30" s="311"/>
      <c r="Q30" s="314">
        <f t="shared" si="13"/>
        <v>0</v>
      </c>
    </row>
    <row r="31" spans="1:17" s="15" customFormat="1" ht="16.5" thickBot="1">
      <c r="A31" s="303">
        <v>8</v>
      </c>
      <c r="B31" s="295" t="s">
        <v>173</v>
      </c>
      <c r="C31" s="337">
        <f aca="true" t="shared" si="14" ref="C31:Q31">SUM(C26:C30)</f>
        <v>0</v>
      </c>
      <c r="D31" s="304">
        <f t="shared" si="14"/>
        <v>0</v>
      </c>
      <c r="E31" s="310">
        <f t="shared" si="14"/>
        <v>0</v>
      </c>
      <c r="F31" s="320">
        <f t="shared" si="14"/>
        <v>0</v>
      </c>
      <c r="G31" s="304">
        <f t="shared" si="14"/>
        <v>0</v>
      </c>
      <c r="H31" s="320">
        <f t="shared" si="14"/>
        <v>0</v>
      </c>
      <c r="I31" s="337">
        <f t="shared" si="14"/>
        <v>0</v>
      </c>
      <c r="J31" s="304">
        <f t="shared" si="14"/>
        <v>0</v>
      </c>
      <c r="K31" s="310">
        <f t="shared" si="14"/>
        <v>0</v>
      </c>
      <c r="L31" s="337">
        <f t="shared" si="14"/>
        <v>10000</v>
      </c>
      <c r="M31" s="304">
        <f t="shared" si="14"/>
        <v>0</v>
      </c>
      <c r="N31" s="320">
        <f t="shared" si="14"/>
        <v>10000</v>
      </c>
      <c r="O31" s="337">
        <f t="shared" si="14"/>
        <v>0</v>
      </c>
      <c r="P31" s="304">
        <f t="shared" si="14"/>
        <v>0</v>
      </c>
      <c r="Q31" s="310">
        <f t="shared" si="14"/>
        <v>0</v>
      </c>
    </row>
    <row r="32" spans="1:17" ht="16.5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10">
        <f>SUM(L32:M32)</f>
        <v>0</v>
      </c>
      <c r="O32" s="337"/>
      <c r="P32" s="304"/>
      <c r="Q32" s="310">
        <f>SUM(O32:P32)</f>
        <v>0</v>
      </c>
    </row>
    <row r="33" spans="1:17" s="34" customFormat="1" ht="16.5" thickBot="1">
      <c r="A33" s="357">
        <v>10</v>
      </c>
      <c r="B33" s="358"/>
      <c r="C33" s="1131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1101">
        <f>SUM(L33:M33)</f>
        <v>0</v>
      </c>
      <c r="O33" s="165"/>
      <c r="P33" s="359"/>
      <c r="Q33" s="1101">
        <f>SUM(O33:P33)</f>
        <v>0</v>
      </c>
    </row>
    <row r="34" spans="1:21" s="37" customFormat="1" ht="17.25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105333</v>
      </c>
      <c r="D34" s="334">
        <f t="shared" si="15"/>
        <v>0</v>
      </c>
      <c r="E34" s="746">
        <f t="shared" si="15"/>
        <v>105333</v>
      </c>
      <c r="F34" s="355">
        <f t="shared" si="15"/>
        <v>89254</v>
      </c>
      <c r="G34" s="334">
        <f t="shared" si="15"/>
        <v>0</v>
      </c>
      <c r="H34" s="746">
        <f t="shared" si="15"/>
        <v>89254</v>
      </c>
      <c r="I34" s="355">
        <f t="shared" si="15"/>
        <v>2700</v>
      </c>
      <c r="J34" s="334">
        <f t="shared" si="15"/>
        <v>0</v>
      </c>
      <c r="K34" s="746">
        <f t="shared" si="15"/>
        <v>2700</v>
      </c>
      <c r="L34" s="355">
        <f t="shared" si="15"/>
        <v>10000</v>
      </c>
      <c r="M34" s="334">
        <f t="shared" si="15"/>
        <v>0</v>
      </c>
      <c r="N34" s="746">
        <f t="shared" si="15"/>
        <v>10000</v>
      </c>
      <c r="O34" s="355">
        <f t="shared" si="15"/>
        <v>10549</v>
      </c>
      <c r="P34" s="334">
        <f t="shared" si="15"/>
        <v>-1648</v>
      </c>
      <c r="Q34" s="364">
        <f t="shared" si="15"/>
        <v>8901</v>
      </c>
      <c r="R34" s="68"/>
      <c r="S34" s="68"/>
      <c r="T34" s="68"/>
      <c r="U34" s="68"/>
    </row>
    <row r="35" spans="1:21" ht="17.25" thickBot="1" thickTop="1">
      <c r="A35" s="151"/>
      <c r="B35" s="336" t="s">
        <v>131</v>
      </c>
      <c r="C35" s="1071"/>
      <c r="D35" s="292"/>
      <c r="E35" s="1102"/>
      <c r="F35" s="862"/>
      <c r="G35" s="292"/>
      <c r="H35" s="1102"/>
      <c r="I35" s="909"/>
      <c r="J35" s="292"/>
      <c r="K35" s="1102"/>
      <c r="L35" s="909"/>
      <c r="M35" s="292"/>
      <c r="N35" s="1102"/>
      <c r="O35" s="1071"/>
      <c r="P35" s="292"/>
      <c r="Q35" s="1102"/>
      <c r="R35" s="31"/>
      <c r="S35" s="31"/>
      <c r="T35" s="31"/>
      <c r="U35" s="31"/>
    </row>
    <row r="36" spans="1:17" s="730" customFormat="1" ht="15">
      <c r="A36" s="737" t="s">
        <v>98</v>
      </c>
      <c r="B36" s="738" t="s">
        <v>376</v>
      </c>
      <c r="C36" s="1079"/>
      <c r="D36" s="739"/>
      <c r="E36" s="744">
        <f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4">
        <f>SUM(L36:M36)</f>
        <v>0</v>
      </c>
      <c r="O36" s="1079"/>
      <c r="P36" s="739"/>
      <c r="Q36" s="744">
        <f>SUM(O36:P36)</f>
        <v>0</v>
      </c>
    </row>
    <row r="37" spans="1:17" s="730" customFormat="1" ht="15">
      <c r="A37" s="160" t="s">
        <v>99</v>
      </c>
      <c r="B37" s="156" t="s">
        <v>235</v>
      </c>
      <c r="C37" s="880"/>
      <c r="D37" s="146"/>
      <c r="E37" s="169">
        <f>SUM(C37:D37)</f>
        <v>0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169">
        <f>SUM(L37:M37)</f>
        <v>0</v>
      </c>
      <c r="O37" s="880"/>
      <c r="P37" s="146"/>
      <c r="Q37" s="169">
        <f>SUM(O37:P37)</f>
        <v>0</v>
      </c>
    </row>
    <row r="38" spans="1:17" s="730" customFormat="1" ht="15">
      <c r="A38" s="325" t="s">
        <v>100</v>
      </c>
      <c r="B38" s="149" t="s">
        <v>377</v>
      </c>
      <c r="C38" s="1070"/>
      <c r="D38" s="311"/>
      <c r="E38" s="314">
        <f>SUM(C38:D38)</f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314">
        <f>SUM(L38:M38)</f>
        <v>0</v>
      </c>
      <c r="O38" s="1070"/>
      <c r="P38" s="311"/>
      <c r="Q38" s="314">
        <f>SUM(O38:P38)</f>
        <v>0</v>
      </c>
    </row>
    <row r="39" spans="1:17" s="730" customFormat="1" ht="15.75" thickBot="1">
      <c r="A39" s="161" t="s">
        <v>101</v>
      </c>
      <c r="B39" s="162" t="s">
        <v>381</v>
      </c>
      <c r="C39" s="881">
        <v>3219</v>
      </c>
      <c r="D39" s="158"/>
      <c r="E39" s="237">
        <f>SUM(C39:D39)</f>
        <v>3219</v>
      </c>
      <c r="F39" s="860"/>
      <c r="G39" s="158"/>
      <c r="H39" s="237">
        <f>SUM(F39:G39)</f>
        <v>0</v>
      </c>
      <c r="I39" s="881"/>
      <c r="J39" s="158"/>
      <c r="K39" s="237">
        <f>SUM(I39:J39)</f>
        <v>0</v>
      </c>
      <c r="L39" s="881"/>
      <c r="M39" s="158"/>
      <c r="N39" s="237">
        <f>SUM(L39:M39)</f>
        <v>0</v>
      </c>
      <c r="O39" s="881"/>
      <c r="P39" s="158"/>
      <c r="Q39" s="237">
        <f>SUM(O39:P39)</f>
        <v>0</v>
      </c>
    </row>
    <row r="40" spans="1:17" s="15" customFormat="1" ht="16.5" thickBot="1">
      <c r="A40" s="303">
        <v>1</v>
      </c>
      <c r="B40" s="295" t="s">
        <v>177</v>
      </c>
      <c r="C40" s="337">
        <f aca="true" t="shared" si="16" ref="C40:Q40">SUM(C36:C39)</f>
        <v>3219</v>
      </c>
      <c r="D40" s="304">
        <f t="shared" si="16"/>
        <v>0</v>
      </c>
      <c r="E40" s="310">
        <f t="shared" si="16"/>
        <v>3219</v>
      </c>
      <c r="F40" s="337">
        <f t="shared" si="16"/>
        <v>0</v>
      </c>
      <c r="G40" s="304">
        <f t="shared" si="16"/>
        <v>0</v>
      </c>
      <c r="H40" s="310">
        <f t="shared" si="16"/>
        <v>0</v>
      </c>
      <c r="I40" s="337">
        <f t="shared" si="16"/>
        <v>0</v>
      </c>
      <c r="J40" s="304">
        <f t="shared" si="16"/>
        <v>0</v>
      </c>
      <c r="K40" s="310">
        <f t="shared" si="16"/>
        <v>0</v>
      </c>
      <c r="L40" s="337">
        <f t="shared" si="16"/>
        <v>0</v>
      </c>
      <c r="M40" s="304">
        <f t="shared" si="16"/>
        <v>0</v>
      </c>
      <c r="N40" s="310">
        <f t="shared" si="16"/>
        <v>0</v>
      </c>
      <c r="O40" s="337">
        <f t="shared" si="16"/>
        <v>0</v>
      </c>
      <c r="P40" s="304">
        <f t="shared" si="16"/>
        <v>0</v>
      </c>
      <c r="Q40" s="310">
        <f t="shared" si="16"/>
        <v>0</v>
      </c>
    </row>
    <row r="41" spans="1:17" ht="15">
      <c r="A41" s="163" t="s">
        <v>98</v>
      </c>
      <c r="B41" s="152" t="s">
        <v>403</v>
      </c>
      <c r="C41" s="1069"/>
      <c r="D41" s="224"/>
      <c r="E41" s="227">
        <f>SUM(C41:D41)</f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227">
        <f>SUM(L41:M41)</f>
        <v>0</v>
      </c>
      <c r="O41" s="1069"/>
      <c r="P41" s="224"/>
      <c r="Q41" s="227">
        <f>SUM(O41:P41)</f>
        <v>0</v>
      </c>
    </row>
    <row r="42" spans="1:17" ht="15">
      <c r="A42" s="160" t="s">
        <v>99</v>
      </c>
      <c r="B42" s="156" t="s">
        <v>378</v>
      </c>
      <c r="C42" s="880"/>
      <c r="D42" s="146"/>
      <c r="E42" s="169">
        <f>SUM(C42:D42)</f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169">
        <f>SUM(L42:M42)</f>
        <v>0</v>
      </c>
      <c r="O42" s="880"/>
      <c r="P42" s="146"/>
      <c r="Q42" s="169">
        <f>SUM(O42:P42)</f>
        <v>0</v>
      </c>
    </row>
    <row r="43" spans="1:17" ht="15">
      <c r="A43" s="160" t="s">
        <v>100</v>
      </c>
      <c r="B43" s="156" t="s">
        <v>379</v>
      </c>
      <c r="C43" s="880"/>
      <c r="D43" s="146"/>
      <c r="E43" s="169">
        <f>SUM(C43:D43)</f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169">
        <f>SUM(L43:M43)</f>
        <v>0</v>
      </c>
      <c r="O43" s="880"/>
      <c r="P43" s="146"/>
      <c r="Q43" s="169">
        <f>SUM(O43:P43)</f>
        <v>0</v>
      </c>
    </row>
    <row r="44" spans="1:17" ht="15.75" thickBot="1">
      <c r="A44" s="161" t="s">
        <v>101</v>
      </c>
      <c r="B44" s="162" t="s">
        <v>175</v>
      </c>
      <c r="C44" s="881"/>
      <c r="D44" s="158"/>
      <c r="E44" s="237">
        <f>SUM(C44:D44)</f>
        <v>0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237">
        <f>SUM(L44:M44)</f>
        <v>0</v>
      </c>
      <c r="O44" s="881"/>
      <c r="P44" s="158"/>
      <c r="Q44" s="237">
        <f>SUM(O44:P44)</f>
        <v>0</v>
      </c>
    </row>
    <row r="45" spans="1:17" s="15" customFormat="1" ht="16.5" thickBot="1">
      <c r="A45" s="303">
        <v>2</v>
      </c>
      <c r="B45" s="295" t="s">
        <v>176</v>
      </c>
      <c r="C45" s="337">
        <f>SUM(C41:C44)</f>
        <v>0</v>
      </c>
      <c r="D45" s="304">
        <f aca="true" t="shared" si="17" ref="D45:Q45">SUM(D41:D44)</f>
        <v>0</v>
      </c>
      <c r="E45" s="306">
        <f t="shared" si="17"/>
        <v>0</v>
      </c>
      <c r="F45" s="337">
        <f t="shared" si="17"/>
        <v>0</v>
      </c>
      <c r="G45" s="304">
        <f t="shared" si="17"/>
        <v>0</v>
      </c>
      <c r="H45" s="306">
        <f t="shared" si="17"/>
        <v>0</v>
      </c>
      <c r="I45" s="337">
        <f t="shared" si="17"/>
        <v>0</v>
      </c>
      <c r="J45" s="304">
        <f t="shared" si="17"/>
        <v>0</v>
      </c>
      <c r="K45" s="306">
        <f t="shared" si="17"/>
        <v>0</v>
      </c>
      <c r="L45" s="337">
        <f t="shared" si="17"/>
        <v>0</v>
      </c>
      <c r="M45" s="304">
        <f t="shared" si="17"/>
        <v>0</v>
      </c>
      <c r="N45" s="320">
        <f t="shared" si="17"/>
        <v>0</v>
      </c>
      <c r="O45" s="337">
        <f t="shared" si="17"/>
        <v>0</v>
      </c>
      <c r="P45" s="304">
        <f t="shared" si="17"/>
        <v>0</v>
      </c>
      <c r="Q45" s="310">
        <f t="shared" si="17"/>
        <v>0</v>
      </c>
    </row>
    <row r="46" spans="1:17" s="15" customFormat="1" ht="16.5" thickBot="1">
      <c r="A46" s="303">
        <v>3</v>
      </c>
      <c r="B46" s="295" t="s">
        <v>254</v>
      </c>
      <c r="C46" s="337">
        <v>1150</v>
      </c>
      <c r="D46" s="304">
        <v>164</v>
      </c>
      <c r="E46" s="306">
        <f>SUM(C46:D46)</f>
        <v>1314</v>
      </c>
      <c r="F46" s="337"/>
      <c r="G46" s="304"/>
      <c r="H46" s="306">
        <f>SUM(F46:G46)</f>
        <v>0</v>
      </c>
      <c r="I46" s="337"/>
      <c r="J46" s="304"/>
      <c r="K46" s="306">
        <f>SUM(I46:J46)</f>
        <v>0</v>
      </c>
      <c r="L46" s="337"/>
      <c r="M46" s="304"/>
      <c r="N46" s="320">
        <f>SUM(L46:M46)</f>
        <v>0</v>
      </c>
      <c r="O46" s="337"/>
      <c r="P46" s="304"/>
      <c r="Q46" s="310">
        <f>SUM(O46:P46)</f>
        <v>0</v>
      </c>
    </row>
    <row r="47" spans="1:17" ht="16.5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/>
      <c r="J47" s="304"/>
      <c r="K47" s="306">
        <f>SUM(I47:J47)</f>
        <v>0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30" customFormat="1" ht="1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/>
      <c r="M48" s="224"/>
      <c r="N48" s="227">
        <f>SUM(L48:M48)</f>
        <v>0</v>
      </c>
      <c r="O48" s="1069"/>
      <c r="P48" s="224"/>
      <c r="Q48" s="227">
        <f>SUM(O48:P48)</f>
        <v>0</v>
      </c>
    </row>
    <row r="49" spans="1:17" ht="1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169">
        <f>SUM(L49:M49)</f>
        <v>0</v>
      </c>
      <c r="O49" s="880"/>
      <c r="P49" s="146"/>
      <c r="Q49" s="169">
        <f>SUM(O49:P49)</f>
        <v>0</v>
      </c>
    </row>
    <row r="50" spans="1:17" ht="15.75" thickBot="1">
      <c r="A50" s="161" t="s">
        <v>100</v>
      </c>
      <c r="B50" s="324" t="s">
        <v>413</v>
      </c>
      <c r="C50" s="880"/>
      <c r="D50" s="146"/>
      <c r="E50" s="169">
        <f>SUM(C50:D50)</f>
        <v>0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880"/>
      <c r="M50" s="146"/>
      <c r="N50" s="169">
        <f>SUM(L50:M50)</f>
        <v>0</v>
      </c>
      <c r="O50" s="880"/>
      <c r="P50" s="146"/>
      <c r="Q50" s="169">
        <f>SUM(O50:P50)</f>
        <v>0</v>
      </c>
    </row>
    <row r="51" spans="1:17" s="15" customFormat="1" ht="16.5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18" ref="E51:Q51">SUM(E48:E50)</f>
        <v>0</v>
      </c>
      <c r="F51" s="337">
        <f t="shared" si="18"/>
        <v>0</v>
      </c>
      <c r="G51" s="304">
        <f t="shared" si="18"/>
        <v>0</v>
      </c>
      <c r="H51" s="306">
        <f t="shared" si="18"/>
        <v>0</v>
      </c>
      <c r="I51" s="337">
        <f t="shared" si="18"/>
        <v>0</v>
      </c>
      <c r="J51" s="304">
        <f t="shared" si="18"/>
        <v>0</v>
      </c>
      <c r="K51" s="306">
        <f t="shared" si="18"/>
        <v>0</v>
      </c>
      <c r="L51" s="337">
        <f t="shared" si="18"/>
        <v>0</v>
      </c>
      <c r="M51" s="304">
        <f t="shared" si="18"/>
        <v>0</v>
      </c>
      <c r="N51" s="306">
        <f t="shared" si="18"/>
        <v>0</v>
      </c>
      <c r="O51" s="337">
        <f t="shared" si="18"/>
        <v>0</v>
      </c>
      <c r="P51" s="304">
        <f t="shared" si="18"/>
        <v>0</v>
      </c>
      <c r="Q51" s="310">
        <f t="shared" si="18"/>
        <v>0</v>
      </c>
    </row>
    <row r="52" spans="1:17" s="15" customFormat="1" ht="16.5" thickBot="1">
      <c r="A52" s="733">
        <v>6</v>
      </c>
      <c r="B52" s="734" t="s">
        <v>285</v>
      </c>
      <c r="C52" s="1072"/>
      <c r="D52" s="329"/>
      <c r="E52" s="322">
        <f>SUM(C52:D52)</f>
        <v>0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1078"/>
      <c r="M52" s="329"/>
      <c r="N52" s="322">
        <f>SUM(L52:M52)</f>
        <v>0</v>
      </c>
      <c r="O52" s="1078"/>
      <c r="P52" s="329"/>
      <c r="Q52" s="322">
        <f>SUM(O52:P52)</f>
        <v>0</v>
      </c>
    </row>
    <row r="53" spans="1:17" ht="15">
      <c r="A53" s="144" t="s">
        <v>98</v>
      </c>
      <c r="B53" s="145" t="s">
        <v>382</v>
      </c>
      <c r="C53" s="1073"/>
      <c r="D53" s="147"/>
      <c r="E53" s="203">
        <f>SUM(C53:D53)</f>
        <v>0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1073"/>
      <c r="M53" s="147"/>
      <c r="N53" s="203">
        <f>SUM(L53:M53)</f>
        <v>0</v>
      </c>
      <c r="O53" s="1073"/>
      <c r="P53" s="147"/>
      <c r="Q53" s="203">
        <f>SUM(O53:P53)</f>
        <v>0</v>
      </c>
    </row>
    <row r="54" spans="1:17" ht="15.75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314">
        <f>SUM(L54:M54)</f>
        <v>0</v>
      </c>
      <c r="O54" s="1070"/>
      <c r="P54" s="311"/>
      <c r="Q54" s="314">
        <f>SUM(O54:P54)</f>
        <v>0</v>
      </c>
    </row>
    <row r="55" spans="1:17" s="15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19" ref="D55:Q55">SUM(D53:D54)</f>
        <v>0</v>
      </c>
      <c r="E55" s="306">
        <f t="shared" si="19"/>
        <v>0</v>
      </c>
      <c r="F55" s="337">
        <f t="shared" si="19"/>
        <v>0</v>
      </c>
      <c r="G55" s="304">
        <f t="shared" si="19"/>
        <v>0</v>
      </c>
      <c r="H55" s="306">
        <f t="shared" si="19"/>
        <v>0</v>
      </c>
      <c r="I55" s="337">
        <f t="shared" si="19"/>
        <v>0</v>
      </c>
      <c r="J55" s="304">
        <f t="shared" si="19"/>
        <v>0</v>
      </c>
      <c r="K55" s="306">
        <f t="shared" si="19"/>
        <v>0</v>
      </c>
      <c r="L55" s="337">
        <f t="shared" si="19"/>
        <v>0</v>
      </c>
      <c r="M55" s="304">
        <f t="shared" si="19"/>
        <v>0</v>
      </c>
      <c r="N55" s="306">
        <f t="shared" si="19"/>
        <v>0</v>
      </c>
      <c r="O55" s="1080">
        <f t="shared" si="19"/>
        <v>0</v>
      </c>
      <c r="P55" s="1082">
        <f t="shared" si="19"/>
        <v>0</v>
      </c>
      <c r="Q55" s="1084">
        <f t="shared" si="19"/>
        <v>0</v>
      </c>
    </row>
    <row r="56" spans="1:17" s="28" customFormat="1" ht="19.5" customHeight="1" thickBot="1">
      <c r="A56" s="690">
        <v>8</v>
      </c>
      <c r="B56" s="691" t="s">
        <v>46</v>
      </c>
      <c r="C56" s="1105">
        <f>C34-C40-C45-C46-C47-C51-C52-C55-C57-C58-C59</f>
        <v>100964</v>
      </c>
      <c r="D56" s="1106">
        <f>D34-D40-D45-D46-D47-D51-D52-D55-D57-D58-D59</f>
        <v>-164</v>
      </c>
      <c r="E56" s="1103">
        <f aca="true" t="shared" si="20" ref="E56:Q56">E34-E40-E45-E46-E47-E51-E52-E55-E57-E58-E59</f>
        <v>100800</v>
      </c>
      <c r="F56" s="1105">
        <f t="shared" si="20"/>
        <v>89254</v>
      </c>
      <c r="G56" s="1106">
        <f t="shared" si="20"/>
        <v>0</v>
      </c>
      <c r="H56" s="1103">
        <f t="shared" si="20"/>
        <v>89254</v>
      </c>
      <c r="I56" s="1105">
        <f t="shared" si="20"/>
        <v>2700</v>
      </c>
      <c r="J56" s="1106">
        <f t="shared" si="20"/>
        <v>0</v>
      </c>
      <c r="K56" s="1103">
        <f t="shared" si="20"/>
        <v>2700</v>
      </c>
      <c r="L56" s="1105">
        <f t="shared" si="20"/>
        <v>10000</v>
      </c>
      <c r="M56" s="1106">
        <f t="shared" si="20"/>
        <v>0</v>
      </c>
      <c r="N56" s="1103">
        <f t="shared" si="20"/>
        <v>10000</v>
      </c>
      <c r="O56" s="1128">
        <f t="shared" si="20"/>
        <v>10549</v>
      </c>
      <c r="P56" s="1130">
        <f t="shared" si="20"/>
        <v>-1648</v>
      </c>
      <c r="Q56" s="1118">
        <f t="shared" si="20"/>
        <v>8901</v>
      </c>
    </row>
    <row r="57" spans="1:17" s="15" customFormat="1" ht="15.75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1104">
        <f>SUM(L57:M57)</f>
        <v>0</v>
      </c>
      <c r="O57" s="1075"/>
      <c r="P57" s="317"/>
      <c r="Q57" s="1104">
        <f>SUM(O57:P57)</f>
        <v>0</v>
      </c>
    </row>
    <row r="58" spans="1:17" s="15" customFormat="1" ht="15.75">
      <c r="A58" s="326" t="s">
        <v>183</v>
      </c>
      <c r="B58" s="327" t="s">
        <v>384</v>
      </c>
      <c r="C58" s="316"/>
      <c r="D58" s="317"/>
      <c r="E58" s="392">
        <f>SUM(C58:D58)</f>
        <v>0</v>
      </c>
      <c r="F58" s="864"/>
      <c r="G58" s="317"/>
      <c r="H58" s="1104">
        <f>SUM(F58:G58)</f>
        <v>0</v>
      </c>
      <c r="I58" s="1075"/>
      <c r="J58" s="317"/>
      <c r="K58" s="1104">
        <f>SUM(I58:J58)</f>
        <v>0</v>
      </c>
      <c r="L58" s="1075"/>
      <c r="M58" s="317"/>
      <c r="N58" s="1104">
        <f>SUM(L58:M58)</f>
        <v>0</v>
      </c>
      <c r="O58" s="316"/>
      <c r="P58" s="317"/>
      <c r="Q58" s="392">
        <f>SUM(O58:P58)</f>
        <v>0</v>
      </c>
    </row>
    <row r="59" spans="1:17" s="15" customFormat="1" ht="16.5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397">
        <f>SUM(L59:M59)</f>
        <v>0</v>
      </c>
      <c r="O59" s="343"/>
      <c r="P59" s="344"/>
      <c r="Q59" s="397">
        <f>SUM(O59:P59)</f>
        <v>0</v>
      </c>
    </row>
    <row r="60" spans="1:17" s="34" customFormat="1" ht="17.25" thickBot="1" thickTop="1">
      <c r="A60" s="333" t="s">
        <v>109</v>
      </c>
      <c r="B60" s="335" t="s">
        <v>182</v>
      </c>
      <c r="C60" s="747">
        <f>C40+C45+C46+C47+C51+C52+C55+C56+C57+C58+C59</f>
        <v>105333</v>
      </c>
      <c r="D60" s="748">
        <f aca="true" t="shared" si="21" ref="D60:Q60">D40+D45+D46+D47+D51+D52+D55+D56+D57+D58+D59</f>
        <v>0</v>
      </c>
      <c r="E60" s="746">
        <f t="shared" si="21"/>
        <v>105333</v>
      </c>
      <c r="F60" s="354">
        <f t="shared" si="21"/>
        <v>89254</v>
      </c>
      <c r="G60" s="334">
        <f t="shared" si="21"/>
        <v>0</v>
      </c>
      <c r="H60" s="746">
        <f t="shared" si="21"/>
        <v>89254</v>
      </c>
      <c r="I60" s="747">
        <f t="shared" si="21"/>
        <v>2700</v>
      </c>
      <c r="J60" s="748">
        <f t="shared" si="21"/>
        <v>0</v>
      </c>
      <c r="K60" s="746">
        <f t="shared" si="21"/>
        <v>2700</v>
      </c>
      <c r="L60" s="354">
        <f t="shared" si="21"/>
        <v>10000</v>
      </c>
      <c r="M60" s="334">
        <f t="shared" si="21"/>
        <v>0</v>
      </c>
      <c r="N60" s="746">
        <f t="shared" si="21"/>
        <v>10000</v>
      </c>
      <c r="O60" s="354">
        <f t="shared" si="21"/>
        <v>10549</v>
      </c>
      <c r="P60" s="334">
        <f t="shared" si="21"/>
        <v>-1648</v>
      </c>
      <c r="Q60" s="364">
        <f t="shared" si="21"/>
        <v>8901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6.5" thickBot="1" thickTop="1">
      <c r="A62" s="174"/>
      <c r="B62" s="175" t="s">
        <v>593</v>
      </c>
      <c r="C62" s="204"/>
      <c r="D62" s="402"/>
      <c r="E62" s="403">
        <f>SUM(C62:D62)</f>
        <v>0</v>
      </c>
      <c r="F62" s="204"/>
      <c r="G62" s="404"/>
      <c r="H62" s="403">
        <f>SUM(F62:G62)</f>
        <v>0</v>
      </c>
      <c r="I62" s="204"/>
      <c r="J62" s="404"/>
      <c r="K62" s="403">
        <f>SUM(I62:J62)</f>
        <v>0</v>
      </c>
      <c r="L62" s="204"/>
      <c r="M62" s="404"/>
      <c r="N62" s="403">
        <f>SUM(L62:M62)</f>
        <v>0</v>
      </c>
      <c r="O62" s="204"/>
      <c r="P62" s="404"/>
      <c r="Q62" s="403">
        <f>SUM(O62:P62)</f>
        <v>0</v>
      </c>
    </row>
    <row r="63" spans="1:17" ht="16.5" thickBot="1" thickTop="1">
      <c r="A63" s="174"/>
      <c r="B63" s="175" t="s">
        <v>594</v>
      </c>
      <c r="C63" s="204"/>
      <c r="D63" s="402"/>
      <c r="E63" s="403">
        <f>SUM(C63:D63)</f>
        <v>0</v>
      </c>
      <c r="F63" s="204"/>
      <c r="G63" s="404"/>
      <c r="H63" s="403">
        <f>SUM(F63:G63)</f>
        <v>0</v>
      </c>
      <c r="I63" s="204"/>
      <c r="J63" s="404"/>
      <c r="K63" s="403">
        <f>SUM(I63:J63)</f>
        <v>0</v>
      </c>
      <c r="L63" s="204"/>
      <c r="M63" s="404"/>
      <c r="N63" s="403">
        <f>SUM(L63:M63)</f>
        <v>0</v>
      </c>
      <c r="O63" s="204"/>
      <c r="P63" s="404"/>
      <c r="Q63" s="403">
        <f>SUM(O63:P63)</f>
        <v>0</v>
      </c>
    </row>
    <row r="64" ht="16.5" thickTop="1">
      <c r="A64" s="408"/>
    </row>
    <row r="65" ht="15.75">
      <c r="A65" s="408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28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376" customWidth="1"/>
    <col min="3" max="14" width="14.625" style="376" customWidth="1"/>
    <col min="15" max="17" width="14.625" style="390" customWidth="1"/>
    <col min="18" max="16384" width="9.375" style="5" customWidth="1"/>
  </cols>
  <sheetData>
    <row r="1" spans="1:17" ht="10.5" customHeight="1">
      <c r="A1" s="293"/>
      <c r="B1" s="294"/>
      <c r="C1" s="294"/>
      <c r="K1" s="867"/>
      <c r="Q1" s="866" t="s">
        <v>881</v>
      </c>
    </row>
    <row r="2" spans="1:17" ht="12.75" customHeight="1">
      <c r="A2" s="293"/>
      <c r="B2" s="294"/>
      <c r="C2" s="294"/>
      <c r="K2" s="867"/>
      <c r="Q2" s="866" t="s">
        <v>93</v>
      </c>
    </row>
    <row r="3" spans="1:17" ht="15">
      <c r="A3" s="293"/>
      <c r="B3" s="294"/>
      <c r="C3" s="294"/>
      <c r="K3" s="867"/>
      <c r="Q3" s="867" t="s">
        <v>142</v>
      </c>
    </row>
    <row r="4" spans="1:17" s="90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s="91" customFormat="1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17" ht="45" customHeight="1" thickBot="1">
      <c r="A6" s="293"/>
      <c r="B6" s="294"/>
      <c r="C6" s="294"/>
      <c r="K6" s="914"/>
      <c r="L6" s="905"/>
      <c r="M6" s="905"/>
      <c r="O6" s="915"/>
      <c r="P6" s="915"/>
      <c r="Q6" s="916" t="s">
        <v>134</v>
      </c>
    </row>
    <row r="7" spans="1:17" s="242" customFormat="1" ht="37.5" customHeight="1">
      <c r="A7" s="127" t="s">
        <v>124</v>
      </c>
      <c r="B7" s="241" t="s">
        <v>125</v>
      </c>
      <c r="C7" s="1905" t="s">
        <v>428</v>
      </c>
      <c r="D7" s="1927"/>
      <c r="E7" s="1928"/>
      <c r="F7" s="1905" t="s">
        <v>64</v>
      </c>
      <c r="G7" s="1929"/>
      <c r="H7" s="1928"/>
      <c r="I7" s="1905" t="s">
        <v>79</v>
      </c>
      <c r="J7" s="1929"/>
      <c r="K7" s="1928"/>
      <c r="L7" s="1902" t="s">
        <v>61</v>
      </c>
      <c r="M7" s="1903"/>
      <c r="N7" s="1904"/>
      <c r="O7" s="1905" t="s">
        <v>62</v>
      </c>
      <c r="P7" s="1929"/>
      <c r="Q7" s="1928"/>
    </row>
    <row r="8" spans="1:17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92" customFormat="1" ht="13.5" customHeight="1" thickBot="1">
      <c r="A9" s="410">
        <v>1</v>
      </c>
      <c r="B9" s="410">
        <v>2</v>
      </c>
      <c r="C9" s="411">
        <v>3</v>
      </c>
      <c r="D9" s="412">
        <v>4</v>
      </c>
      <c r="E9" s="414">
        <v>5</v>
      </c>
      <c r="F9" s="412">
        <v>6</v>
      </c>
      <c r="G9" s="412">
        <v>7</v>
      </c>
      <c r="H9" s="412">
        <v>8</v>
      </c>
      <c r="I9" s="411">
        <v>9</v>
      </c>
      <c r="J9" s="412">
        <v>10</v>
      </c>
      <c r="K9" s="414">
        <v>11</v>
      </c>
      <c r="L9" s="412">
        <v>12</v>
      </c>
      <c r="M9" s="412">
        <v>13</v>
      </c>
      <c r="N9" s="414">
        <v>14</v>
      </c>
      <c r="O9" s="412">
        <v>15</v>
      </c>
      <c r="P9" s="412">
        <v>16</v>
      </c>
      <c r="Q9" s="414">
        <v>17</v>
      </c>
    </row>
    <row r="10" spans="1:17" s="376" customFormat="1" ht="16.5" thickBot="1">
      <c r="A10" s="370"/>
      <c r="B10" s="336" t="s">
        <v>129</v>
      </c>
      <c r="C10" s="371"/>
      <c r="D10" s="372"/>
      <c r="E10" s="373"/>
      <c r="F10" s="374"/>
      <c r="G10" s="375"/>
      <c r="H10" s="373"/>
      <c r="I10" s="374"/>
      <c r="J10" s="375"/>
      <c r="K10" s="373"/>
      <c r="L10" s="918"/>
      <c r="M10" s="1133"/>
      <c r="N10" s="890"/>
      <c r="O10" s="918"/>
      <c r="P10" s="375"/>
      <c r="Q10" s="889"/>
    </row>
    <row r="11" spans="1:17" s="376" customFormat="1" ht="16.5" thickBot="1">
      <c r="A11" s="303">
        <v>1</v>
      </c>
      <c r="B11" s="295" t="s">
        <v>113</v>
      </c>
      <c r="C11" s="304"/>
      <c r="D11" s="304"/>
      <c r="E11" s="348">
        <f>SUM(C11:D11)</f>
        <v>0</v>
      </c>
      <c r="F11" s="304">
        <v>2341</v>
      </c>
      <c r="G11" s="304"/>
      <c r="H11" s="348">
        <f>SUM(F11:G11)</f>
        <v>2341</v>
      </c>
      <c r="I11" s="304"/>
      <c r="J11" s="304"/>
      <c r="K11" s="348">
        <f aca="true" t="shared" si="0" ref="K11:K16">SUM(I11:J11)</f>
        <v>0</v>
      </c>
      <c r="L11" s="304"/>
      <c r="M11" s="304"/>
      <c r="N11" s="348">
        <f aca="true" t="shared" si="1" ref="N11:N16">SUM(L11:M11)</f>
        <v>0</v>
      </c>
      <c r="O11" s="1134"/>
      <c r="P11" s="377"/>
      <c r="Q11" s="1111">
        <f aca="true" t="shared" si="2" ref="Q11:Q16">SUM(O11:P11)</f>
        <v>0</v>
      </c>
    </row>
    <row r="12" spans="1:17" s="376" customFormat="1" ht="16.5" thickBot="1">
      <c r="A12" s="307">
        <v>2</v>
      </c>
      <c r="B12" s="295" t="s">
        <v>202</v>
      </c>
      <c r="C12" s="306"/>
      <c r="D12" s="304"/>
      <c r="E12" s="348">
        <f>SUM(C12:D12)</f>
        <v>0</v>
      </c>
      <c r="F12" s="306">
        <v>454</v>
      </c>
      <c r="G12" s="304"/>
      <c r="H12" s="348">
        <f>SUM(F12:G12)</f>
        <v>454</v>
      </c>
      <c r="I12" s="306"/>
      <c r="J12" s="304"/>
      <c r="K12" s="348">
        <f t="shared" si="0"/>
        <v>0</v>
      </c>
      <c r="L12" s="306"/>
      <c r="M12" s="304"/>
      <c r="N12" s="348">
        <f t="shared" si="1"/>
        <v>0</v>
      </c>
      <c r="O12" s="1134"/>
      <c r="P12" s="377"/>
      <c r="Q12" s="1111">
        <f t="shared" si="2"/>
        <v>0</v>
      </c>
    </row>
    <row r="13" spans="1:17" s="384" customFormat="1" ht="16.5" thickBot="1">
      <c r="A13" s="307">
        <v>3</v>
      </c>
      <c r="B13" s="295" t="s">
        <v>116</v>
      </c>
      <c r="C13" s="306">
        <v>26283</v>
      </c>
      <c r="D13" s="304"/>
      <c r="E13" s="348">
        <f>SUM(C13:D13)</f>
        <v>26283</v>
      </c>
      <c r="F13" s="306">
        <v>39291</v>
      </c>
      <c r="G13" s="304">
        <v>1346</v>
      </c>
      <c r="H13" s="348">
        <f>SUM(F13:G13)</f>
        <v>40637</v>
      </c>
      <c r="I13" s="304">
        <v>20530</v>
      </c>
      <c r="J13" s="304">
        <v>-12</v>
      </c>
      <c r="K13" s="348">
        <f t="shared" si="0"/>
        <v>20518</v>
      </c>
      <c r="L13" s="304">
        <v>362372</v>
      </c>
      <c r="M13" s="304">
        <v>231080</v>
      </c>
      <c r="N13" s="348">
        <f t="shared" si="1"/>
        <v>593452</v>
      </c>
      <c r="O13" s="1134"/>
      <c r="P13" s="377"/>
      <c r="Q13" s="1111">
        <f t="shared" si="2"/>
        <v>0</v>
      </c>
    </row>
    <row r="14" spans="1:17" s="384" customFormat="1" ht="16.5" thickBot="1">
      <c r="A14" s="307">
        <v>4</v>
      </c>
      <c r="B14" s="295" t="s">
        <v>172</v>
      </c>
      <c r="C14" s="306"/>
      <c r="D14" s="306"/>
      <c r="E14" s="310">
        <f>SUM(C14:D14)</f>
        <v>0</v>
      </c>
      <c r="F14" s="306"/>
      <c r="G14" s="306"/>
      <c r="H14" s="310">
        <f>SUM(F14:G14)</f>
        <v>0</v>
      </c>
      <c r="I14" s="306"/>
      <c r="J14" s="306"/>
      <c r="K14" s="310">
        <f t="shared" si="0"/>
        <v>0</v>
      </c>
      <c r="L14" s="306"/>
      <c r="M14" s="306"/>
      <c r="N14" s="310">
        <f t="shared" si="1"/>
        <v>0</v>
      </c>
      <c r="O14" s="320"/>
      <c r="P14" s="304"/>
      <c r="Q14" s="310">
        <f t="shared" si="2"/>
        <v>0</v>
      </c>
    </row>
    <row r="15" spans="1:17" s="376" customFormat="1" ht="15">
      <c r="A15" s="163" t="s">
        <v>98</v>
      </c>
      <c r="B15" s="152" t="s">
        <v>370</v>
      </c>
      <c r="C15" s="224"/>
      <c r="D15" s="224"/>
      <c r="E15" s="379">
        <f>C15+D15</f>
        <v>0</v>
      </c>
      <c r="F15" s="224"/>
      <c r="G15" s="224"/>
      <c r="H15" s="379">
        <f>F15+G15</f>
        <v>0</v>
      </c>
      <c r="I15" s="224"/>
      <c r="J15" s="224"/>
      <c r="K15" s="379">
        <f t="shared" si="0"/>
        <v>0</v>
      </c>
      <c r="L15" s="224"/>
      <c r="M15" s="224"/>
      <c r="N15" s="379">
        <f t="shared" si="1"/>
        <v>0</v>
      </c>
      <c r="O15" s="1135"/>
      <c r="P15" s="380"/>
      <c r="Q15" s="1110">
        <f t="shared" si="2"/>
        <v>0</v>
      </c>
    </row>
    <row r="16" spans="1:17" s="376" customFormat="1" ht="15">
      <c r="A16" s="160" t="s">
        <v>99</v>
      </c>
      <c r="B16" s="156" t="s">
        <v>554</v>
      </c>
      <c r="C16" s="297"/>
      <c r="D16" s="146"/>
      <c r="E16" s="227">
        <f>C16+D16</f>
        <v>0</v>
      </c>
      <c r="F16" s="146"/>
      <c r="G16" s="146"/>
      <c r="H16" s="379">
        <f>F16+G16</f>
        <v>0</v>
      </c>
      <c r="I16" s="146"/>
      <c r="J16" s="146"/>
      <c r="K16" s="379">
        <f t="shared" si="0"/>
        <v>0</v>
      </c>
      <c r="L16" s="146"/>
      <c r="M16" s="146"/>
      <c r="N16" s="379">
        <f t="shared" si="1"/>
        <v>0</v>
      </c>
      <c r="O16" s="1136"/>
      <c r="P16" s="382"/>
      <c r="Q16" s="1110">
        <f t="shared" si="2"/>
        <v>0</v>
      </c>
    </row>
    <row r="17" spans="1:17" s="376" customFormat="1" ht="15">
      <c r="A17" s="160" t="s">
        <v>100</v>
      </c>
      <c r="B17" s="156" t="s">
        <v>555</v>
      </c>
      <c r="C17" s="297"/>
      <c r="D17" s="146"/>
      <c r="E17" s="227">
        <f aca="true" t="shared" si="3" ref="E17:E22">C17+D17</f>
        <v>0</v>
      </c>
      <c r="F17" s="146"/>
      <c r="G17" s="146"/>
      <c r="H17" s="379">
        <f aca="true" t="shared" si="4" ref="H17:H22">F17+G17</f>
        <v>0</v>
      </c>
      <c r="I17" s="146"/>
      <c r="J17" s="146"/>
      <c r="K17" s="379">
        <f aca="true" t="shared" si="5" ref="K17:K22">SUM(I17:J17)</f>
        <v>0</v>
      </c>
      <c r="L17" s="146"/>
      <c r="M17" s="146"/>
      <c r="N17" s="379">
        <f aca="true" t="shared" si="6" ref="N17:N22">SUM(L17:M17)</f>
        <v>0</v>
      </c>
      <c r="O17" s="1136"/>
      <c r="P17" s="382"/>
      <c r="Q17" s="1110">
        <f aca="true" t="shared" si="7" ref="Q17:Q22">SUM(O17:P17)</f>
        <v>0</v>
      </c>
    </row>
    <row r="18" spans="1:17" s="376" customFormat="1" ht="15">
      <c r="A18" s="160" t="s">
        <v>101</v>
      </c>
      <c r="B18" s="156" t="s">
        <v>371</v>
      </c>
      <c r="C18" s="880"/>
      <c r="D18" s="146">
        <v>2943</v>
      </c>
      <c r="E18" s="227">
        <f t="shared" si="3"/>
        <v>2943</v>
      </c>
      <c r="F18" s="297"/>
      <c r="G18" s="146"/>
      <c r="H18" s="227">
        <f t="shared" si="4"/>
        <v>0</v>
      </c>
      <c r="I18" s="146"/>
      <c r="J18" s="146"/>
      <c r="K18" s="379">
        <f t="shared" si="5"/>
        <v>0</v>
      </c>
      <c r="L18" s="146"/>
      <c r="M18" s="146"/>
      <c r="N18" s="379">
        <f t="shared" si="6"/>
        <v>0</v>
      </c>
      <c r="O18" s="1136"/>
      <c r="P18" s="382"/>
      <c r="Q18" s="1110">
        <f t="shared" si="7"/>
        <v>0</v>
      </c>
    </row>
    <row r="19" spans="1:17" s="376" customFormat="1" ht="15">
      <c r="A19" s="155" t="s">
        <v>192</v>
      </c>
      <c r="B19" s="156" t="s">
        <v>556</v>
      </c>
      <c r="C19" s="861"/>
      <c r="D19" s="224"/>
      <c r="E19" s="227">
        <f>C19+D19</f>
        <v>0</v>
      </c>
      <c r="F19" s="296"/>
      <c r="G19" s="224"/>
      <c r="H19" s="227">
        <f>F19+G19</f>
        <v>0</v>
      </c>
      <c r="I19" s="296"/>
      <c r="J19" s="146"/>
      <c r="K19" s="227">
        <f>SUM(I19:J19)</f>
        <v>0</v>
      </c>
      <c r="L19" s="224"/>
      <c r="M19" s="224"/>
      <c r="N19" s="379">
        <f>SUM(L19:M19)</f>
        <v>0</v>
      </c>
      <c r="O19" s="1135"/>
      <c r="P19" s="380"/>
      <c r="Q19" s="1110">
        <f>SUM(O19:P19)</f>
        <v>0</v>
      </c>
    </row>
    <row r="20" spans="1:17" s="376" customFormat="1" ht="15">
      <c r="A20" s="155" t="s">
        <v>327</v>
      </c>
      <c r="B20" s="156" t="s">
        <v>557</v>
      </c>
      <c r="C20" s="861"/>
      <c r="D20" s="224"/>
      <c r="E20" s="227">
        <f t="shared" si="3"/>
        <v>0</v>
      </c>
      <c r="F20" s="296"/>
      <c r="G20" s="224"/>
      <c r="H20" s="227">
        <f t="shared" si="4"/>
        <v>0</v>
      </c>
      <c r="I20" s="296"/>
      <c r="J20" s="224"/>
      <c r="K20" s="227">
        <f t="shared" si="5"/>
        <v>0</v>
      </c>
      <c r="L20" s="296"/>
      <c r="M20" s="146"/>
      <c r="N20" s="227">
        <f t="shared" si="6"/>
        <v>0</v>
      </c>
      <c r="O20" s="1135"/>
      <c r="P20" s="380"/>
      <c r="Q20" s="1110">
        <f t="shared" si="7"/>
        <v>0</v>
      </c>
    </row>
    <row r="21" spans="1:17" s="376" customFormat="1" ht="15">
      <c r="A21" s="155" t="s">
        <v>328</v>
      </c>
      <c r="B21" s="156" t="s">
        <v>372</v>
      </c>
      <c r="C21" s="861"/>
      <c r="D21" s="224"/>
      <c r="E21" s="227">
        <f>C21+D21</f>
        <v>0</v>
      </c>
      <c r="F21" s="296"/>
      <c r="G21" s="224"/>
      <c r="H21" s="227">
        <f t="shared" si="4"/>
        <v>0</v>
      </c>
      <c r="I21" s="296"/>
      <c r="J21" s="224"/>
      <c r="K21" s="227">
        <f t="shared" si="5"/>
        <v>0</v>
      </c>
      <c r="L21" s="296"/>
      <c r="M21" s="224"/>
      <c r="N21" s="227">
        <f t="shared" si="6"/>
        <v>0</v>
      </c>
      <c r="O21" s="1135"/>
      <c r="P21" s="380"/>
      <c r="Q21" s="1110">
        <f t="shared" si="7"/>
        <v>0</v>
      </c>
    </row>
    <row r="22" spans="1:17" s="376" customFormat="1" ht="15" customHeight="1" thickBot="1">
      <c r="A22" s="16" t="s">
        <v>69</v>
      </c>
      <c r="B22" s="324" t="s">
        <v>373</v>
      </c>
      <c r="C22" s="860"/>
      <c r="D22" s="158"/>
      <c r="E22" s="227">
        <f t="shared" si="3"/>
        <v>0</v>
      </c>
      <c r="F22" s="298"/>
      <c r="G22" s="158"/>
      <c r="H22" s="227">
        <f t="shared" si="4"/>
        <v>0</v>
      </c>
      <c r="I22" s="298"/>
      <c r="J22" s="158"/>
      <c r="K22" s="227">
        <f t="shared" si="5"/>
        <v>0</v>
      </c>
      <c r="L22" s="298"/>
      <c r="M22" s="158"/>
      <c r="N22" s="227">
        <f t="shared" si="6"/>
        <v>0</v>
      </c>
      <c r="O22" s="1137"/>
      <c r="P22" s="383"/>
      <c r="Q22" s="1110">
        <f t="shared" si="7"/>
        <v>0</v>
      </c>
    </row>
    <row r="23" spans="1:17" s="384" customFormat="1" ht="16.5" thickBot="1">
      <c r="A23" s="307">
        <v>5</v>
      </c>
      <c r="B23" s="295" t="s">
        <v>171</v>
      </c>
      <c r="C23" s="337">
        <f aca="true" t="shared" si="8" ref="C23:Q23">SUM(C15:C22)</f>
        <v>0</v>
      </c>
      <c r="D23" s="304">
        <f t="shared" si="8"/>
        <v>2943</v>
      </c>
      <c r="E23" s="310">
        <f t="shared" si="8"/>
        <v>2943</v>
      </c>
      <c r="F23" s="320">
        <f t="shared" si="8"/>
        <v>0</v>
      </c>
      <c r="G23" s="304">
        <f t="shared" si="8"/>
        <v>0</v>
      </c>
      <c r="H23" s="320">
        <f t="shared" si="8"/>
        <v>0</v>
      </c>
      <c r="I23" s="337">
        <f t="shared" si="8"/>
        <v>0</v>
      </c>
      <c r="J23" s="304">
        <f t="shared" si="8"/>
        <v>0</v>
      </c>
      <c r="K23" s="310">
        <f t="shared" si="8"/>
        <v>0</v>
      </c>
      <c r="L23" s="337">
        <f t="shared" si="8"/>
        <v>0</v>
      </c>
      <c r="M23" s="304">
        <f t="shared" si="8"/>
        <v>0</v>
      </c>
      <c r="N23" s="310">
        <f t="shared" si="8"/>
        <v>0</v>
      </c>
      <c r="O23" s="337">
        <f t="shared" si="8"/>
        <v>0</v>
      </c>
      <c r="P23" s="304">
        <f t="shared" si="8"/>
        <v>0</v>
      </c>
      <c r="Q23" s="310">
        <f t="shared" si="8"/>
        <v>0</v>
      </c>
    </row>
    <row r="24" spans="1:17" s="376" customFormat="1" ht="16.5" thickBot="1">
      <c r="A24" s="303">
        <v>6</v>
      </c>
      <c r="B24" s="295" t="s">
        <v>174</v>
      </c>
      <c r="C24" s="308">
        <v>2884</v>
      </c>
      <c r="D24" s="304">
        <v>-2884</v>
      </c>
      <c r="E24" s="310">
        <f aca="true" t="shared" si="9" ref="E24:E30">SUM(C24:D24)</f>
        <v>0</v>
      </c>
      <c r="F24" s="308">
        <v>12966</v>
      </c>
      <c r="G24" s="304"/>
      <c r="H24" s="310">
        <f aca="true" t="shared" si="10" ref="H24:H30">SUM(F24:G24)</f>
        <v>12966</v>
      </c>
      <c r="I24" s="320">
        <v>11226</v>
      </c>
      <c r="J24" s="304">
        <v>64</v>
      </c>
      <c r="K24" s="310">
        <f aca="true" t="shared" si="11" ref="K24:K30">SUM(I24:J24)</f>
        <v>11290</v>
      </c>
      <c r="L24" s="308">
        <v>1135326</v>
      </c>
      <c r="M24" s="304">
        <v>-226439</v>
      </c>
      <c r="N24" s="310">
        <f aca="true" t="shared" si="12" ref="N24:N30">SUM(L24:M24)</f>
        <v>908887</v>
      </c>
      <c r="O24" s="1123"/>
      <c r="P24" s="377"/>
      <c r="Q24" s="1111">
        <f aca="true" t="shared" si="13" ref="Q24:Q30">SUM(O24:P24)</f>
        <v>0</v>
      </c>
    </row>
    <row r="25" spans="1:17" s="384" customFormat="1" ht="16.5" thickBot="1">
      <c r="A25" s="303">
        <v>7</v>
      </c>
      <c r="B25" s="295" t="s">
        <v>421</v>
      </c>
      <c r="C25" s="308"/>
      <c r="D25" s="304"/>
      <c r="E25" s="310">
        <f t="shared" si="9"/>
        <v>0</v>
      </c>
      <c r="F25" s="308"/>
      <c r="G25" s="304"/>
      <c r="H25" s="320">
        <f t="shared" si="10"/>
        <v>0</v>
      </c>
      <c r="I25" s="337"/>
      <c r="J25" s="304"/>
      <c r="K25" s="310">
        <f t="shared" si="11"/>
        <v>0</v>
      </c>
      <c r="L25" s="320">
        <v>185372</v>
      </c>
      <c r="M25" s="304">
        <v>39453</v>
      </c>
      <c r="N25" s="310">
        <f t="shared" si="12"/>
        <v>224825</v>
      </c>
      <c r="O25" s="1134"/>
      <c r="P25" s="377"/>
      <c r="Q25" s="1111">
        <f t="shared" si="13"/>
        <v>0</v>
      </c>
    </row>
    <row r="26" spans="1:17" s="376" customFormat="1" ht="15">
      <c r="A26" s="163" t="s">
        <v>98</v>
      </c>
      <c r="B26" s="156" t="s">
        <v>560</v>
      </c>
      <c r="C26" s="296"/>
      <c r="D26" s="224"/>
      <c r="E26" s="227">
        <f t="shared" si="9"/>
        <v>0</v>
      </c>
      <c r="F26" s="296"/>
      <c r="G26" s="224"/>
      <c r="H26" s="227">
        <f t="shared" si="10"/>
        <v>0</v>
      </c>
      <c r="I26" s="296"/>
      <c r="J26" s="224"/>
      <c r="K26" s="227">
        <f t="shared" si="11"/>
        <v>0</v>
      </c>
      <c r="L26" s="296"/>
      <c r="M26" s="224"/>
      <c r="N26" s="227">
        <f t="shared" si="12"/>
        <v>0</v>
      </c>
      <c r="O26" s="1135"/>
      <c r="P26" s="380"/>
      <c r="Q26" s="1110">
        <f t="shared" si="13"/>
        <v>0</v>
      </c>
    </row>
    <row r="27" spans="1:17" s="376" customFormat="1" ht="15">
      <c r="A27" s="163" t="s">
        <v>99</v>
      </c>
      <c r="B27" s="156" t="s">
        <v>558</v>
      </c>
      <c r="C27" s="296"/>
      <c r="D27" s="224"/>
      <c r="E27" s="227">
        <f t="shared" si="9"/>
        <v>0</v>
      </c>
      <c r="F27" s="296"/>
      <c r="G27" s="224"/>
      <c r="H27" s="227">
        <f t="shared" si="10"/>
        <v>0</v>
      </c>
      <c r="I27" s="296"/>
      <c r="J27" s="224"/>
      <c r="K27" s="227">
        <f t="shared" si="11"/>
        <v>0</v>
      </c>
      <c r="L27" s="296"/>
      <c r="M27" s="224"/>
      <c r="N27" s="227">
        <f t="shared" si="12"/>
        <v>0</v>
      </c>
      <c r="O27" s="1135"/>
      <c r="P27" s="380"/>
      <c r="Q27" s="1110">
        <f t="shared" si="13"/>
        <v>0</v>
      </c>
    </row>
    <row r="28" spans="1:17" s="376" customFormat="1" ht="15">
      <c r="A28" s="163" t="s">
        <v>100</v>
      </c>
      <c r="B28" s="156" t="s">
        <v>374</v>
      </c>
      <c r="C28" s="296"/>
      <c r="D28" s="224"/>
      <c r="E28" s="227">
        <f t="shared" si="9"/>
        <v>0</v>
      </c>
      <c r="F28" s="296"/>
      <c r="G28" s="224"/>
      <c r="H28" s="227">
        <f t="shared" si="10"/>
        <v>0</v>
      </c>
      <c r="I28" s="296"/>
      <c r="J28" s="224"/>
      <c r="K28" s="227">
        <f t="shared" si="11"/>
        <v>0</v>
      </c>
      <c r="L28" s="296"/>
      <c r="M28" s="224"/>
      <c r="N28" s="227">
        <f t="shared" si="12"/>
        <v>0</v>
      </c>
      <c r="O28" s="1135"/>
      <c r="P28" s="380"/>
      <c r="Q28" s="1110">
        <f t="shared" si="13"/>
        <v>0</v>
      </c>
    </row>
    <row r="29" spans="1:17" s="376" customFormat="1" ht="15">
      <c r="A29" s="163" t="s">
        <v>101</v>
      </c>
      <c r="B29" s="156" t="s">
        <v>559</v>
      </c>
      <c r="C29" s="296"/>
      <c r="D29" s="224"/>
      <c r="E29" s="227">
        <f t="shared" si="9"/>
        <v>0</v>
      </c>
      <c r="F29" s="296"/>
      <c r="G29" s="224"/>
      <c r="H29" s="227">
        <f t="shared" si="10"/>
        <v>0</v>
      </c>
      <c r="I29" s="296"/>
      <c r="J29" s="224"/>
      <c r="K29" s="227">
        <f t="shared" si="11"/>
        <v>0</v>
      </c>
      <c r="L29" s="296"/>
      <c r="M29" s="224"/>
      <c r="N29" s="227">
        <f t="shared" si="12"/>
        <v>0</v>
      </c>
      <c r="O29" s="1135"/>
      <c r="P29" s="380"/>
      <c r="Q29" s="1110">
        <f t="shared" si="13"/>
        <v>0</v>
      </c>
    </row>
    <row r="30" spans="1:17" s="376" customFormat="1" ht="15.75" thickBot="1">
      <c r="A30" s="325" t="s">
        <v>192</v>
      </c>
      <c r="B30" s="156" t="s">
        <v>375</v>
      </c>
      <c r="C30" s="319"/>
      <c r="D30" s="311"/>
      <c r="E30" s="314">
        <f t="shared" si="9"/>
        <v>0</v>
      </c>
      <c r="F30" s="319"/>
      <c r="G30" s="311"/>
      <c r="H30" s="314">
        <f t="shared" si="10"/>
        <v>0</v>
      </c>
      <c r="I30" s="319"/>
      <c r="J30" s="311"/>
      <c r="K30" s="314">
        <f t="shared" si="11"/>
        <v>0</v>
      </c>
      <c r="L30" s="319">
        <v>15382</v>
      </c>
      <c r="M30" s="311"/>
      <c r="N30" s="314">
        <f t="shared" si="12"/>
        <v>15382</v>
      </c>
      <c r="O30" s="1138"/>
      <c r="P30" s="386"/>
      <c r="Q30" s="1112">
        <f t="shared" si="13"/>
        <v>0</v>
      </c>
    </row>
    <row r="31" spans="1:17" s="384" customFormat="1" ht="16.5" thickBot="1">
      <c r="A31" s="303">
        <v>8</v>
      </c>
      <c r="B31" s="295" t="s">
        <v>173</v>
      </c>
      <c r="C31" s="337">
        <f aca="true" t="shared" si="14" ref="C31:Q31">SUM(C26:C30)</f>
        <v>0</v>
      </c>
      <c r="D31" s="304">
        <f t="shared" si="14"/>
        <v>0</v>
      </c>
      <c r="E31" s="310">
        <f t="shared" si="14"/>
        <v>0</v>
      </c>
      <c r="F31" s="320">
        <f t="shared" si="14"/>
        <v>0</v>
      </c>
      <c r="G31" s="304">
        <f t="shared" si="14"/>
        <v>0</v>
      </c>
      <c r="H31" s="320">
        <f t="shared" si="14"/>
        <v>0</v>
      </c>
      <c r="I31" s="337">
        <f t="shared" si="14"/>
        <v>0</v>
      </c>
      <c r="J31" s="304">
        <f t="shared" si="14"/>
        <v>0</v>
      </c>
      <c r="K31" s="310">
        <f t="shared" si="14"/>
        <v>0</v>
      </c>
      <c r="L31" s="337">
        <f t="shared" si="14"/>
        <v>15382</v>
      </c>
      <c r="M31" s="304">
        <f t="shared" si="14"/>
        <v>0</v>
      </c>
      <c r="N31" s="320">
        <f t="shared" si="14"/>
        <v>15382</v>
      </c>
      <c r="O31" s="337">
        <f t="shared" si="14"/>
        <v>0</v>
      </c>
      <c r="P31" s="304">
        <f t="shared" si="14"/>
        <v>0</v>
      </c>
      <c r="Q31" s="310">
        <f t="shared" si="14"/>
        <v>0</v>
      </c>
    </row>
    <row r="32" spans="1:17" s="376" customFormat="1" ht="16.5" thickBot="1">
      <c r="A32" s="303">
        <v>9</v>
      </c>
      <c r="B32" s="295" t="s">
        <v>179</v>
      </c>
      <c r="C32" s="308"/>
      <c r="D32" s="304"/>
      <c r="E32" s="310">
        <f>SUM(C32:D32)</f>
        <v>0</v>
      </c>
      <c r="F32" s="308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10">
        <f>SUM(L32:M32)</f>
        <v>0</v>
      </c>
      <c r="O32" s="1123"/>
      <c r="P32" s="377"/>
      <c r="Q32" s="1111">
        <f>SUM(O32:P32)</f>
        <v>0</v>
      </c>
    </row>
    <row r="33" spans="1:21" s="389" customFormat="1" ht="16.5" thickBot="1">
      <c r="A33" s="357">
        <v>10</v>
      </c>
      <c r="B33" s="387"/>
      <c r="C33" s="1131"/>
      <c r="D33" s="359"/>
      <c r="E33" s="1101">
        <f>SUM(C33:D33)</f>
        <v>0</v>
      </c>
      <c r="F33" s="165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1101">
        <f>SUM(L33:M33)</f>
        <v>0</v>
      </c>
      <c r="O33" s="165"/>
      <c r="P33" s="359"/>
      <c r="Q33" s="1101">
        <f>SUM(O33:P33)</f>
        <v>0</v>
      </c>
      <c r="R33" s="388"/>
      <c r="S33" s="388"/>
      <c r="T33" s="388"/>
      <c r="U33" s="388"/>
    </row>
    <row r="34" spans="1:17" s="167" customFormat="1" ht="17.25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29167</v>
      </c>
      <c r="D34" s="334">
        <f t="shared" si="15"/>
        <v>59</v>
      </c>
      <c r="E34" s="746">
        <f t="shared" si="15"/>
        <v>29226</v>
      </c>
      <c r="F34" s="355">
        <f t="shared" si="15"/>
        <v>55052</v>
      </c>
      <c r="G34" s="334">
        <f t="shared" si="15"/>
        <v>1346</v>
      </c>
      <c r="H34" s="746">
        <f t="shared" si="15"/>
        <v>56398</v>
      </c>
      <c r="I34" s="355">
        <f t="shared" si="15"/>
        <v>31756</v>
      </c>
      <c r="J34" s="334">
        <f t="shared" si="15"/>
        <v>52</v>
      </c>
      <c r="K34" s="746">
        <f t="shared" si="15"/>
        <v>31808</v>
      </c>
      <c r="L34" s="355">
        <f t="shared" si="15"/>
        <v>1698452</v>
      </c>
      <c r="M34" s="334">
        <f t="shared" si="15"/>
        <v>44094</v>
      </c>
      <c r="N34" s="746">
        <f t="shared" si="15"/>
        <v>1742546</v>
      </c>
      <c r="O34" s="355">
        <f t="shared" si="15"/>
        <v>0</v>
      </c>
      <c r="P34" s="334">
        <f t="shared" si="15"/>
        <v>0</v>
      </c>
      <c r="Q34" s="364">
        <f t="shared" si="15"/>
        <v>0</v>
      </c>
    </row>
    <row r="35" spans="1:21" s="376" customFormat="1" ht="17.25" thickBot="1" thickTop="1">
      <c r="A35" s="151"/>
      <c r="B35" s="336" t="s">
        <v>131</v>
      </c>
      <c r="C35" s="1071"/>
      <c r="D35" s="292"/>
      <c r="E35" s="1102"/>
      <c r="F35" s="862"/>
      <c r="G35" s="292"/>
      <c r="H35" s="1102"/>
      <c r="I35" s="909"/>
      <c r="J35" s="292"/>
      <c r="K35" s="1102"/>
      <c r="L35" s="909"/>
      <c r="M35" s="292"/>
      <c r="N35" s="1102"/>
      <c r="O35" s="1071"/>
      <c r="P35" s="292"/>
      <c r="Q35" s="1102"/>
      <c r="R35" s="390"/>
      <c r="S35" s="390"/>
      <c r="T35" s="390"/>
      <c r="U35" s="390"/>
    </row>
    <row r="36" spans="1:17" s="376" customFormat="1" ht="15">
      <c r="A36" s="737" t="s">
        <v>98</v>
      </c>
      <c r="B36" s="738" t="s">
        <v>376</v>
      </c>
      <c r="C36" s="1079"/>
      <c r="D36" s="739"/>
      <c r="E36" s="744">
        <f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4">
        <f>SUM(L36:M36)</f>
        <v>0</v>
      </c>
      <c r="O36" s="1125"/>
      <c r="P36" s="742"/>
      <c r="Q36" s="1113">
        <f>SUM(O36:P36)</f>
        <v>0</v>
      </c>
    </row>
    <row r="37" spans="1:17" s="376" customFormat="1" ht="15">
      <c r="A37" s="160" t="s">
        <v>99</v>
      </c>
      <c r="B37" s="156" t="s">
        <v>235</v>
      </c>
      <c r="C37" s="880"/>
      <c r="D37" s="146"/>
      <c r="E37" s="169">
        <f>SUM(C37:D37)</f>
        <v>0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169">
        <f>SUM(L37:M37)</f>
        <v>0</v>
      </c>
      <c r="O37" s="1120"/>
      <c r="P37" s="382"/>
      <c r="Q37" s="1114">
        <f>SUM(O37:P37)</f>
        <v>0</v>
      </c>
    </row>
    <row r="38" spans="1:17" s="376" customFormat="1" ht="15">
      <c r="A38" s="325" t="s">
        <v>100</v>
      </c>
      <c r="B38" s="149" t="s">
        <v>377</v>
      </c>
      <c r="C38" s="1070"/>
      <c r="D38" s="311"/>
      <c r="E38" s="314">
        <f>SUM(C38:D38)</f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314">
        <f>SUM(L38:M38)</f>
        <v>0</v>
      </c>
      <c r="O38" s="1124"/>
      <c r="P38" s="386"/>
      <c r="Q38" s="1112">
        <f>SUM(O38:P38)</f>
        <v>0</v>
      </c>
    </row>
    <row r="39" spans="1:17" s="376" customFormat="1" ht="15.75" thickBot="1">
      <c r="A39" s="161" t="s">
        <v>101</v>
      </c>
      <c r="B39" s="162" t="s">
        <v>381</v>
      </c>
      <c r="C39" s="881">
        <v>4954</v>
      </c>
      <c r="D39" s="158"/>
      <c r="E39" s="237">
        <f>SUM(C39:D39)</f>
        <v>4954</v>
      </c>
      <c r="F39" s="860"/>
      <c r="G39" s="158"/>
      <c r="H39" s="237">
        <f>SUM(F39:G39)</f>
        <v>0</v>
      </c>
      <c r="I39" s="881"/>
      <c r="J39" s="158"/>
      <c r="K39" s="237">
        <f>SUM(I39:J39)</f>
        <v>0</v>
      </c>
      <c r="L39" s="881"/>
      <c r="M39" s="158"/>
      <c r="N39" s="237">
        <f>SUM(L39:M39)</f>
        <v>0</v>
      </c>
      <c r="O39" s="1122"/>
      <c r="P39" s="383"/>
      <c r="Q39" s="1115">
        <f>SUM(O39:P39)</f>
        <v>0</v>
      </c>
    </row>
    <row r="40" spans="1:17" s="384" customFormat="1" ht="16.5" thickBot="1">
      <c r="A40" s="303">
        <v>1</v>
      </c>
      <c r="B40" s="295" t="s">
        <v>177</v>
      </c>
      <c r="C40" s="337">
        <f aca="true" t="shared" si="16" ref="C40:Q40">SUM(C36:C39)</f>
        <v>4954</v>
      </c>
      <c r="D40" s="304">
        <f t="shared" si="16"/>
        <v>0</v>
      </c>
      <c r="E40" s="310">
        <f t="shared" si="16"/>
        <v>4954</v>
      </c>
      <c r="F40" s="337">
        <f t="shared" si="16"/>
        <v>0</v>
      </c>
      <c r="G40" s="304">
        <f t="shared" si="16"/>
        <v>0</v>
      </c>
      <c r="H40" s="310">
        <f t="shared" si="16"/>
        <v>0</v>
      </c>
      <c r="I40" s="337">
        <f t="shared" si="16"/>
        <v>0</v>
      </c>
      <c r="J40" s="304">
        <f t="shared" si="16"/>
        <v>0</v>
      </c>
      <c r="K40" s="310">
        <f t="shared" si="16"/>
        <v>0</v>
      </c>
      <c r="L40" s="337">
        <f t="shared" si="16"/>
        <v>0</v>
      </c>
      <c r="M40" s="304">
        <f t="shared" si="16"/>
        <v>0</v>
      </c>
      <c r="N40" s="310">
        <f t="shared" si="16"/>
        <v>0</v>
      </c>
      <c r="O40" s="337">
        <f t="shared" si="16"/>
        <v>0</v>
      </c>
      <c r="P40" s="304">
        <f t="shared" si="16"/>
        <v>0</v>
      </c>
      <c r="Q40" s="310">
        <f t="shared" si="16"/>
        <v>0</v>
      </c>
    </row>
    <row r="41" spans="1:17" s="376" customFormat="1" ht="15">
      <c r="A41" s="163" t="s">
        <v>98</v>
      </c>
      <c r="B41" s="152" t="s">
        <v>403</v>
      </c>
      <c r="C41" s="1069"/>
      <c r="D41" s="224"/>
      <c r="E41" s="227">
        <f>SUM(C41:D41)</f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227">
        <f>SUM(L41:M41)</f>
        <v>0</v>
      </c>
      <c r="O41" s="1121"/>
      <c r="P41" s="380"/>
      <c r="Q41" s="1110">
        <f>SUM(O41:P41)</f>
        <v>0</v>
      </c>
    </row>
    <row r="42" spans="1:17" s="376" customFormat="1" ht="15">
      <c r="A42" s="160" t="s">
        <v>99</v>
      </c>
      <c r="B42" s="156" t="s">
        <v>378</v>
      </c>
      <c r="C42" s="880"/>
      <c r="D42" s="146"/>
      <c r="E42" s="169">
        <f>SUM(C42:D42)</f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169">
        <f>SUM(L42:M42)</f>
        <v>0</v>
      </c>
      <c r="O42" s="1120"/>
      <c r="P42" s="382"/>
      <c r="Q42" s="1114">
        <f>SUM(O42:P42)</f>
        <v>0</v>
      </c>
    </row>
    <row r="43" spans="1:17" s="376" customFormat="1" ht="15">
      <c r="A43" s="160" t="s">
        <v>100</v>
      </c>
      <c r="B43" s="156" t="s">
        <v>379</v>
      </c>
      <c r="C43" s="880"/>
      <c r="D43" s="146"/>
      <c r="E43" s="169">
        <f>SUM(C43:D43)</f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169">
        <f>SUM(L43:M43)</f>
        <v>0</v>
      </c>
      <c r="O43" s="1120"/>
      <c r="P43" s="382"/>
      <c r="Q43" s="1114">
        <f>SUM(O43:P43)</f>
        <v>0</v>
      </c>
    </row>
    <row r="44" spans="1:17" s="376" customFormat="1" ht="15.75" thickBot="1">
      <c r="A44" s="161" t="s">
        <v>101</v>
      </c>
      <c r="B44" s="162" t="s">
        <v>175</v>
      </c>
      <c r="C44" s="881"/>
      <c r="D44" s="158"/>
      <c r="E44" s="237">
        <f>SUM(C44:D44)</f>
        <v>0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237">
        <f>SUM(L44:M44)</f>
        <v>0</v>
      </c>
      <c r="O44" s="1122"/>
      <c r="P44" s="383"/>
      <c r="Q44" s="1115">
        <f>SUM(O44:P44)</f>
        <v>0</v>
      </c>
    </row>
    <row r="45" spans="1:17" s="384" customFormat="1" ht="16.5" thickBot="1">
      <c r="A45" s="303">
        <v>2</v>
      </c>
      <c r="B45" s="295" t="s">
        <v>176</v>
      </c>
      <c r="C45" s="337">
        <f>SUM(C41:C44)</f>
        <v>0</v>
      </c>
      <c r="D45" s="304">
        <f aca="true" t="shared" si="17" ref="D45:Q45">SUM(D41:D44)</f>
        <v>0</v>
      </c>
      <c r="E45" s="306">
        <f t="shared" si="17"/>
        <v>0</v>
      </c>
      <c r="F45" s="337">
        <f t="shared" si="17"/>
        <v>0</v>
      </c>
      <c r="G45" s="304">
        <f t="shared" si="17"/>
        <v>0</v>
      </c>
      <c r="H45" s="306">
        <f t="shared" si="17"/>
        <v>0</v>
      </c>
      <c r="I45" s="337">
        <f t="shared" si="17"/>
        <v>0</v>
      </c>
      <c r="J45" s="304">
        <f t="shared" si="17"/>
        <v>0</v>
      </c>
      <c r="K45" s="306">
        <f t="shared" si="17"/>
        <v>0</v>
      </c>
      <c r="L45" s="337">
        <f t="shared" si="17"/>
        <v>0</v>
      </c>
      <c r="M45" s="304">
        <f t="shared" si="17"/>
        <v>0</v>
      </c>
      <c r="N45" s="320">
        <f t="shared" si="17"/>
        <v>0</v>
      </c>
      <c r="O45" s="337">
        <f t="shared" si="17"/>
        <v>0</v>
      </c>
      <c r="P45" s="304">
        <f t="shared" si="17"/>
        <v>0</v>
      </c>
      <c r="Q45" s="310">
        <f t="shared" si="17"/>
        <v>0</v>
      </c>
    </row>
    <row r="46" spans="1:17" s="208" customFormat="1" ht="16.5" thickBot="1">
      <c r="A46" s="303">
        <v>3</v>
      </c>
      <c r="B46" s="295" t="s">
        <v>254</v>
      </c>
      <c r="C46" s="337"/>
      <c r="D46" s="304"/>
      <c r="E46" s="306">
        <f>SUM(C46:D46)</f>
        <v>0</v>
      </c>
      <c r="F46" s="337"/>
      <c r="G46" s="304"/>
      <c r="H46" s="306">
        <f>SUM(F46:G46)</f>
        <v>0</v>
      </c>
      <c r="I46" s="337"/>
      <c r="J46" s="304"/>
      <c r="K46" s="306">
        <f>SUM(I46:J46)</f>
        <v>0</v>
      </c>
      <c r="L46" s="337">
        <v>804689</v>
      </c>
      <c r="M46" s="304">
        <v>-104369</v>
      </c>
      <c r="N46" s="320">
        <f>SUM(L46:M46)</f>
        <v>700320</v>
      </c>
      <c r="O46" s="337"/>
      <c r="P46" s="304"/>
      <c r="Q46" s="310">
        <f>SUM(O46:P46)</f>
        <v>0</v>
      </c>
    </row>
    <row r="47" spans="1:17" s="94" customFormat="1" ht="16.5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/>
      <c r="J47" s="304"/>
      <c r="K47" s="306">
        <f>SUM(I47:J47)</f>
        <v>0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28" customFormat="1" ht="1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>
        <v>300000</v>
      </c>
      <c r="M48" s="224"/>
      <c r="N48" s="227">
        <f>SUM(L48:M48)</f>
        <v>300000</v>
      </c>
      <c r="O48" s="1121"/>
      <c r="P48" s="380"/>
      <c r="Q48" s="1110">
        <f>SUM(O48:P48)</f>
        <v>0</v>
      </c>
    </row>
    <row r="49" spans="1:17" s="94" customFormat="1" ht="1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169">
        <f>SUM(L49:M49)</f>
        <v>0</v>
      </c>
      <c r="O49" s="1120"/>
      <c r="P49" s="382"/>
      <c r="Q49" s="1114">
        <f>SUM(O49:P49)</f>
        <v>0</v>
      </c>
    </row>
    <row r="50" spans="1:17" s="94" customFormat="1" ht="15.75" thickBot="1">
      <c r="A50" s="161" t="s">
        <v>100</v>
      </c>
      <c r="B50" s="324" t="s">
        <v>413</v>
      </c>
      <c r="C50" s="880"/>
      <c r="D50" s="146"/>
      <c r="E50" s="169">
        <f>SUM(C50:D50)</f>
        <v>0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880"/>
      <c r="M50" s="146"/>
      <c r="N50" s="169">
        <f>SUM(L50:M50)</f>
        <v>0</v>
      </c>
      <c r="O50" s="1120"/>
      <c r="P50" s="382"/>
      <c r="Q50" s="1114">
        <f>SUM(O50:P50)</f>
        <v>0</v>
      </c>
    </row>
    <row r="51" spans="1:17" s="208" customFormat="1" ht="16.5" thickBot="1">
      <c r="A51" s="303">
        <v>5</v>
      </c>
      <c r="B51" s="295" t="s">
        <v>178</v>
      </c>
      <c r="C51" s="337">
        <f>SUM(C48:C50)</f>
        <v>0</v>
      </c>
      <c r="D51" s="304">
        <f>SUM(D48:D50)</f>
        <v>0</v>
      </c>
      <c r="E51" s="306">
        <f aca="true" t="shared" si="18" ref="E51:Q51">SUM(E48:E50)</f>
        <v>0</v>
      </c>
      <c r="F51" s="337">
        <f t="shared" si="18"/>
        <v>0</v>
      </c>
      <c r="G51" s="304">
        <f t="shared" si="18"/>
        <v>0</v>
      </c>
      <c r="H51" s="306">
        <f t="shared" si="18"/>
        <v>0</v>
      </c>
      <c r="I51" s="337">
        <f t="shared" si="18"/>
        <v>0</v>
      </c>
      <c r="J51" s="304">
        <f t="shared" si="18"/>
        <v>0</v>
      </c>
      <c r="K51" s="306">
        <f t="shared" si="18"/>
        <v>0</v>
      </c>
      <c r="L51" s="337">
        <f t="shared" si="18"/>
        <v>300000</v>
      </c>
      <c r="M51" s="304">
        <f t="shared" si="18"/>
        <v>0</v>
      </c>
      <c r="N51" s="306">
        <f t="shared" si="18"/>
        <v>300000</v>
      </c>
      <c r="O51" s="337">
        <f t="shared" si="18"/>
        <v>0</v>
      </c>
      <c r="P51" s="304">
        <f t="shared" si="18"/>
        <v>0</v>
      </c>
      <c r="Q51" s="310">
        <f t="shared" si="18"/>
        <v>0</v>
      </c>
    </row>
    <row r="52" spans="1:17" s="208" customFormat="1" ht="16.5" thickBot="1">
      <c r="A52" s="733">
        <v>6</v>
      </c>
      <c r="B52" s="734" t="s">
        <v>285</v>
      </c>
      <c r="C52" s="1072"/>
      <c r="D52" s="329"/>
      <c r="E52" s="322">
        <f>SUM(C52:D52)</f>
        <v>0</v>
      </c>
      <c r="F52" s="323"/>
      <c r="G52" s="329"/>
      <c r="H52" s="322">
        <f>SUM(F52:G52)</f>
        <v>0</v>
      </c>
      <c r="I52" s="1078"/>
      <c r="J52" s="329"/>
      <c r="K52" s="322">
        <f>SUM(I52:J52)</f>
        <v>0</v>
      </c>
      <c r="L52" s="1078">
        <v>690033</v>
      </c>
      <c r="M52" s="329">
        <v>-292687</v>
      </c>
      <c r="N52" s="322">
        <f>SUM(L52:M52)</f>
        <v>397346</v>
      </c>
      <c r="O52" s="1126"/>
      <c r="P52" s="727"/>
      <c r="Q52" s="1116">
        <f>SUM(O52:P52)</f>
        <v>0</v>
      </c>
    </row>
    <row r="53" spans="1:17" s="94" customFormat="1" ht="15">
      <c r="A53" s="144" t="s">
        <v>98</v>
      </c>
      <c r="B53" s="145" t="s">
        <v>382</v>
      </c>
      <c r="C53" s="1073"/>
      <c r="D53" s="147"/>
      <c r="E53" s="203">
        <f>SUM(C53:D53)</f>
        <v>0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1073"/>
      <c r="M53" s="147"/>
      <c r="N53" s="203">
        <f>SUM(L53:M53)</f>
        <v>0</v>
      </c>
      <c r="O53" s="1127"/>
      <c r="P53" s="391"/>
      <c r="Q53" s="1117">
        <f>SUM(O53:P53)</f>
        <v>0</v>
      </c>
    </row>
    <row r="54" spans="1:17" s="94" customFormat="1" ht="15.75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314">
        <f>SUM(L54:M54)</f>
        <v>0</v>
      </c>
      <c r="O54" s="1124"/>
      <c r="P54" s="386"/>
      <c r="Q54" s="1112">
        <f>SUM(O54:P54)</f>
        <v>0</v>
      </c>
    </row>
    <row r="55" spans="1:17" s="208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19" ref="D55:Q55">SUM(D53:D54)</f>
        <v>0</v>
      </c>
      <c r="E55" s="306">
        <f t="shared" si="19"/>
        <v>0</v>
      </c>
      <c r="F55" s="337">
        <f t="shared" si="19"/>
        <v>0</v>
      </c>
      <c r="G55" s="304">
        <f t="shared" si="19"/>
        <v>0</v>
      </c>
      <c r="H55" s="306">
        <f t="shared" si="19"/>
        <v>0</v>
      </c>
      <c r="I55" s="337">
        <f t="shared" si="19"/>
        <v>0</v>
      </c>
      <c r="J55" s="304">
        <f t="shared" si="19"/>
        <v>0</v>
      </c>
      <c r="K55" s="306">
        <f t="shared" si="19"/>
        <v>0</v>
      </c>
      <c r="L55" s="337">
        <f t="shared" si="19"/>
        <v>0</v>
      </c>
      <c r="M55" s="304">
        <f t="shared" si="19"/>
        <v>0</v>
      </c>
      <c r="N55" s="306">
        <f t="shared" si="19"/>
        <v>0</v>
      </c>
      <c r="O55" s="1080">
        <f t="shared" si="19"/>
        <v>0</v>
      </c>
      <c r="P55" s="1082">
        <f t="shared" si="19"/>
        <v>0</v>
      </c>
      <c r="Q55" s="1084">
        <f t="shared" si="19"/>
        <v>0</v>
      </c>
    </row>
    <row r="56" spans="1:17" s="268" customFormat="1" ht="19.5" customHeight="1" thickBot="1">
      <c r="A56" s="690">
        <v>8</v>
      </c>
      <c r="B56" s="691" t="s">
        <v>46</v>
      </c>
      <c r="C56" s="1105">
        <f>C34-C40-C45-C46-C47-C51-C52-C55-C57-C58-C59</f>
        <v>24213</v>
      </c>
      <c r="D56" s="1106">
        <f>D34-D40-D45-D46-D47-D51-D52-D55-D57-D58-D59</f>
        <v>59</v>
      </c>
      <c r="E56" s="1103">
        <f aca="true" t="shared" si="20" ref="E56:Q56">E34-E40-E45-E46-E47-E51-E52-E55-E57-E58-E59</f>
        <v>24272</v>
      </c>
      <c r="F56" s="1105">
        <f t="shared" si="20"/>
        <v>55052</v>
      </c>
      <c r="G56" s="1106">
        <f t="shared" si="20"/>
        <v>1346</v>
      </c>
      <c r="H56" s="1103">
        <f t="shared" si="20"/>
        <v>56398</v>
      </c>
      <c r="I56" s="1105">
        <f t="shared" si="20"/>
        <v>31756</v>
      </c>
      <c r="J56" s="1106">
        <f t="shared" si="20"/>
        <v>52</v>
      </c>
      <c r="K56" s="1103">
        <f t="shared" si="20"/>
        <v>31808</v>
      </c>
      <c r="L56" s="1105">
        <f t="shared" si="20"/>
        <v>-96270</v>
      </c>
      <c r="M56" s="1106">
        <f t="shared" si="20"/>
        <v>441150</v>
      </c>
      <c r="N56" s="1103">
        <f t="shared" si="20"/>
        <v>344880</v>
      </c>
      <c r="O56" s="1128">
        <f t="shared" si="20"/>
        <v>0</v>
      </c>
      <c r="P56" s="1130">
        <f t="shared" si="20"/>
        <v>0</v>
      </c>
      <c r="Q56" s="1118">
        <f t="shared" si="20"/>
        <v>0</v>
      </c>
    </row>
    <row r="57" spans="1:17" s="208" customFormat="1" ht="15.75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1104">
        <f>SUM(L57:M57)</f>
        <v>0</v>
      </c>
      <c r="O57" s="1129"/>
      <c r="P57" s="394"/>
      <c r="Q57" s="1119">
        <f>SUM(O57:P57)</f>
        <v>0</v>
      </c>
    </row>
    <row r="58" spans="1:17" s="208" customFormat="1" ht="15.75">
      <c r="A58" s="326" t="s">
        <v>183</v>
      </c>
      <c r="B58" s="327" t="s">
        <v>384</v>
      </c>
      <c r="C58" s="316"/>
      <c r="D58" s="317"/>
      <c r="E58" s="392">
        <f>SUM(C58:D58)</f>
        <v>0</v>
      </c>
      <c r="F58" s="321"/>
      <c r="G58" s="317"/>
      <c r="H58" s="392">
        <f>SUM(F58:G58)</f>
        <v>0</v>
      </c>
      <c r="I58" s="1075"/>
      <c r="J58" s="317"/>
      <c r="K58" s="1104">
        <f>SUM(I58:J58)</f>
        <v>0</v>
      </c>
      <c r="L58" s="1075"/>
      <c r="M58" s="317"/>
      <c r="N58" s="1104">
        <f>SUM(L58:M58)</f>
        <v>0</v>
      </c>
      <c r="O58" s="393"/>
      <c r="P58" s="394"/>
      <c r="Q58" s="395">
        <f>SUM(O58:P58)</f>
        <v>0</v>
      </c>
    </row>
    <row r="59" spans="1:17" s="208" customFormat="1" ht="16.5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397">
        <f>SUM(L59:M59)</f>
        <v>0</v>
      </c>
      <c r="O59" s="398"/>
      <c r="P59" s="399"/>
      <c r="Q59" s="400">
        <f>SUM(O59:P59)</f>
        <v>0</v>
      </c>
    </row>
    <row r="60" spans="1:17" s="159" customFormat="1" ht="17.25" thickBot="1" thickTop="1">
      <c r="A60" s="333" t="s">
        <v>109</v>
      </c>
      <c r="B60" s="335" t="s">
        <v>182</v>
      </c>
      <c r="C60" s="747">
        <f>C40+C45+C46+C47+C51+C52+C55+C56+C57+C58+C59</f>
        <v>29167</v>
      </c>
      <c r="D60" s="748">
        <f aca="true" t="shared" si="21" ref="D60:Q60">D40+D45+D46+D47+D51+D52+D55+D56+D57+D58+D59</f>
        <v>59</v>
      </c>
      <c r="E60" s="746">
        <f t="shared" si="21"/>
        <v>29226</v>
      </c>
      <c r="F60" s="354">
        <f t="shared" si="21"/>
        <v>55052</v>
      </c>
      <c r="G60" s="334">
        <f t="shared" si="21"/>
        <v>1346</v>
      </c>
      <c r="H60" s="746">
        <f t="shared" si="21"/>
        <v>56398</v>
      </c>
      <c r="I60" s="747">
        <f t="shared" si="21"/>
        <v>31756</v>
      </c>
      <c r="J60" s="748">
        <f t="shared" si="21"/>
        <v>52</v>
      </c>
      <c r="K60" s="746">
        <f t="shared" si="21"/>
        <v>31808</v>
      </c>
      <c r="L60" s="354">
        <f t="shared" si="21"/>
        <v>1698452</v>
      </c>
      <c r="M60" s="334">
        <f t="shared" si="21"/>
        <v>44094</v>
      </c>
      <c r="N60" s="746">
        <f t="shared" si="21"/>
        <v>1742546</v>
      </c>
      <c r="O60" s="354">
        <f t="shared" si="21"/>
        <v>0</v>
      </c>
      <c r="P60" s="334">
        <f t="shared" si="21"/>
        <v>0</v>
      </c>
      <c r="Q60" s="364">
        <f t="shared" si="21"/>
        <v>0</v>
      </c>
    </row>
    <row r="61" spans="1:17" s="376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1"/>
      <c r="P61" s="401"/>
      <c r="Q61" s="401"/>
    </row>
    <row r="62" spans="1:17" s="376" customFormat="1" ht="16.5" thickBot="1" thickTop="1">
      <c r="A62" s="174"/>
      <c r="B62" s="175" t="s">
        <v>593</v>
      </c>
      <c r="C62" s="204"/>
      <c r="D62" s="402"/>
      <c r="E62" s="403">
        <f>SUM(C62:D62)</f>
        <v>0</v>
      </c>
      <c r="F62" s="204"/>
      <c r="G62" s="404"/>
      <c r="H62" s="403">
        <f>SUM(F62:G62)</f>
        <v>0</v>
      </c>
      <c r="I62" s="204"/>
      <c r="J62" s="404"/>
      <c r="K62" s="403">
        <f>SUM(I62:J62)</f>
        <v>0</v>
      </c>
      <c r="L62" s="204"/>
      <c r="M62" s="404"/>
      <c r="N62" s="403">
        <f>SUM(L62:M62)</f>
        <v>0</v>
      </c>
      <c r="O62" s="405"/>
      <c r="P62" s="406"/>
      <c r="Q62" s="407">
        <f>SUM(O62:P62)</f>
        <v>0</v>
      </c>
    </row>
    <row r="63" spans="1:17" s="376" customFormat="1" ht="16.5" thickBot="1" thickTop="1">
      <c r="A63" s="174"/>
      <c r="B63" s="175" t="s">
        <v>594</v>
      </c>
      <c r="C63" s="204"/>
      <c r="D63" s="402"/>
      <c r="E63" s="403">
        <f>SUM(C63:D63)</f>
        <v>0</v>
      </c>
      <c r="F63" s="204"/>
      <c r="G63" s="404"/>
      <c r="H63" s="403">
        <f>SUM(F63:G63)</f>
        <v>0</v>
      </c>
      <c r="I63" s="204"/>
      <c r="J63" s="404"/>
      <c r="K63" s="403">
        <f>SUM(I63:J63)</f>
        <v>0</v>
      </c>
      <c r="L63" s="204"/>
      <c r="M63" s="404"/>
      <c r="N63" s="403">
        <f>SUM(L63:M63)</f>
        <v>0</v>
      </c>
      <c r="O63" s="405"/>
      <c r="P63" s="406"/>
      <c r="Q63" s="407">
        <f>SUM(O63:P63)</f>
        <v>0</v>
      </c>
    </row>
    <row r="64" spans="1:17" s="376" customFormat="1" ht="16.5" thickTop="1">
      <c r="A64" s="408"/>
      <c r="O64" s="390"/>
      <c r="P64" s="390"/>
      <c r="Q64" s="390"/>
    </row>
    <row r="65" spans="1:17" s="376" customFormat="1" ht="15.75">
      <c r="A65" s="408"/>
      <c r="O65" s="390"/>
      <c r="P65" s="390"/>
      <c r="Q65" s="390"/>
    </row>
    <row r="66" spans="1:17" s="376" customFormat="1" ht="15">
      <c r="A66" s="409"/>
      <c r="O66" s="390"/>
      <c r="P66" s="390"/>
      <c r="Q66" s="390"/>
    </row>
    <row r="67" spans="1:17" s="376" customFormat="1" ht="15">
      <c r="A67" s="409"/>
      <c r="O67" s="390"/>
      <c r="P67" s="390"/>
      <c r="Q67" s="390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31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09" customWidth="1"/>
    <col min="2" max="2" width="78.375" style="94" customWidth="1"/>
    <col min="3" max="14" width="14.625" style="94" customWidth="1"/>
    <col min="15" max="17" width="14.625" style="233" customWidth="1"/>
  </cols>
  <sheetData>
    <row r="1" spans="1:17" ht="10.5" customHeight="1">
      <c r="A1" s="293"/>
      <c r="B1" s="294"/>
      <c r="C1" s="294"/>
      <c r="D1" s="376"/>
      <c r="E1" s="376"/>
      <c r="F1" s="376"/>
      <c r="G1" s="376"/>
      <c r="H1" s="376"/>
      <c r="I1" s="376"/>
      <c r="J1" s="376"/>
      <c r="K1" s="376"/>
      <c r="L1" s="376"/>
      <c r="M1" s="376"/>
      <c r="O1" s="866"/>
      <c r="P1" s="866"/>
      <c r="Q1" s="866" t="s">
        <v>881</v>
      </c>
    </row>
    <row r="2" spans="1:17" ht="13.5" customHeight="1">
      <c r="A2" s="293"/>
      <c r="B2" s="294"/>
      <c r="C2" s="294"/>
      <c r="D2" s="376"/>
      <c r="E2" s="376"/>
      <c r="F2" s="376"/>
      <c r="G2" s="376"/>
      <c r="H2" s="376"/>
      <c r="I2" s="376"/>
      <c r="J2" s="376"/>
      <c r="K2" s="376"/>
      <c r="L2" s="376"/>
      <c r="M2" s="376"/>
      <c r="O2" s="866"/>
      <c r="P2" s="866"/>
      <c r="Q2" s="866" t="s">
        <v>93</v>
      </c>
    </row>
    <row r="3" spans="1:17" ht="15">
      <c r="A3" s="293"/>
      <c r="B3" s="294"/>
      <c r="C3" s="294"/>
      <c r="D3" s="376"/>
      <c r="E3" s="376"/>
      <c r="F3" s="376"/>
      <c r="G3" s="376"/>
      <c r="H3" s="376"/>
      <c r="I3" s="376"/>
      <c r="J3" s="376"/>
      <c r="K3" s="376"/>
      <c r="L3" s="376"/>
      <c r="M3" s="376"/>
      <c r="O3" s="866"/>
      <c r="P3" s="866"/>
      <c r="Q3" s="867" t="s">
        <v>143</v>
      </c>
    </row>
    <row r="4" spans="1:17" s="15" customFormat="1" ht="20.25">
      <c r="A4" s="1916" t="s">
        <v>574</v>
      </c>
      <c r="B4" s="1916"/>
      <c r="C4" s="1916"/>
      <c r="D4" s="1916"/>
      <c r="E4" s="1916"/>
      <c r="F4" s="1916"/>
      <c r="G4" s="1916"/>
      <c r="H4" s="1916"/>
      <c r="I4" s="1916"/>
      <c r="J4" s="1916"/>
      <c r="K4" s="1916"/>
      <c r="L4" s="1916"/>
      <c r="M4" s="1916"/>
      <c r="N4" s="1916"/>
      <c r="O4" s="1916"/>
      <c r="P4" s="1916"/>
      <c r="Q4" s="1916"/>
    </row>
    <row r="5" spans="1:17" s="15" customFormat="1" ht="18">
      <c r="A5" s="1917" t="s">
        <v>585</v>
      </c>
      <c r="B5" s="1917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</row>
    <row r="6" spans="1:17" ht="45" customHeight="1" thickBot="1">
      <c r="A6" s="293"/>
      <c r="B6" s="294"/>
      <c r="C6" s="294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870"/>
      <c r="Q6" s="130" t="s">
        <v>134</v>
      </c>
    </row>
    <row r="7" spans="1:17" s="94" customFormat="1" ht="34.5" customHeight="1">
      <c r="A7" s="229" t="s">
        <v>124</v>
      </c>
      <c r="B7" s="93" t="s">
        <v>125</v>
      </c>
      <c r="C7" s="1902" t="s">
        <v>567</v>
      </c>
      <c r="D7" s="1903"/>
      <c r="E7" s="1904"/>
      <c r="F7" s="1905" t="s">
        <v>63</v>
      </c>
      <c r="G7" s="1927"/>
      <c r="H7" s="1928"/>
      <c r="I7" s="1905" t="s">
        <v>432</v>
      </c>
      <c r="J7" s="1929"/>
      <c r="K7" s="1928"/>
      <c r="L7" s="1905" t="s">
        <v>449</v>
      </c>
      <c r="M7" s="1929"/>
      <c r="N7" s="1928"/>
      <c r="O7" s="1905" t="s">
        <v>566</v>
      </c>
      <c r="P7" s="1929"/>
      <c r="Q7" s="1928"/>
    </row>
    <row r="8" spans="1:17" s="94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660</v>
      </c>
      <c r="F8" s="24" t="s">
        <v>420</v>
      </c>
      <c r="G8" s="23" t="s">
        <v>128</v>
      </c>
      <c r="H8" s="11" t="s">
        <v>660</v>
      </c>
      <c r="I8" s="24" t="s">
        <v>420</v>
      </c>
      <c r="J8" s="23" t="s">
        <v>128</v>
      </c>
      <c r="K8" s="11" t="s">
        <v>660</v>
      </c>
      <c r="L8" s="24" t="s">
        <v>420</v>
      </c>
      <c r="M8" s="23" t="s">
        <v>128</v>
      </c>
      <c r="N8" s="11" t="s">
        <v>660</v>
      </c>
      <c r="O8" s="24" t="s">
        <v>420</v>
      </c>
      <c r="P8" s="23" t="s">
        <v>128</v>
      </c>
      <c r="Q8" s="11" t="s">
        <v>660</v>
      </c>
    </row>
    <row r="9" spans="1:17" s="31" customFormat="1" ht="13.5" thickBot="1">
      <c r="A9" s="410">
        <v>1</v>
      </c>
      <c r="B9" s="410">
        <v>2</v>
      </c>
      <c r="C9" s="412">
        <v>3</v>
      </c>
      <c r="D9" s="412">
        <v>4</v>
      </c>
      <c r="E9" s="413">
        <v>5</v>
      </c>
      <c r="F9" s="411">
        <v>6</v>
      </c>
      <c r="G9" s="412">
        <v>7</v>
      </c>
      <c r="H9" s="414">
        <v>8</v>
      </c>
      <c r="I9" s="411">
        <v>9</v>
      </c>
      <c r="J9" s="412">
        <v>10</v>
      </c>
      <c r="K9" s="414">
        <v>11</v>
      </c>
      <c r="L9" s="412">
        <v>12</v>
      </c>
      <c r="M9" s="412">
        <v>13</v>
      </c>
      <c r="N9" s="414">
        <v>14</v>
      </c>
      <c r="O9" s="412">
        <v>15</v>
      </c>
      <c r="P9" s="412">
        <v>16</v>
      </c>
      <c r="Q9" s="414">
        <v>17</v>
      </c>
    </row>
    <row r="10" spans="1:17" s="31" customFormat="1" ht="16.5" thickBot="1">
      <c r="A10" s="370"/>
      <c r="B10" s="336" t="s">
        <v>129</v>
      </c>
      <c r="C10" s="374"/>
      <c r="D10" s="375"/>
      <c r="E10" s="910"/>
      <c r="F10" s="374"/>
      <c r="G10" s="375"/>
      <c r="H10" s="373"/>
      <c r="I10" s="374"/>
      <c r="J10" s="375"/>
      <c r="K10" s="373"/>
      <c r="L10" s="374"/>
      <c r="M10" s="375"/>
      <c r="N10" s="373"/>
      <c r="O10" s="374"/>
      <c r="P10" s="375"/>
      <c r="Q10" s="373"/>
    </row>
    <row r="11" spans="1:17" ht="16.5" thickBot="1">
      <c r="A11" s="303">
        <v>1</v>
      </c>
      <c r="B11" s="295" t="s">
        <v>113</v>
      </c>
      <c r="C11" s="304">
        <v>10718</v>
      </c>
      <c r="D11" s="304"/>
      <c r="E11" s="304">
        <f>SUM(C11:D11)</f>
        <v>10718</v>
      </c>
      <c r="F11" s="309">
        <v>18500</v>
      </c>
      <c r="G11" s="304">
        <v>-14196</v>
      </c>
      <c r="H11" s="348">
        <f>SUM(F11:G11)</f>
        <v>4304</v>
      </c>
      <c r="I11" s="304"/>
      <c r="J11" s="304"/>
      <c r="K11" s="348">
        <f aca="true" t="shared" si="0" ref="K11:K16">SUM(I11:J11)</f>
        <v>0</v>
      </c>
      <c r="L11" s="304"/>
      <c r="M11" s="304"/>
      <c r="N11" s="348">
        <f aca="true" t="shared" si="1" ref="N11:N16">SUM(L11:M11)</f>
        <v>0</v>
      </c>
      <c r="O11" s="304"/>
      <c r="P11" s="377"/>
      <c r="Q11" s="378">
        <f aca="true" t="shared" si="2" ref="Q11:Q16">SUM(O11:P11)</f>
        <v>0</v>
      </c>
    </row>
    <row r="12" spans="1:17" s="66" customFormat="1" ht="16.5" thickBot="1">
      <c r="A12" s="307">
        <v>2</v>
      </c>
      <c r="B12" s="906" t="s">
        <v>202</v>
      </c>
      <c r="C12" s="309">
        <v>1688</v>
      </c>
      <c r="D12" s="304"/>
      <c r="E12" s="304">
        <f>SUM(C12:D12)</f>
        <v>1688</v>
      </c>
      <c r="F12" s="309">
        <v>2700</v>
      </c>
      <c r="G12" s="304"/>
      <c r="H12" s="348">
        <f>SUM(F12:G12)</f>
        <v>2700</v>
      </c>
      <c r="I12" s="309"/>
      <c r="J12" s="304"/>
      <c r="K12" s="348">
        <f t="shared" si="0"/>
        <v>0</v>
      </c>
      <c r="L12" s="309"/>
      <c r="M12" s="304"/>
      <c r="N12" s="348">
        <f t="shared" si="1"/>
        <v>0</v>
      </c>
      <c r="O12" s="377"/>
      <c r="P12" s="377"/>
      <c r="Q12" s="378">
        <f t="shared" si="2"/>
        <v>0</v>
      </c>
    </row>
    <row r="13" spans="1:17" s="15" customFormat="1" ht="16.5" thickBot="1">
      <c r="A13" s="307">
        <v>3</v>
      </c>
      <c r="B13" s="295" t="s">
        <v>116</v>
      </c>
      <c r="C13" s="304">
        <v>1699175</v>
      </c>
      <c r="D13" s="304">
        <v>33981</v>
      </c>
      <c r="E13" s="304">
        <f>SUM(C13:D13)</f>
        <v>1733156</v>
      </c>
      <c r="F13" s="309">
        <v>1270</v>
      </c>
      <c r="G13" s="304"/>
      <c r="H13" s="348">
        <f>SUM(F13:G13)</f>
        <v>1270</v>
      </c>
      <c r="I13" s="309">
        <v>11253</v>
      </c>
      <c r="J13" s="304"/>
      <c r="K13" s="348">
        <f t="shared" si="0"/>
        <v>11253</v>
      </c>
      <c r="L13" s="304"/>
      <c r="M13" s="304"/>
      <c r="N13" s="348">
        <f t="shared" si="1"/>
        <v>0</v>
      </c>
      <c r="O13" s="304">
        <v>13666</v>
      </c>
      <c r="P13" s="377">
        <v>-222</v>
      </c>
      <c r="Q13" s="378">
        <f t="shared" si="2"/>
        <v>13444</v>
      </c>
    </row>
    <row r="14" spans="1:17" s="15" customFormat="1" ht="16.5" thickBot="1">
      <c r="A14" s="307">
        <v>4</v>
      </c>
      <c r="B14" s="295" t="s">
        <v>172</v>
      </c>
      <c r="C14" s="309"/>
      <c r="D14" s="304"/>
      <c r="E14" s="348">
        <f>SUM(C14:D14)</f>
        <v>0</v>
      </c>
      <c r="F14" s="306"/>
      <c r="G14" s="304"/>
      <c r="H14" s="308">
        <f>SUM(F14:G14)</f>
        <v>0</v>
      </c>
      <c r="I14" s="309"/>
      <c r="J14" s="304"/>
      <c r="K14" s="348">
        <f t="shared" si="0"/>
        <v>0</v>
      </c>
      <c r="L14" s="309"/>
      <c r="M14" s="304"/>
      <c r="N14" s="348">
        <f t="shared" si="1"/>
        <v>0</v>
      </c>
      <c r="O14" s="309"/>
      <c r="P14" s="304"/>
      <c r="Q14" s="348">
        <f t="shared" si="2"/>
        <v>0</v>
      </c>
    </row>
    <row r="15" spans="1:17" ht="15">
      <c r="A15" s="163" t="s">
        <v>98</v>
      </c>
      <c r="B15" s="152" t="s">
        <v>370</v>
      </c>
      <c r="C15" s="224"/>
      <c r="D15" s="224"/>
      <c r="E15" s="224">
        <f>C15+D15</f>
        <v>0</v>
      </c>
      <c r="F15" s="226"/>
      <c r="G15" s="224"/>
      <c r="H15" s="379">
        <f>F15+G15</f>
        <v>0</v>
      </c>
      <c r="I15" s="224"/>
      <c r="J15" s="224"/>
      <c r="K15" s="379">
        <f t="shared" si="0"/>
        <v>0</v>
      </c>
      <c r="L15" s="224"/>
      <c r="M15" s="224"/>
      <c r="N15" s="379">
        <f t="shared" si="1"/>
        <v>0</v>
      </c>
      <c r="O15" s="380"/>
      <c r="P15" s="380"/>
      <c r="Q15" s="381">
        <f t="shared" si="2"/>
        <v>0</v>
      </c>
    </row>
    <row r="16" spans="1:17" ht="15">
      <c r="A16" s="160" t="s">
        <v>99</v>
      </c>
      <c r="B16" s="156" t="s">
        <v>554</v>
      </c>
      <c r="C16" s="146"/>
      <c r="D16" s="146"/>
      <c r="E16" s="224">
        <f>C16+D16</f>
        <v>0</v>
      </c>
      <c r="F16" s="150"/>
      <c r="G16" s="146"/>
      <c r="H16" s="379">
        <f>F16+G16</f>
        <v>0</v>
      </c>
      <c r="I16" s="146"/>
      <c r="J16" s="146"/>
      <c r="K16" s="379">
        <f t="shared" si="0"/>
        <v>0</v>
      </c>
      <c r="L16" s="146"/>
      <c r="M16" s="146"/>
      <c r="N16" s="379">
        <f t="shared" si="1"/>
        <v>0</v>
      </c>
      <c r="O16" s="382"/>
      <c r="P16" s="382"/>
      <c r="Q16" s="381">
        <f t="shared" si="2"/>
        <v>0</v>
      </c>
    </row>
    <row r="17" spans="1:17" ht="15">
      <c r="A17" s="160" t="s">
        <v>100</v>
      </c>
      <c r="B17" s="156" t="s">
        <v>555</v>
      </c>
      <c r="C17" s="146"/>
      <c r="D17" s="146"/>
      <c r="E17" s="224">
        <f aca="true" t="shared" si="3" ref="E17:E22">C17+D17</f>
        <v>0</v>
      </c>
      <c r="F17" s="150"/>
      <c r="G17" s="146"/>
      <c r="H17" s="379">
        <f aca="true" t="shared" si="4" ref="H17:H22">F17+G17</f>
        <v>0</v>
      </c>
      <c r="I17" s="146"/>
      <c r="J17" s="146"/>
      <c r="K17" s="379">
        <f aca="true" t="shared" si="5" ref="K17:K22">SUM(I17:J17)</f>
        <v>0</v>
      </c>
      <c r="L17" s="146"/>
      <c r="M17" s="146"/>
      <c r="N17" s="379">
        <f aca="true" t="shared" si="6" ref="N17:N22">SUM(L17:M17)</f>
        <v>0</v>
      </c>
      <c r="O17" s="382"/>
      <c r="P17" s="382"/>
      <c r="Q17" s="381">
        <f aca="true" t="shared" si="7" ref="Q17:Q22">SUM(O17:P17)</f>
        <v>0</v>
      </c>
    </row>
    <row r="18" spans="1:17" ht="15">
      <c r="A18" s="160" t="s">
        <v>101</v>
      </c>
      <c r="B18" s="162" t="s">
        <v>371</v>
      </c>
      <c r="C18" s="297"/>
      <c r="D18" s="146"/>
      <c r="E18" s="238">
        <f t="shared" si="3"/>
        <v>0</v>
      </c>
      <c r="F18" s="880"/>
      <c r="G18" s="146"/>
      <c r="H18" s="227">
        <f t="shared" si="4"/>
        <v>0</v>
      </c>
      <c r="I18" s="146"/>
      <c r="J18" s="146"/>
      <c r="K18" s="379">
        <f t="shared" si="5"/>
        <v>0</v>
      </c>
      <c r="L18" s="146"/>
      <c r="M18" s="146"/>
      <c r="N18" s="379">
        <f t="shared" si="6"/>
        <v>0</v>
      </c>
      <c r="O18" s="382"/>
      <c r="P18" s="382"/>
      <c r="Q18" s="381">
        <f t="shared" si="7"/>
        <v>0</v>
      </c>
    </row>
    <row r="19" spans="1:17" ht="15">
      <c r="A19" s="155" t="s">
        <v>192</v>
      </c>
      <c r="B19" s="156" t="s">
        <v>556</v>
      </c>
      <c r="C19" s="880"/>
      <c r="D19" s="146"/>
      <c r="E19" s="238">
        <f>C19+D19</f>
        <v>0</v>
      </c>
      <c r="F19" s="880"/>
      <c r="G19" s="146"/>
      <c r="H19" s="227">
        <f>F19+G19</f>
        <v>0</v>
      </c>
      <c r="I19" s="146"/>
      <c r="J19" s="146"/>
      <c r="K19" s="379">
        <f>SUM(I19:J19)</f>
        <v>0</v>
      </c>
      <c r="L19" s="146"/>
      <c r="M19" s="146"/>
      <c r="N19" s="379">
        <f>SUM(L19:M19)</f>
        <v>0</v>
      </c>
      <c r="O19" s="382"/>
      <c r="P19" s="382"/>
      <c r="Q19" s="381">
        <f>SUM(O19:P19)</f>
        <v>0</v>
      </c>
    </row>
    <row r="20" spans="1:17" ht="15">
      <c r="A20" s="155" t="s">
        <v>327</v>
      </c>
      <c r="B20" s="156" t="s">
        <v>557</v>
      </c>
      <c r="C20" s="880"/>
      <c r="D20" s="146"/>
      <c r="E20" s="238">
        <f t="shared" si="3"/>
        <v>0</v>
      </c>
      <c r="F20" s="880"/>
      <c r="G20" s="146"/>
      <c r="H20" s="227">
        <f t="shared" si="4"/>
        <v>0</v>
      </c>
      <c r="I20" s="297"/>
      <c r="J20" s="146"/>
      <c r="K20" s="227">
        <f t="shared" si="5"/>
        <v>0</v>
      </c>
      <c r="L20" s="297"/>
      <c r="M20" s="146"/>
      <c r="N20" s="227">
        <f t="shared" si="6"/>
        <v>0</v>
      </c>
      <c r="O20" s="382"/>
      <c r="P20" s="382"/>
      <c r="Q20" s="381">
        <f t="shared" si="7"/>
        <v>0</v>
      </c>
    </row>
    <row r="21" spans="1:17" ht="15">
      <c r="A21" s="155" t="s">
        <v>328</v>
      </c>
      <c r="B21" s="162" t="s">
        <v>372</v>
      </c>
      <c r="C21" s="296"/>
      <c r="D21" s="224"/>
      <c r="E21" s="238">
        <f>C21+D21</f>
        <v>0</v>
      </c>
      <c r="F21" s="1069"/>
      <c r="G21" s="224"/>
      <c r="H21" s="227">
        <f t="shared" si="4"/>
        <v>0</v>
      </c>
      <c r="I21" s="296"/>
      <c r="J21" s="224"/>
      <c r="K21" s="227">
        <f t="shared" si="5"/>
        <v>0</v>
      </c>
      <c r="L21" s="296"/>
      <c r="M21" s="224"/>
      <c r="N21" s="227">
        <f t="shared" si="6"/>
        <v>0</v>
      </c>
      <c r="O21" s="1135"/>
      <c r="P21" s="382"/>
      <c r="Q21" s="1110">
        <f t="shared" si="7"/>
        <v>0</v>
      </c>
    </row>
    <row r="22" spans="1:17" ht="15" customHeight="1" thickBot="1">
      <c r="A22" s="16" t="s">
        <v>69</v>
      </c>
      <c r="B22" s="324" t="s">
        <v>373</v>
      </c>
      <c r="C22" s="298"/>
      <c r="D22" s="158"/>
      <c r="E22" s="238">
        <f t="shared" si="3"/>
        <v>0</v>
      </c>
      <c r="F22" s="881"/>
      <c r="G22" s="158"/>
      <c r="H22" s="227">
        <f t="shared" si="4"/>
        <v>0</v>
      </c>
      <c r="I22" s="860"/>
      <c r="J22" s="158"/>
      <c r="K22" s="227">
        <f t="shared" si="5"/>
        <v>0</v>
      </c>
      <c r="L22" s="298"/>
      <c r="M22" s="158"/>
      <c r="N22" s="227">
        <f t="shared" si="6"/>
        <v>0</v>
      </c>
      <c r="O22" s="1137"/>
      <c r="P22" s="383"/>
      <c r="Q22" s="1110">
        <f t="shared" si="7"/>
        <v>0</v>
      </c>
    </row>
    <row r="23" spans="1:17" s="15" customFormat="1" ht="16.5" thickBot="1">
      <c r="A23" s="307">
        <v>5</v>
      </c>
      <c r="B23" s="295" t="s">
        <v>171</v>
      </c>
      <c r="C23" s="337">
        <f aca="true" t="shared" si="8" ref="C23:Q23">SUM(C15:C22)</f>
        <v>0</v>
      </c>
      <c r="D23" s="304">
        <f t="shared" si="8"/>
        <v>0</v>
      </c>
      <c r="E23" s="310">
        <f t="shared" si="8"/>
        <v>0</v>
      </c>
      <c r="F23" s="320">
        <f t="shared" si="8"/>
        <v>0</v>
      </c>
      <c r="G23" s="304">
        <f t="shared" si="8"/>
        <v>0</v>
      </c>
      <c r="H23" s="320">
        <f t="shared" si="8"/>
        <v>0</v>
      </c>
      <c r="I23" s="337">
        <f t="shared" si="8"/>
        <v>0</v>
      </c>
      <c r="J23" s="304">
        <f t="shared" si="8"/>
        <v>0</v>
      </c>
      <c r="K23" s="310">
        <f t="shared" si="8"/>
        <v>0</v>
      </c>
      <c r="L23" s="337">
        <f t="shared" si="8"/>
        <v>0</v>
      </c>
      <c r="M23" s="304">
        <f t="shared" si="8"/>
        <v>0</v>
      </c>
      <c r="N23" s="310">
        <f t="shared" si="8"/>
        <v>0</v>
      </c>
      <c r="O23" s="337">
        <f t="shared" si="8"/>
        <v>0</v>
      </c>
      <c r="P23" s="304">
        <f t="shared" si="8"/>
        <v>0</v>
      </c>
      <c r="Q23" s="310">
        <f t="shared" si="8"/>
        <v>0</v>
      </c>
    </row>
    <row r="24" spans="1:17" ht="16.5" thickBot="1">
      <c r="A24" s="303">
        <v>6</v>
      </c>
      <c r="B24" s="295" t="s">
        <v>174</v>
      </c>
      <c r="C24" s="308">
        <v>2124684</v>
      </c>
      <c r="D24" s="304">
        <v>174104</v>
      </c>
      <c r="E24" s="306">
        <f aca="true" t="shared" si="9" ref="E24:E30">SUM(C24:D24)</f>
        <v>2298788</v>
      </c>
      <c r="F24" s="337"/>
      <c r="G24" s="304"/>
      <c r="H24" s="310">
        <f aca="true" t="shared" si="10" ref="H24:H30">SUM(F24:G24)</f>
        <v>0</v>
      </c>
      <c r="I24" s="308">
        <v>74670</v>
      </c>
      <c r="J24" s="304">
        <v>46300</v>
      </c>
      <c r="K24" s="310">
        <f aca="true" t="shared" si="11" ref="K24:K30">SUM(I24:J24)</f>
        <v>120970</v>
      </c>
      <c r="L24" s="308"/>
      <c r="M24" s="304"/>
      <c r="N24" s="310">
        <f aca="true" t="shared" si="12" ref="N24:N30">SUM(L24:M24)</f>
        <v>0</v>
      </c>
      <c r="O24" s="337">
        <v>1667</v>
      </c>
      <c r="P24" s="377">
        <v>222</v>
      </c>
      <c r="Q24" s="1111">
        <f aca="true" t="shared" si="13" ref="Q24:Q30">SUM(O24:P24)</f>
        <v>1889</v>
      </c>
    </row>
    <row r="25" spans="1:17" s="15" customFormat="1" ht="16.5" thickBot="1">
      <c r="A25" s="303">
        <v>7</v>
      </c>
      <c r="B25" s="295" t="s">
        <v>421</v>
      </c>
      <c r="C25" s="308">
        <v>262886</v>
      </c>
      <c r="D25" s="304">
        <v>39939</v>
      </c>
      <c r="E25" s="306">
        <f t="shared" si="9"/>
        <v>302825</v>
      </c>
      <c r="F25" s="337"/>
      <c r="G25" s="304"/>
      <c r="H25" s="320">
        <f t="shared" si="10"/>
        <v>0</v>
      </c>
      <c r="I25" s="337"/>
      <c r="J25" s="304"/>
      <c r="K25" s="310">
        <f t="shared" si="11"/>
        <v>0</v>
      </c>
      <c r="L25" s="320"/>
      <c r="M25" s="304"/>
      <c r="N25" s="310">
        <f t="shared" si="12"/>
        <v>0</v>
      </c>
      <c r="O25" s="308"/>
      <c r="P25" s="377"/>
      <c r="Q25" s="1111">
        <f t="shared" si="13"/>
        <v>0</v>
      </c>
    </row>
    <row r="26" spans="1:17" ht="15">
      <c r="A26" s="163" t="s">
        <v>98</v>
      </c>
      <c r="B26" s="156" t="s">
        <v>560</v>
      </c>
      <c r="C26" s="296"/>
      <c r="D26" s="224"/>
      <c r="E26" s="238">
        <f t="shared" si="9"/>
        <v>0</v>
      </c>
      <c r="F26" s="1069"/>
      <c r="G26" s="224"/>
      <c r="H26" s="227">
        <f t="shared" si="10"/>
        <v>0</v>
      </c>
      <c r="I26" s="1069"/>
      <c r="J26" s="224"/>
      <c r="K26" s="227">
        <f t="shared" si="11"/>
        <v>0</v>
      </c>
      <c r="L26" s="296"/>
      <c r="M26" s="224"/>
      <c r="N26" s="227">
        <f t="shared" si="12"/>
        <v>0</v>
      </c>
      <c r="O26" s="296"/>
      <c r="P26" s="380"/>
      <c r="Q26" s="1110">
        <f t="shared" si="13"/>
        <v>0</v>
      </c>
    </row>
    <row r="27" spans="1:17" ht="15">
      <c r="A27" s="163" t="s">
        <v>99</v>
      </c>
      <c r="B27" s="156" t="s">
        <v>558</v>
      </c>
      <c r="C27" s="296"/>
      <c r="D27" s="224"/>
      <c r="E27" s="238">
        <f t="shared" si="9"/>
        <v>0</v>
      </c>
      <c r="F27" s="1069"/>
      <c r="G27" s="224"/>
      <c r="H27" s="227">
        <f t="shared" si="10"/>
        <v>0</v>
      </c>
      <c r="I27" s="1069"/>
      <c r="J27" s="224"/>
      <c r="K27" s="227">
        <f t="shared" si="11"/>
        <v>0</v>
      </c>
      <c r="L27" s="296"/>
      <c r="M27" s="224"/>
      <c r="N27" s="227">
        <f t="shared" si="12"/>
        <v>0</v>
      </c>
      <c r="O27" s="296"/>
      <c r="P27" s="380"/>
      <c r="Q27" s="1110">
        <f t="shared" si="13"/>
        <v>0</v>
      </c>
    </row>
    <row r="28" spans="1:17" ht="15">
      <c r="A28" s="163" t="s">
        <v>100</v>
      </c>
      <c r="B28" s="162" t="s">
        <v>374</v>
      </c>
      <c r="C28" s="296"/>
      <c r="D28" s="224"/>
      <c r="E28" s="238">
        <f t="shared" si="9"/>
        <v>0</v>
      </c>
      <c r="F28" s="1069"/>
      <c r="G28" s="224"/>
      <c r="H28" s="227">
        <f t="shared" si="10"/>
        <v>0</v>
      </c>
      <c r="I28" s="1069"/>
      <c r="J28" s="224"/>
      <c r="K28" s="227">
        <f t="shared" si="11"/>
        <v>0</v>
      </c>
      <c r="L28" s="296"/>
      <c r="M28" s="224"/>
      <c r="N28" s="227">
        <f t="shared" si="12"/>
        <v>0</v>
      </c>
      <c r="O28" s="296"/>
      <c r="P28" s="380"/>
      <c r="Q28" s="1110">
        <f t="shared" si="13"/>
        <v>0</v>
      </c>
    </row>
    <row r="29" spans="1:17" ht="15">
      <c r="A29" s="163" t="s">
        <v>101</v>
      </c>
      <c r="B29" s="156" t="s">
        <v>559</v>
      </c>
      <c r="C29" s="296"/>
      <c r="D29" s="224"/>
      <c r="E29" s="238">
        <f t="shared" si="9"/>
        <v>0</v>
      </c>
      <c r="F29" s="1069"/>
      <c r="G29" s="224"/>
      <c r="H29" s="227">
        <f t="shared" si="10"/>
        <v>0</v>
      </c>
      <c r="I29" s="1069"/>
      <c r="J29" s="224"/>
      <c r="K29" s="227">
        <f t="shared" si="11"/>
        <v>0</v>
      </c>
      <c r="L29" s="296"/>
      <c r="M29" s="224"/>
      <c r="N29" s="227">
        <f t="shared" si="12"/>
        <v>0</v>
      </c>
      <c r="O29" s="296"/>
      <c r="P29" s="380"/>
      <c r="Q29" s="1110">
        <f t="shared" si="13"/>
        <v>0</v>
      </c>
    </row>
    <row r="30" spans="1:17" ht="15.75" thickBot="1">
      <c r="A30" s="325" t="s">
        <v>192</v>
      </c>
      <c r="B30" s="162" t="s">
        <v>375</v>
      </c>
      <c r="C30" s="319"/>
      <c r="D30" s="311"/>
      <c r="E30" s="312">
        <f t="shared" si="9"/>
        <v>0</v>
      </c>
      <c r="F30" s="1070"/>
      <c r="G30" s="311"/>
      <c r="H30" s="314">
        <f t="shared" si="10"/>
        <v>0</v>
      </c>
      <c r="I30" s="1070"/>
      <c r="J30" s="311"/>
      <c r="K30" s="314">
        <f t="shared" si="11"/>
        <v>0</v>
      </c>
      <c r="L30" s="319"/>
      <c r="M30" s="311"/>
      <c r="N30" s="314">
        <f t="shared" si="12"/>
        <v>0</v>
      </c>
      <c r="O30" s="319"/>
      <c r="P30" s="386"/>
      <c r="Q30" s="1112">
        <f t="shared" si="13"/>
        <v>0</v>
      </c>
    </row>
    <row r="31" spans="1:17" s="15" customFormat="1" ht="16.5" thickBot="1">
      <c r="A31" s="303">
        <v>8</v>
      </c>
      <c r="B31" s="295" t="s">
        <v>173</v>
      </c>
      <c r="C31" s="337">
        <f aca="true" t="shared" si="14" ref="C31:Q31">SUM(C26:C30)</f>
        <v>0</v>
      </c>
      <c r="D31" s="304">
        <f t="shared" si="14"/>
        <v>0</v>
      </c>
      <c r="E31" s="310">
        <f t="shared" si="14"/>
        <v>0</v>
      </c>
      <c r="F31" s="320">
        <f t="shared" si="14"/>
        <v>0</v>
      </c>
      <c r="G31" s="304">
        <f t="shared" si="14"/>
        <v>0</v>
      </c>
      <c r="H31" s="320">
        <f t="shared" si="14"/>
        <v>0</v>
      </c>
      <c r="I31" s="337">
        <f t="shared" si="14"/>
        <v>0</v>
      </c>
      <c r="J31" s="304">
        <f t="shared" si="14"/>
        <v>0</v>
      </c>
      <c r="K31" s="310">
        <f t="shared" si="14"/>
        <v>0</v>
      </c>
      <c r="L31" s="337">
        <f t="shared" si="14"/>
        <v>0</v>
      </c>
      <c r="M31" s="304">
        <f t="shared" si="14"/>
        <v>0</v>
      </c>
      <c r="N31" s="320">
        <f t="shared" si="14"/>
        <v>0</v>
      </c>
      <c r="O31" s="337">
        <f t="shared" si="14"/>
        <v>0</v>
      </c>
      <c r="P31" s="304">
        <f t="shared" si="14"/>
        <v>0</v>
      </c>
      <c r="Q31" s="310">
        <f t="shared" si="14"/>
        <v>0</v>
      </c>
    </row>
    <row r="32" spans="1:17" ht="16.5" thickBot="1">
      <c r="A32" s="303">
        <v>9</v>
      </c>
      <c r="B32" s="295" t="s">
        <v>179</v>
      </c>
      <c r="C32" s="308"/>
      <c r="D32" s="304"/>
      <c r="E32" s="306">
        <f>SUM(C32:D32)</f>
        <v>0</v>
      </c>
      <c r="F32" s="337"/>
      <c r="G32" s="304"/>
      <c r="H32" s="310">
        <f>SUM(F32:G32)</f>
        <v>0</v>
      </c>
      <c r="I32" s="308"/>
      <c r="J32" s="304"/>
      <c r="K32" s="310">
        <f>SUM(I32:J32)</f>
        <v>0</v>
      </c>
      <c r="L32" s="308"/>
      <c r="M32" s="304"/>
      <c r="N32" s="310">
        <f>SUM(L32:M32)</f>
        <v>0</v>
      </c>
      <c r="O32" s="1123"/>
      <c r="P32" s="377"/>
      <c r="Q32" s="1111">
        <f>SUM(O32:P32)</f>
        <v>0</v>
      </c>
    </row>
    <row r="33" spans="1:21" s="36" customFormat="1" ht="16.5" thickBot="1">
      <c r="A33" s="357">
        <v>10</v>
      </c>
      <c r="B33" s="907"/>
      <c r="C33" s="1085"/>
      <c r="D33" s="365"/>
      <c r="E33" s="366">
        <f>SUM(C33:D33)</f>
        <v>0</v>
      </c>
      <c r="F33" s="287"/>
      <c r="G33" s="359"/>
      <c r="H33" s="1101">
        <f>SUM(F33:G33)</f>
        <v>0</v>
      </c>
      <c r="I33" s="165"/>
      <c r="J33" s="359"/>
      <c r="K33" s="1101">
        <f>SUM(I33:J33)</f>
        <v>0</v>
      </c>
      <c r="L33" s="165"/>
      <c r="M33" s="359"/>
      <c r="N33" s="1101">
        <f>SUM(L33:M33)</f>
        <v>0</v>
      </c>
      <c r="O33" s="165"/>
      <c r="P33" s="359"/>
      <c r="Q33" s="1101">
        <f>SUM(O33:P33)</f>
        <v>0</v>
      </c>
      <c r="R33" s="34"/>
      <c r="S33" s="34"/>
      <c r="T33" s="34"/>
      <c r="U33" s="34"/>
    </row>
    <row r="34" spans="1:96" s="37" customFormat="1" ht="17.25" thickBot="1" thickTop="1">
      <c r="A34" s="333" t="s">
        <v>108</v>
      </c>
      <c r="B34" s="356" t="s">
        <v>180</v>
      </c>
      <c r="C34" s="355">
        <f aca="true" t="shared" si="15" ref="C34:Q34">C11+C12+C13+C23+C14+C31+C25+C24+C32+C33</f>
        <v>4099151</v>
      </c>
      <c r="D34" s="334">
        <f t="shared" si="15"/>
        <v>248024</v>
      </c>
      <c r="E34" s="353">
        <f t="shared" si="15"/>
        <v>4347175</v>
      </c>
      <c r="F34" s="355">
        <f t="shared" si="15"/>
        <v>22470</v>
      </c>
      <c r="G34" s="334">
        <f t="shared" si="15"/>
        <v>-14196</v>
      </c>
      <c r="H34" s="353">
        <f t="shared" si="15"/>
        <v>8274</v>
      </c>
      <c r="I34" s="355">
        <f t="shared" si="15"/>
        <v>85923</v>
      </c>
      <c r="J34" s="334">
        <f t="shared" si="15"/>
        <v>46300</v>
      </c>
      <c r="K34" s="353">
        <f t="shared" si="15"/>
        <v>132223</v>
      </c>
      <c r="L34" s="355">
        <f t="shared" si="15"/>
        <v>0</v>
      </c>
      <c r="M34" s="334">
        <f t="shared" si="15"/>
        <v>0</v>
      </c>
      <c r="N34" s="353">
        <f t="shared" si="15"/>
        <v>0</v>
      </c>
      <c r="O34" s="355">
        <f t="shared" si="15"/>
        <v>15333</v>
      </c>
      <c r="P34" s="334">
        <f t="shared" si="15"/>
        <v>0</v>
      </c>
      <c r="Q34" s="364">
        <f t="shared" si="15"/>
        <v>15333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</row>
    <row r="35" spans="1:96" ht="17.25" thickBot="1" thickTop="1">
      <c r="A35" s="151"/>
      <c r="B35" s="336" t="s">
        <v>131</v>
      </c>
      <c r="C35" s="1086"/>
      <c r="D35" s="363"/>
      <c r="E35" s="894"/>
      <c r="F35" s="862"/>
      <c r="G35" s="292"/>
      <c r="H35" s="1102"/>
      <c r="I35" s="909"/>
      <c r="J35" s="292"/>
      <c r="K35" s="1102"/>
      <c r="L35" s="909"/>
      <c r="M35" s="292"/>
      <c r="N35" s="1102"/>
      <c r="O35" s="1071"/>
      <c r="P35" s="292"/>
      <c r="Q35" s="1102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spans="1:17" s="730" customFormat="1" ht="15">
      <c r="A36" s="737" t="s">
        <v>98</v>
      </c>
      <c r="B36" s="738" t="s">
        <v>376</v>
      </c>
      <c r="C36" s="1079"/>
      <c r="D36" s="739"/>
      <c r="E36" s="744">
        <f aca="true" t="shared" si="16" ref="E36:E44">SUM(C36:D36)</f>
        <v>0</v>
      </c>
      <c r="F36" s="743"/>
      <c r="G36" s="739"/>
      <c r="H36" s="744">
        <f>SUM(F36:G36)</f>
        <v>0</v>
      </c>
      <c r="I36" s="1079"/>
      <c r="J36" s="739"/>
      <c r="K36" s="744">
        <f>SUM(I36:J36)</f>
        <v>0</v>
      </c>
      <c r="L36" s="1079"/>
      <c r="M36" s="739"/>
      <c r="N36" s="744">
        <f>SUM(L36:M36)</f>
        <v>0</v>
      </c>
      <c r="O36" s="1125"/>
      <c r="P36" s="742"/>
      <c r="Q36" s="1113">
        <f>SUM(O36:P36)</f>
        <v>0</v>
      </c>
    </row>
    <row r="37" spans="1:17" s="730" customFormat="1" ht="15">
      <c r="A37" s="160" t="s">
        <v>99</v>
      </c>
      <c r="B37" s="156" t="s">
        <v>235</v>
      </c>
      <c r="C37" s="880"/>
      <c r="D37" s="146"/>
      <c r="E37" s="169">
        <f t="shared" si="16"/>
        <v>0</v>
      </c>
      <c r="F37" s="859"/>
      <c r="G37" s="146"/>
      <c r="H37" s="169">
        <f>SUM(F37:G37)</f>
        <v>0</v>
      </c>
      <c r="I37" s="880"/>
      <c r="J37" s="146"/>
      <c r="K37" s="169">
        <f>SUM(I37:J37)</f>
        <v>0</v>
      </c>
      <c r="L37" s="880"/>
      <c r="M37" s="146"/>
      <c r="N37" s="169">
        <f>SUM(L37:M37)</f>
        <v>0</v>
      </c>
      <c r="O37" s="1120"/>
      <c r="P37" s="382"/>
      <c r="Q37" s="1114">
        <f>SUM(O37:P37)</f>
        <v>0</v>
      </c>
    </row>
    <row r="38" spans="1:17" s="730" customFormat="1" ht="15">
      <c r="A38" s="325" t="s">
        <v>100</v>
      </c>
      <c r="B38" s="149" t="s">
        <v>377</v>
      </c>
      <c r="C38" s="1070"/>
      <c r="D38" s="311"/>
      <c r="E38" s="314">
        <f t="shared" si="16"/>
        <v>0</v>
      </c>
      <c r="F38" s="164"/>
      <c r="G38" s="311"/>
      <c r="H38" s="314">
        <f>SUM(F38:G38)</f>
        <v>0</v>
      </c>
      <c r="I38" s="1070"/>
      <c r="J38" s="311"/>
      <c r="K38" s="314">
        <f>SUM(I38:J38)</f>
        <v>0</v>
      </c>
      <c r="L38" s="1070"/>
      <c r="M38" s="311"/>
      <c r="N38" s="314">
        <f>SUM(L38:M38)</f>
        <v>0</v>
      </c>
      <c r="O38" s="1124"/>
      <c r="P38" s="386"/>
      <c r="Q38" s="1112">
        <f>SUM(O38:P38)</f>
        <v>0</v>
      </c>
    </row>
    <row r="39" spans="1:17" s="730" customFormat="1" ht="15.75" thickBot="1">
      <c r="A39" s="161" t="s">
        <v>101</v>
      </c>
      <c r="B39" s="162" t="s">
        <v>381</v>
      </c>
      <c r="C39" s="881">
        <v>74882</v>
      </c>
      <c r="D39" s="158">
        <v>21366</v>
      </c>
      <c r="E39" s="237">
        <f t="shared" si="16"/>
        <v>96248</v>
      </c>
      <c r="F39" s="860">
        <v>15000</v>
      </c>
      <c r="G39" s="158">
        <v>-14196</v>
      </c>
      <c r="H39" s="237">
        <f>SUM(F39:G39)</f>
        <v>804</v>
      </c>
      <c r="I39" s="881"/>
      <c r="J39" s="158"/>
      <c r="K39" s="237">
        <f>SUM(I39:J39)</f>
        <v>0</v>
      </c>
      <c r="L39" s="881"/>
      <c r="M39" s="158"/>
      <c r="N39" s="237">
        <f>SUM(L39:M39)</f>
        <v>0</v>
      </c>
      <c r="O39" s="1122"/>
      <c r="P39" s="383"/>
      <c r="Q39" s="1115">
        <f>SUM(O39:P39)</f>
        <v>0</v>
      </c>
    </row>
    <row r="40" spans="1:17" s="15" customFormat="1" ht="16.5" thickBot="1">
      <c r="A40" s="303">
        <v>1</v>
      </c>
      <c r="B40" s="295" t="s">
        <v>177</v>
      </c>
      <c r="C40" s="337">
        <f aca="true" t="shared" si="17" ref="C40:Q40">SUM(C36:C39)</f>
        <v>74882</v>
      </c>
      <c r="D40" s="304">
        <f t="shared" si="17"/>
        <v>21366</v>
      </c>
      <c r="E40" s="310">
        <f t="shared" si="17"/>
        <v>96248</v>
      </c>
      <c r="F40" s="337">
        <f t="shared" si="17"/>
        <v>15000</v>
      </c>
      <c r="G40" s="304">
        <f t="shared" si="17"/>
        <v>-14196</v>
      </c>
      <c r="H40" s="310">
        <f t="shared" si="17"/>
        <v>804</v>
      </c>
      <c r="I40" s="337">
        <f t="shared" si="17"/>
        <v>0</v>
      </c>
      <c r="J40" s="304">
        <f t="shared" si="17"/>
        <v>0</v>
      </c>
      <c r="K40" s="310">
        <f t="shared" si="17"/>
        <v>0</v>
      </c>
      <c r="L40" s="337">
        <f t="shared" si="17"/>
        <v>0</v>
      </c>
      <c r="M40" s="304">
        <f t="shared" si="17"/>
        <v>0</v>
      </c>
      <c r="N40" s="310">
        <f t="shared" si="17"/>
        <v>0</v>
      </c>
      <c r="O40" s="337">
        <f t="shared" si="17"/>
        <v>0</v>
      </c>
      <c r="P40" s="304">
        <f t="shared" si="17"/>
        <v>0</v>
      </c>
      <c r="Q40" s="310">
        <f t="shared" si="17"/>
        <v>0</v>
      </c>
    </row>
    <row r="41" spans="1:17" ht="15">
      <c r="A41" s="163" t="s">
        <v>98</v>
      </c>
      <c r="B41" s="152" t="s">
        <v>403</v>
      </c>
      <c r="C41" s="1069"/>
      <c r="D41" s="224"/>
      <c r="E41" s="227">
        <f t="shared" si="16"/>
        <v>0</v>
      </c>
      <c r="F41" s="861"/>
      <c r="G41" s="224"/>
      <c r="H41" s="227">
        <f>SUM(F41:G41)</f>
        <v>0</v>
      </c>
      <c r="I41" s="1069"/>
      <c r="J41" s="224"/>
      <c r="K41" s="227">
        <f>SUM(I41:J41)</f>
        <v>0</v>
      </c>
      <c r="L41" s="1069"/>
      <c r="M41" s="224"/>
      <c r="N41" s="227">
        <f>SUM(L41:M41)</f>
        <v>0</v>
      </c>
      <c r="O41" s="1121"/>
      <c r="P41" s="380"/>
      <c r="Q41" s="1110">
        <f>SUM(O41:P41)</f>
        <v>0</v>
      </c>
    </row>
    <row r="42" spans="1:17" ht="15">
      <c r="A42" s="160" t="s">
        <v>99</v>
      </c>
      <c r="B42" s="156" t="s">
        <v>378</v>
      </c>
      <c r="C42" s="880"/>
      <c r="D42" s="146"/>
      <c r="E42" s="169">
        <f t="shared" si="16"/>
        <v>0</v>
      </c>
      <c r="F42" s="859"/>
      <c r="G42" s="146"/>
      <c r="H42" s="169">
        <f>SUM(F42:G42)</f>
        <v>0</v>
      </c>
      <c r="I42" s="880"/>
      <c r="J42" s="146"/>
      <c r="K42" s="169">
        <f>SUM(I42:J42)</f>
        <v>0</v>
      </c>
      <c r="L42" s="880"/>
      <c r="M42" s="146"/>
      <c r="N42" s="169">
        <f>SUM(L42:M42)</f>
        <v>0</v>
      </c>
      <c r="O42" s="1120"/>
      <c r="P42" s="382"/>
      <c r="Q42" s="1114">
        <f>SUM(O42:P42)</f>
        <v>0</v>
      </c>
    </row>
    <row r="43" spans="1:17" ht="15">
      <c r="A43" s="160" t="s">
        <v>100</v>
      </c>
      <c r="B43" s="156" t="s">
        <v>379</v>
      </c>
      <c r="C43" s="880"/>
      <c r="D43" s="146"/>
      <c r="E43" s="169">
        <f t="shared" si="16"/>
        <v>0</v>
      </c>
      <c r="F43" s="859"/>
      <c r="G43" s="146"/>
      <c r="H43" s="169">
        <f>SUM(F43:G43)</f>
        <v>0</v>
      </c>
      <c r="I43" s="880"/>
      <c r="J43" s="146"/>
      <c r="K43" s="169">
        <f>SUM(I43:J43)</f>
        <v>0</v>
      </c>
      <c r="L43" s="880"/>
      <c r="M43" s="146"/>
      <c r="N43" s="169">
        <f>SUM(L43:M43)</f>
        <v>0</v>
      </c>
      <c r="O43" s="1120"/>
      <c r="P43" s="382"/>
      <c r="Q43" s="1114">
        <f>SUM(O43:P43)</f>
        <v>0</v>
      </c>
    </row>
    <row r="44" spans="1:17" ht="15.75" thickBot="1">
      <c r="A44" s="161" t="s">
        <v>101</v>
      </c>
      <c r="B44" s="162" t="s">
        <v>175</v>
      </c>
      <c r="C44" s="881"/>
      <c r="D44" s="158"/>
      <c r="E44" s="237">
        <f t="shared" si="16"/>
        <v>0</v>
      </c>
      <c r="F44" s="860"/>
      <c r="G44" s="158"/>
      <c r="H44" s="237">
        <f>SUM(F44:G44)</f>
        <v>0</v>
      </c>
      <c r="I44" s="881"/>
      <c r="J44" s="158"/>
      <c r="K44" s="237">
        <f>SUM(I44:J44)</f>
        <v>0</v>
      </c>
      <c r="L44" s="881"/>
      <c r="M44" s="158"/>
      <c r="N44" s="237">
        <f>SUM(L44:M44)</f>
        <v>0</v>
      </c>
      <c r="O44" s="1122"/>
      <c r="P44" s="383"/>
      <c r="Q44" s="1115">
        <f>SUM(O44:P44)</f>
        <v>0</v>
      </c>
    </row>
    <row r="45" spans="1:17" s="15" customFormat="1" ht="16.5" thickBot="1">
      <c r="A45" s="303">
        <v>2</v>
      </c>
      <c r="B45" s="295" t="s">
        <v>176</v>
      </c>
      <c r="C45" s="337">
        <f>SUM(C41:C44)</f>
        <v>0</v>
      </c>
      <c r="D45" s="304">
        <f aca="true" t="shared" si="18" ref="D45:Q45">SUM(D41:D44)</f>
        <v>0</v>
      </c>
      <c r="E45" s="306">
        <f t="shared" si="18"/>
        <v>0</v>
      </c>
      <c r="F45" s="337">
        <f t="shared" si="18"/>
        <v>0</v>
      </c>
      <c r="G45" s="304">
        <f t="shared" si="18"/>
        <v>0</v>
      </c>
      <c r="H45" s="306">
        <f t="shared" si="18"/>
        <v>0</v>
      </c>
      <c r="I45" s="337">
        <f t="shared" si="18"/>
        <v>0</v>
      </c>
      <c r="J45" s="304">
        <f t="shared" si="18"/>
        <v>0</v>
      </c>
      <c r="K45" s="306">
        <f t="shared" si="18"/>
        <v>0</v>
      </c>
      <c r="L45" s="337">
        <f t="shared" si="18"/>
        <v>0</v>
      </c>
      <c r="M45" s="304">
        <f t="shared" si="18"/>
        <v>0</v>
      </c>
      <c r="N45" s="320">
        <f t="shared" si="18"/>
        <v>0</v>
      </c>
      <c r="O45" s="337">
        <f t="shared" si="18"/>
        <v>0</v>
      </c>
      <c r="P45" s="304">
        <f t="shared" si="18"/>
        <v>0</v>
      </c>
      <c r="Q45" s="310">
        <f t="shared" si="18"/>
        <v>0</v>
      </c>
    </row>
    <row r="46" spans="1:17" s="15" customFormat="1" ht="16.5" thickBot="1">
      <c r="A46" s="303">
        <v>3</v>
      </c>
      <c r="B46" s="295" t="s">
        <v>254</v>
      </c>
      <c r="C46" s="337"/>
      <c r="D46" s="304">
        <v>79</v>
      </c>
      <c r="E46" s="306">
        <f>SUM(C46:D46)</f>
        <v>79</v>
      </c>
      <c r="F46" s="337"/>
      <c r="G46" s="304"/>
      <c r="H46" s="306">
        <f>SUM(F46:G46)</f>
        <v>0</v>
      </c>
      <c r="I46" s="337">
        <v>6483</v>
      </c>
      <c r="J46" s="304"/>
      <c r="K46" s="306">
        <f>SUM(I46:J46)</f>
        <v>6483</v>
      </c>
      <c r="L46" s="337"/>
      <c r="M46" s="304"/>
      <c r="N46" s="320">
        <f>SUM(L46:M46)</f>
        <v>0</v>
      </c>
      <c r="O46" s="337"/>
      <c r="P46" s="304"/>
      <c r="Q46" s="310">
        <f>SUM(O46:P46)</f>
        <v>0</v>
      </c>
    </row>
    <row r="47" spans="1:17" ht="16.5" thickBot="1">
      <c r="A47" s="303">
        <v>4</v>
      </c>
      <c r="B47" s="295" t="s">
        <v>275</v>
      </c>
      <c r="C47" s="337"/>
      <c r="D47" s="304"/>
      <c r="E47" s="306">
        <f>SUM(C47:D47)</f>
        <v>0</v>
      </c>
      <c r="F47" s="337"/>
      <c r="G47" s="304"/>
      <c r="H47" s="306">
        <f>SUM(F47:G47)</f>
        <v>0</v>
      </c>
      <c r="I47" s="337"/>
      <c r="J47" s="304"/>
      <c r="K47" s="306">
        <f>SUM(I47:J47)</f>
        <v>0</v>
      </c>
      <c r="L47" s="337"/>
      <c r="M47" s="304"/>
      <c r="N47" s="320">
        <f>SUM(L47:M47)</f>
        <v>0</v>
      </c>
      <c r="O47" s="337"/>
      <c r="P47" s="304"/>
      <c r="Q47" s="310">
        <f>SUM(O47:P47)</f>
        <v>0</v>
      </c>
    </row>
    <row r="48" spans="1:17" s="730" customFormat="1" ht="15">
      <c r="A48" s="163" t="s">
        <v>98</v>
      </c>
      <c r="B48" s="149" t="s">
        <v>281</v>
      </c>
      <c r="C48" s="1069"/>
      <c r="D48" s="224"/>
      <c r="E48" s="227">
        <f>SUM(C48:D48)</f>
        <v>0</v>
      </c>
      <c r="F48" s="861"/>
      <c r="G48" s="224"/>
      <c r="H48" s="227">
        <f>SUM(F48:G48)</f>
        <v>0</v>
      </c>
      <c r="I48" s="1069"/>
      <c r="J48" s="224"/>
      <c r="K48" s="227">
        <f>SUM(I48:J48)</f>
        <v>0</v>
      </c>
      <c r="L48" s="1069"/>
      <c r="M48" s="224"/>
      <c r="N48" s="227">
        <f>SUM(L48:M48)</f>
        <v>0</v>
      </c>
      <c r="O48" s="1121"/>
      <c r="P48" s="380"/>
      <c r="Q48" s="1110">
        <f>SUM(O48:P48)</f>
        <v>0</v>
      </c>
    </row>
    <row r="49" spans="1:17" ht="15">
      <c r="A49" s="161" t="s">
        <v>99</v>
      </c>
      <c r="B49" s="324" t="s">
        <v>380</v>
      </c>
      <c r="C49" s="880"/>
      <c r="D49" s="146"/>
      <c r="E49" s="169">
        <f>SUM(C49:D49)</f>
        <v>0</v>
      </c>
      <c r="F49" s="859"/>
      <c r="G49" s="146"/>
      <c r="H49" s="169">
        <f>SUM(F49:G49)</f>
        <v>0</v>
      </c>
      <c r="I49" s="880"/>
      <c r="J49" s="146"/>
      <c r="K49" s="169">
        <f>SUM(I49:J49)</f>
        <v>0</v>
      </c>
      <c r="L49" s="880"/>
      <c r="M49" s="146"/>
      <c r="N49" s="169">
        <f>SUM(L49:M49)</f>
        <v>0</v>
      </c>
      <c r="O49" s="1120"/>
      <c r="P49" s="382"/>
      <c r="Q49" s="1114">
        <f>SUM(O49:P49)</f>
        <v>0</v>
      </c>
    </row>
    <row r="50" spans="1:17" ht="15.75" thickBot="1">
      <c r="A50" s="161" t="s">
        <v>100</v>
      </c>
      <c r="B50" s="324" t="s">
        <v>413</v>
      </c>
      <c r="C50" s="880">
        <v>327343</v>
      </c>
      <c r="D50" s="146">
        <v>109134</v>
      </c>
      <c r="E50" s="169">
        <f>SUM(C50:D50)</f>
        <v>436477</v>
      </c>
      <c r="F50" s="859"/>
      <c r="G50" s="146"/>
      <c r="H50" s="169">
        <f>SUM(F50:G50)</f>
        <v>0</v>
      </c>
      <c r="I50" s="880"/>
      <c r="J50" s="146"/>
      <c r="K50" s="169">
        <f>SUM(I50:J50)</f>
        <v>0</v>
      </c>
      <c r="L50" s="880"/>
      <c r="M50" s="146"/>
      <c r="N50" s="169">
        <f>SUM(L50:M50)</f>
        <v>0</v>
      </c>
      <c r="O50" s="1120"/>
      <c r="P50" s="382"/>
      <c r="Q50" s="1114">
        <f>SUM(O50:P50)</f>
        <v>0</v>
      </c>
    </row>
    <row r="51" spans="1:17" s="15" customFormat="1" ht="16.5" thickBot="1">
      <c r="A51" s="303">
        <v>5</v>
      </c>
      <c r="B51" s="295" t="s">
        <v>178</v>
      </c>
      <c r="C51" s="337">
        <f>SUM(C48:C50)</f>
        <v>327343</v>
      </c>
      <c r="D51" s="304">
        <f>SUM(D48:D50)</f>
        <v>109134</v>
      </c>
      <c r="E51" s="306">
        <f aca="true" t="shared" si="19" ref="E51:Q51">SUM(E48:E50)</f>
        <v>436477</v>
      </c>
      <c r="F51" s="337">
        <f t="shared" si="19"/>
        <v>0</v>
      </c>
      <c r="G51" s="304">
        <f t="shared" si="19"/>
        <v>0</v>
      </c>
      <c r="H51" s="306">
        <f t="shared" si="19"/>
        <v>0</v>
      </c>
      <c r="I51" s="337">
        <f t="shared" si="19"/>
        <v>0</v>
      </c>
      <c r="J51" s="304">
        <f t="shared" si="19"/>
        <v>0</v>
      </c>
      <c r="K51" s="306">
        <f t="shared" si="19"/>
        <v>0</v>
      </c>
      <c r="L51" s="337">
        <f t="shared" si="19"/>
        <v>0</v>
      </c>
      <c r="M51" s="304">
        <f t="shared" si="19"/>
        <v>0</v>
      </c>
      <c r="N51" s="306">
        <f t="shared" si="19"/>
        <v>0</v>
      </c>
      <c r="O51" s="337">
        <f t="shared" si="19"/>
        <v>0</v>
      </c>
      <c r="P51" s="304">
        <f t="shared" si="19"/>
        <v>0</v>
      </c>
      <c r="Q51" s="310">
        <f t="shared" si="19"/>
        <v>0</v>
      </c>
    </row>
    <row r="52" spans="1:17" s="15" customFormat="1" ht="16.5" thickBot="1">
      <c r="A52" s="733">
        <v>6</v>
      </c>
      <c r="B52" s="734" t="s">
        <v>285</v>
      </c>
      <c r="C52" s="1072"/>
      <c r="D52" s="329">
        <v>1462</v>
      </c>
      <c r="E52" s="322">
        <f>SUM(C52:D52)</f>
        <v>1462</v>
      </c>
      <c r="F52" s="323"/>
      <c r="G52" s="329"/>
      <c r="H52" s="322">
        <f>SUM(F52:G52)</f>
        <v>0</v>
      </c>
      <c r="I52" s="1078">
        <v>13794</v>
      </c>
      <c r="J52" s="329">
        <v>15803</v>
      </c>
      <c r="K52" s="322">
        <f>SUM(I52:J52)</f>
        <v>29597</v>
      </c>
      <c r="L52" s="1078"/>
      <c r="M52" s="329"/>
      <c r="N52" s="322">
        <f>SUM(L52:M52)</f>
        <v>0</v>
      </c>
      <c r="O52" s="1126"/>
      <c r="P52" s="727"/>
      <c r="Q52" s="1116">
        <f>SUM(O52:P52)</f>
        <v>0</v>
      </c>
    </row>
    <row r="53" spans="1:17" ht="15">
      <c r="A53" s="144" t="s">
        <v>98</v>
      </c>
      <c r="B53" s="145" t="s">
        <v>382</v>
      </c>
      <c r="C53" s="1073"/>
      <c r="D53" s="147"/>
      <c r="E53" s="203">
        <f>SUM(C53:D53)</f>
        <v>0</v>
      </c>
      <c r="F53" s="863"/>
      <c r="G53" s="147"/>
      <c r="H53" s="203">
        <f>SUM(F53:G53)</f>
        <v>0</v>
      </c>
      <c r="I53" s="1073"/>
      <c r="J53" s="147"/>
      <c r="K53" s="203">
        <f>SUM(I53:J53)</f>
        <v>0</v>
      </c>
      <c r="L53" s="1073"/>
      <c r="M53" s="147"/>
      <c r="N53" s="203">
        <f>SUM(L53:M53)</f>
        <v>0</v>
      </c>
      <c r="O53" s="1127"/>
      <c r="P53" s="391"/>
      <c r="Q53" s="1117">
        <f>SUM(O53:P53)</f>
        <v>0</v>
      </c>
    </row>
    <row r="54" spans="1:17" ht="15.75" thickBot="1">
      <c r="A54" s="325" t="s">
        <v>99</v>
      </c>
      <c r="B54" s="149" t="s">
        <v>383</v>
      </c>
      <c r="C54" s="1070"/>
      <c r="D54" s="311"/>
      <c r="E54" s="314">
        <f>SUM(C54:D54)</f>
        <v>0</v>
      </c>
      <c r="F54" s="164"/>
      <c r="G54" s="311"/>
      <c r="H54" s="314">
        <f>SUM(F54:G54)</f>
        <v>0</v>
      </c>
      <c r="I54" s="1070"/>
      <c r="J54" s="311"/>
      <c r="K54" s="314">
        <f>SUM(I54:J54)</f>
        <v>0</v>
      </c>
      <c r="L54" s="1070"/>
      <c r="M54" s="311"/>
      <c r="N54" s="314">
        <f>SUM(L54:M54)</f>
        <v>0</v>
      </c>
      <c r="O54" s="1124"/>
      <c r="P54" s="386"/>
      <c r="Q54" s="1112">
        <f>SUM(O54:P54)</f>
        <v>0</v>
      </c>
    </row>
    <row r="55" spans="1:17" s="15" customFormat="1" ht="17.25" customHeight="1" thickBot="1">
      <c r="A55" s="303">
        <v>7</v>
      </c>
      <c r="B55" s="295" t="s">
        <v>181</v>
      </c>
      <c r="C55" s="337">
        <f>SUM(C53:C54)</f>
        <v>0</v>
      </c>
      <c r="D55" s="304">
        <f aca="true" t="shared" si="20" ref="D55:Q55">SUM(D53:D54)</f>
        <v>0</v>
      </c>
      <c r="E55" s="306">
        <f t="shared" si="20"/>
        <v>0</v>
      </c>
      <c r="F55" s="337">
        <f t="shared" si="20"/>
        <v>0</v>
      </c>
      <c r="G55" s="304">
        <f t="shared" si="20"/>
        <v>0</v>
      </c>
      <c r="H55" s="306">
        <f t="shared" si="20"/>
        <v>0</v>
      </c>
      <c r="I55" s="337">
        <f t="shared" si="20"/>
        <v>0</v>
      </c>
      <c r="J55" s="304">
        <f t="shared" si="20"/>
        <v>0</v>
      </c>
      <c r="K55" s="306">
        <f t="shared" si="20"/>
        <v>0</v>
      </c>
      <c r="L55" s="337">
        <f t="shared" si="20"/>
        <v>0</v>
      </c>
      <c r="M55" s="304">
        <f t="shared" si="20"/>
        <v>0</v>
      </c>
      <c r="N55" s="306">
        <f t="shared" si="20"/>
        <v>0</v>
      </c>
      <c r="O55" s="1080">
        <f t="shared" si="20"/>
        <v>0</v>
      </c>
      <c r="P55" s="1082">
        <f t="shared" si="20"/>
        <v>0</v>
      </c>
      <c r="Q55" s="1084">
        <f t="shared" si="20"/>
        <v>0</v>
      </c>
    </row>
    <row r="56" spans="1:17" s="66" customFormat="1" ht="19.5" customHeight="1" thickBot="1">
      <c r="A56" s="690">
        <v>8</v>
      </c>
      <c r="B56" s="691" t="s">
        <v>46</v>
      </c>
      <c r="C56" s="1105">
        <f>C34-C40-C45-C46-C47-C51-C52-C55-C57-C58-C59</f>
        <v>3696926</v>
      </c>
      <c r="D56" s="1106">
        <f>D34-D40-D45-D46-D47-D51-D52-D55-D57-D58-D59</f>
        <v>115983</v>
      </c>
      <c r="E56" s="1103">
        <f aca="true" t="shared" si="21" ref="E56:Q56">E34-E40-E45-E46-E47-E51-E52-E55-E57-E58-E59</f>
        <v>3812909</v>
      </c>
      <c r="F56" s="1105">
        <f t="shared" si="21"/>
        <v>7470</v>
      </c>
      <c r="G56" s="1106">
        <f t="shared" si="21"/>
        <v>0</v>
      </c>
      <c r="H56" s="1103">
        <f t="shared" si="21"/>
        <v>7470</v>
      </c>
      <c r="I56" s="1105">
        <f t="shared" si="21"/>
        <v>65646</v>
      </c>
      <c r="J56" s="1106">
        <f t="shared" si="21"/>
        <v>30497</v>
      </c>
      <c r="K56" s="1103">
        <f t="shared" si="21"/>
        <v>96143</v>
      </c>
      <c r="L56" s="1105">
        <f t="shared" si="21"/>
        <v>0</v>
      </c>
      <c r="M56" s="1106">
        <f t="shared" si="21"/>
        <v>0</v>
      </c>
      <c r="N56" s="1103">
        <f t="shared" si="21"/>
        <v>0</v>
      </c>
      <c r="O56" s="1128">
        <f t="shared" si="21"/>
        <v>15333</v>
      </c>
      <c r="P56" s="1130">
        <f t="shared" si="21"/>
        <v>0</v>
      </c>
      <c r="Q56" s="1118">
        <f t="shared" si="21"/>
        <v>15333</v>
      </c>
    </row>
    <row r="57" spans="1:17" s="15" customFormat="1" ht="15.75">
      <c r="A57" s="326" t="s">
        <v>385</v>
      </c>
      <c r="B57" s="327" t="s">
        <v>184</v>
      </c>
      <c r="C57" s="1075"/>
      <c r="D57" s="317"/>
      <c r="E57" s="1104">
        <f>SUM(C57:D57)</f>
        <v>0</v>
      </c>
      <c r="F57" s="864"/>
      <c r="G57" s="317"/>
      <c r="H57" s="1104">
        <f>SUM(F57:G57)</f>
        <v>0</v>
      </c>
      <c r="I57" s="1075"/>
      <c r="J57" s="317"/>
      <c r="K57" s="1104">
        <f>SUM(I57:J57)</f>
        <v>0</v>
      </c>
      <c r="L57" s="1075"/>
      <c r="M57" s="317"/>
      <c r="N57" s="1104">
        <f>SUM(L57:M57)</f>
        <v>0</v>
      </c>
      <c r="O57" s="1129"/>
      <c r="P57" s="394"/>
      <c r="Q57" s="1119">
        <f>SUM(O57:P57)</f>
        <v>0</v>
      </c>
    </row>
    <row r="58" spans="1:17" s="15" customFormat="1" ht="15.75">
      <c r="A58" s="326" t="s">
        <v>183</v>
      </c>
      <c r="B58" s="327" t="s">
        <v>384</v>
      </c>
      <c r="C58" s="316"/>
      <c r="D58" s="317"/>
      <c r="E58" s="392">
        <f>SUM(C58:D58)</f>
        <v>0</v>
      </c>
      <c r="F58" s="321"/>
      <c r="G58" s="317"/>
      <c r="H58" s="392">
        <f>SUM(F58:G58)</f>
        <v>0</v>
      </c>
      <c r="I58" s="1075"/>
      <c r="J58" s="317"/>
      <c r="K58" s="1104">
        <f>SUM(I58:J58)</f>
        <v>0</v>
      </c>
      <c r="L58" s="1075"/>
      <c r="M58" s="317"/>
      <c r="N58" s="1104">
        <f>SUM(L58:M58)</f>
        <v>0</v>
      </c>
      <c r="O58" s="1129"/>
      <c r="P58" s="394"/>
      <c r="Q58" s="1119">
        <f>SUM(O58:P58)</f>
        <v>0</v>
      </c>
    </row>
    <row r="59" spans="1:17" s="15" customFormat="1" ht="16.5" thickBot="1">
      <c r="A59" s="341">
        <v>10</v>
      </c>
      <c r="B59" s="342"/>
      <c r="C59" s="343"/>
      <c r="D59" s="344"/>
      <c r="E59" s="396">
        <f>SUM(C59:D59)</f>
        <v>0</v>
      </c>
      <c r="F59" s="346"/>
      <c r="G59" s="344"/>
      <c r="H59" s="397">
        <f>SUM(F59:G59)</f>
        <v>0</v>
      </c>
      <c r="I59" s="343"/>
      <c r="J59" s="344"/>
      <c r="K59" s="397">
        <f>SUM(I59:J59)</f>
        <v>0</v>
      </c>
      <c r="L59" s="343"/>
      <c r="M59" s="344"/>
      <c r="N59" s="397">
        <f>SUM(L59:M59)</f>
        <v>0</v>
      </c>
      <c r="O59" s="398"/>
      <c r="P59" s="399"/>
      <c r="Q59" s="400">
        <f>SUM(O59:P59)</f>
        <v>0</v>
      </c>
    </row>
    <row r="60" spans="1:17" s="34" customFormat="1" ht="17.25" thickBot="1" thickTop="1">
      <c r="A60" s="333" t="s">
        <v>109</v>
      </c>
      <c r="B60" s="335" t="s">
        <v>182</v>
      </c>
      <c r="C60" s="747">
        <f>C40+C45+C46+C47+C51+C52+C55+C56+C57+C58+C59</f>
        <v>4099151</v>
      </c>
      <c r="D60" s="748">
        <f aca="true" t="shared" si="22" ref="D60:Q60">D40+D45+D46+D47+D51+D52+D55+D56+D57+D58+D59</f>
        <v>248024</v>
      </c>
      <c r="E60" s="746">
        <f t="shared" si="22"/>
        <v>4347175</v>
      </c>
      <c r="F60" s="354">
        <f t="shared" si="22"/>
        <v>22470</v>
      </c>
      <c r="G60" s="334">
        <f t="shared" si="22"/>
        <v>-14196</v>
      </c>
      <c r="H60" s="746">
        <f t="shared" si="22"/>
        <v>8274</v>
      </c>
      <c r="I60" s="747">
        <f t="shared" si="22"/>
        <v>85923</v>
      </c>
      <c r="J60" s="748">
        <f t="shared" si="22"/>
        <v>46300</v>
      </c>
      <c r="K60" s="746">
        <f t="shared" si="22"/>
        <v>132223</v>
      </c>
      <c r="L60" s="354">
        <f t="shared" si="22"/>
        <v>0</v>
      </c>
      <c r="M60" s="334">
        <f t="shared" si="22"/>
        <v>0</v>
      </c>
      <c r="N60" s="746">
        <f t="shared" si="22"/>
        <v>0</v>
      </c>
      <c r="O60" s="354">
        <f t="shared" si="22"/>
        <v>15333</v>
      </c>
      <c r="P60" s="334">
        <f t="shared" si="22"/>
        <v>0</v>
      </c>
      <c r="Q60" s="364">
        <f t="shared" si="22"/>
        <v>15333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1"/>
      <c r="P61" s="401"/>
      <c r="Q61" s="401"/>
    </row>
    <row r="62" spans="1:17" ht="16.5" thickBot="1" thickTop="1">
      <c r="A62" s="174"/>
      <c r="B62" s="175" t="s">
        <v>593</v>
      </c>
      <c r="C62" s="204">
        <v>0</v>
      </c>
      <c r="D62" s="205"/>
      <c r="E62" s="911">
        <v>0</v>
      </c>
      <c r="F62" s="912"/>
      <c r="G62" s="402"/>
      <c r="H62" s="403">
        <f>SUM(F62:G62)</f>
        <v>0</v>
      </c>
      <c r="I62" s="912"/>
      <c r="J62" s="402"/>
      <c r="K62" s="403">
        <f>SUM(I62:J62)</f>
        <v>0</v>
      </c>
      <c r="L62" s="204"/>
      <c r="M62" s="402"/>
      <c r="N62" s="403">
        <f>SUM(L62:M62)</f>
        <v>0</v>
      </c>
      <c r="O62" s="405"/>
      <c r="P62" s="913"/>
      <c r="Q62" s="407">
        <f>SUM(O62:P62)</f>
        <v>0</v>
      </c>
    </row>
    <row r="63" spans="1:17" ht="16.5" thickBot="1" thickTop="1">
      <c r="A63" s="174"/>
      <c r="B63" s="175" t="s">
        <v>594</v>
      </c>
      <c r="C63" s="204"/>
      <c r="D63" s="205"/>
      <c r="E63" s="911">
        <v>0</v>
      </c>
      <c r="F63" s="912">
        <v>10</v>
      </c>
      <c r="G63" s="402"/>
      <c r="H63" s="403">
        <f>SUM(F63:G63)</f>
        <v>10</v>
      </c>
      <c r="I63" s="912"/>
      <c r="J63" s="402"/>
      <c r="K63" s="403">
        <f>SUM(I63:J63)</f>
        <v>0</v>
      </c>
      <c r="L63" s="204"/>
      <c r="M63" s="402"/>
      <c r="N63" s="403">
        <f>SUM(L63:M63)</f>
        <v>0</v>
      </c>
      <c r="O63" s="405"/>
      <c r="P63" s="913"/>
      <c r="Q63" s="407">
        <f>SUM(O63:P63)</f>
        <v>0</v>
      </c>
    </row>
    <row r="64" ht="16.5" thickTop="1">
      <c r="A64" s="408"/>
    </row>
    <row r="65" ht="15.75">
      <c r="A65" s="408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2021-02-22T08:22:10Z</cp:lastPrinted>
  <dcterms:created xsi:type="dcterms:W3CDTF">2001-11-27T10:09:29Z</dcterms:created>
  <dcterms:modified xsi:type="dcterms:W3CDTF">2021-02-23T09:55:15Z</dcterms:modified>
  <cp:category/>
  <cp:version/>
  <cp:contentType/>
  <cp:contentStatus/>
</cp:coreProperties>
</file>