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65266" windowWidth="15480" windowHeight="9060" tabRatio="903" firstSheet="1" activeTab="1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 melléklet" sheetId="6" r:id="rId6"/>
    <sheet name="6. melléklet" sheetId="7" r:id="rId7"/>
  </sheets>
  <definedNames>
    <definedName name="_xlnm.Print_Titles" localSheetId="2">'2. melléklet'!$2:$5</definedName>
    <definedName name="_xlnm.Print_Titles" localSheetId="3">'3. melléklet '!$B:$B</definedName>
    <definedName name="_xlnm.Print_Titles" localSheetId="5">'5. melléklet'!$4:$5</definedName>
    <definedName name="_xlnm.Print_Area" localSheetId="3">'3. melléklet '!$A$1:$AJ$54</definedName>
    <definedName name="_xlnm.Print_Area" localSheetId="5">'5. melléklet'!$A$1:$E$112</definedName>
  </definedNames>
  <calcPr calcMode="manual" fullCalcOnLoad="1"/>
</workbook>
</file>

<file path=xl/sharedStrings.xml><?xml version="1.0" encoding="utf-8"?>
<sst xmlns="http://schemas.openxmlformats.org/spreadsheetml/2006/main" count="547" uniqueCount="304">
  <si>
    <t>Jogcím</t>
  </si>
  <si>
    <t>I.</t>
  </si>
  <si>
    <t>II.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</si>
  <si>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</si>
  <si>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</si>
  <si>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</si>
  <si>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</si>
  <si>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</si>
  <si>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</si>
  <si>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</si>
  <si>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</si>
  <si>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</si>
  <si>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</si>
  <si>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</si>
  <si>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</si>
  <si>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</si>
  <si>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</si>
  <si>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</si>
  <si>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</si>
  <si>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</si>
  <si>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</si>
  <si>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</si>
  <si>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</si>
  <si>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</si>
  <si>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</si>
  <si>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</si>
  <si>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</si>
  <si>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</si>
  <si>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</si>
  <si>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</si>
  <si>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</si>
  <si>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</si>
  <si>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</si>
  <si>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</si>
  <si>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</si>
  <si>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</si>
  <si>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</si>
  <si>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</si>
  <si>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</si>
  <si>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</si>
  <si>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</si>
  <si>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</si>
  <si>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</si>
  <si>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</si>
  <si>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</si>
  <si>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</si>
  <si>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</si>
  <si>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</si>
  <si>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</si>
  <si>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</si>
  <si>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</si>
  <si>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</si>
  <si>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</si>
  <si>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9.</t>
  </si>
  <si>
    <t>10.</t>
  </si>
  <si>
    <t>Újvárosi Óvoda fejlesztési hozzájárulás</t>
  </si>
  <si>
    <t>Városrehabilitációs kölcsön</t>
  </si>
  <si>
    <t>Szociális Gondozási Központ fejlesztési hozzájárulás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</si>
  <si>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</si>
  <si>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</si>
  <si>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</si>
  <si>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</si>
  <si>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</si>
  <si>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</si>
  <si>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</si>
  <si>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</si>
  <si>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</si>
  <si>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</si>
  <si>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</si>
  <si>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</si>
  <si>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</si>
  <si>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</si>
  <si>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</si>
  <si>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</si>
  <si>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</si>
  <si>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</si>
  <si>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Vagyonhasznosító bevétele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</si>
  <si>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</si>
  <si>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</si>
  <si>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</si>
  <si>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</si>
  <si>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Vízi-közmű hálózaton végzett felújítási munkák</t>
  </si>
  <si>
    <t>Kártalanítás 54/2014. (III.27.) KT határozat</t>
  </si>
  <si>
    <t>Vasivíz Zrt-től átvett vagyon értékeltetése</t>
  </si>
  <si>
    <t>Kőszegfalvi lakóparkhoz vezető út kisajátítása</t>
  </si>
  <si>
    <t>Érdekeltségnövelő pályázat saját erő (Jurisics-vár Műv. Központ és Várszínház)</t>
  </si>
  <si>
    <t>Kisértékű tárgyi eszköz beszerzések (Kőszegi Közös Önkormányzati Hivatal)</t>
  </si>
  <si>
    <t>Vonal alatti tételek (nem kerültek beépítésre)</t>
  </si>
  <si>
    <t>Bérlakás értékesítési bevétel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</si>
  <si>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</si>
  <si>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</si>
  <si>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</si>
  <si>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</si>
  <si>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</si>
  <si>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</si>
  <si>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</si>
  <si>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</si>
  <si>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</si>
  <si>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</si>
  <si>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</si>
  <si>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</si>
  <si>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</si>
  <si>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</si>
  <si>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</si>
  <si>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</si>
  <si>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</si>
  <si>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</si>
  <si>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</si>
  <si>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</si>
  <si>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</si>
  <si>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</si>
  <si>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</si>
  <si>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</si>
  <si>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</si>
  <si>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</si>
  <si>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</si>
  <si>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</si>
  <si>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</si>
  <si>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</si>
  <si>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</si>
  <si>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</si>
  <si>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</si>
  <si>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</si>
  <si>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</si>
  <si>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</si>
  <si>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</si>
  <si>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</si>
  <si>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</si>
  <si>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</si>
  <si>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</si>
  <si>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</si>
  <si>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</si>
  <si>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</si>
  <si>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</si>
  <si>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</si>
  <si>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</si>
  <si>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</si>
  <si>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</si>
  <si>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</si>
  <si>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</si>
  <si>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</si>
  <si>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</si>
  <si>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</si>
  <si>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KIMUTATÁS</t>
  </si>
  <si>
    <t xml:space="preserve">I.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</si>
  <si>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</si>
  <si>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</si>
  <si>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</si>
  <si>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</si>
  <si>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</si>
  <si>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</si>
  <si>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</si>
  <si>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 xml:space="preserve"> </t>
  </si>
  <si>
    <t>ÁROP II. esélyegyenlőségi pályázat</t>
  </si>
  <si>
    <t>Erasmus+ pályázat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</si>
  <si>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</si>
  <si>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</si>
  <si>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</si>
  <si>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</si>
  <si>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</si>
  <si>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2016. évi felhalmozási célú bevételek </t>
  </si>
  <si>
    <t>2016. évi felhalmozási  kiadások (E Ft)</t>
  </si>
  <si>
    <t>Központ Óvoda felújítására kapott támogatás maradványa</t>
  </si>
  <si>
    <t>Vis maior I. pályázat támogatása</t>
  </si>
  <si>
    <t>Vis maior II. pályázat támogatása</t>
  </si>
  <si>
    <t>2006/2015. (XII.29.) Korm. hat. kapott támogatása</t>
  </si>
  <si>
    <t>Balog iskola szennyvízelvezető rendszer felújítása (15 000 E Ft támogatásból</t>
  </si>
  <si>
    <t>Vis maior I. káresemény helyreállítási munkái</t>
  </si>
  <si>
    <t>Vis maior II. káresemény helyreállítási munkái</t>
  </si>
  <si>
    <t xml:space="preserve">Jurisics tér 5. csőtőrés miatti javítsi munkálatok </t>
  </si>
  <si>
    <t xml:space="preserve">Kálvária utca felújítása </t>
  </si>
  <si>
    <t>Kálvári u. felújításához befizetett pénzösszeg</t>
  </si>
  <si>
    <t>Tekepálya feletti lapostető szigetelése és fedése</t>
  </si>
  <si>
    <t>Kőszegfalvi Óvodában kémény béléstest és kazán cseréje</t>
  </si>
  <si>
    <t>Pénztárgép beszerzése (Jurisics-vár Műv. Központ és Várszínház)</t>
  </si>
  <si>
    <t>Temető utcai ravatalozóban penészedés megszüntetése</t>
  </si>
  <si>
    <t xml:space="preserve">ÖBB tulajdonában lévő volt vasúti pályatest megvásárlása </t>
  </si>
  <si>
    <t xml:space="preserve"> Rendezvényeken áramvételezési hely kiépítése a Fő téren</t>
  </si>
  <si>
    <t>Térfigyelő kamera kiépítése a Liszt F. u. - Munkácsy u. csomópontban saját erő ( csak lakossági hozzájárulás esetén 500 E Ft</t>
  </si>
  <si>
    <t>Gépkocsi vásárlás</t>
  </si>
  <si>
    <t>Meskó u. 1. szám alatti ingatlan építéstörténeti dokumentáció elkészítése</t>
  </si>
  <si>
    <t>Rendezési terv módosításának tervezése</t>
  </si>
  <si>
    <t>Pogányi u. folytatása tanulmányterv</t>
  </si>
  <si>
    <t>2199 hrsz-ú ingatlan (Kratochwill-ház hátsó része) megvásárlása</t>
  </si>
  <si>
    <t>Járművásárlás Városüz. Kft-nek rézsűvágó adapter</t>
  </si>
  <si>
    <t>Új köztemető kialakítása I. ütem</t>
  </si>
  <si>
    <t>Rohonci úti fasor cseréje</t>
  </si>
  <si>
    <t>1104 hrsz-ú ingatlan megvásárlása (nemezgyári zsilip)</t>
  </si>
  <si>
    <t>Liszt F. u. 30. (volt botgyár területe) megvásárlása</t>
  </si>
  <si>
    <t>Projektek előkészítési költségei</t>
  </si>
  <si>
    <t>Posztó utcai parkoló kialakítása</t>
  </si>
  <si>
    <t>Kőszegfalvi temetőben előtető ravatalozóhoz</t>
  </si>
  <si>
    <t>2207/A/15 hrszú ingatlan (Kossuth 15. pince) megvásárlása</t>
  </si>
  <si>
    <t>2016. években</t>
  </si>
  <si>
    <t>2016. évi eredeti előirányzat</t>
  </si>
  <si>
    <t>Az európai uniós támogatással megvalósuló programok, projektek bevételeiről és kiadásairól, valamint az önkormányzaton kívüli ilyen projektekhez való hozzájárulásról 2016. évben</t>
  </si>
  <si>
    <t>Kőszeg Város Önkormányzata 2016. évi költségvetésében európai uniós forrásból megvalósítandó projektek, fejlesztések:</t>
  </si>
  <si>
    <t>2016.</t>
  </si>
  <si>
    <t>Központi irányítószervi támogatás</t>
  </si>
  <si>
    <t xml:space="preserve">Kőszeg Város Önkormányzata és intézményei </t>
  </si>
  <si>
    <t>Kőszeg Város Önkormányzata és intézményei bevételei és kiadásai 2016. évben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</si>
  <si>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</si>
  <si>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</si>
  <si>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</si>
  <si>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</si>
  <si>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</si>
  <si>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>Kőszeg Város Önkormányzatának központilag szabályozott bevételei 2016. évben</t>
  </si>
  <si>
    <t xml:space="preserve">A helyi önkormányzatok általános müködésének és ágazati feladatainak támogatása (2015. évi C. törvény 2. melléklete szerint)  </t>
  </si>
  <si>
    <t>Hirdetőtábla kiépítése (testületi döntés alapján)</t>
  </si>
  <si>
    <t>Jurisich Miklós Gimnázium sportpályáinak  felújítása (20 000 E Ft támogatásból)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</si>
  <si>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</si>
  <si>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</si>
  <si>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</si>
  <si>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13.</t>
  </si>
  <si>
    <t>Államtól átvett ingatlanok (662, 2131 hrsz) karbantartása</t>
  </si>
  <si>
    <t>feladatjelleg szerint: - kötelező feladatok</t>
  </si>
  <si>
    <t>LÉTSZÁM (engedélyezett létszámkeret közfogalkoztatottak nélkül)</t>
  </si>
  <si>
    <t>KÖZFOGLALKOZTATOTTAK létszáma</t>
  </si>
  <si>
    <t>feladatjelleg szerint: - önként vállalt feladatok</t>
  </si>
  <si>
    <t>feladatjelleg szerint: - államigazgatási feladatok</t>
  </si>
  <si>
    <t>Kőszegi Szocilis Gondozási Központ szennyvízátemelő cseréje</t>
  </si>
  <si>
    <t>Egészségház kerékpárút kiépítése  (28 000 E  Ft támogatásból)</t>
  </si>
  <si>
    <t>Központi Óvoda hátsó épületrész felújítása (30 000 E Ft pályázatból)</t>
  </si>
  <si>
    <t>Temető utca részleges felújítása (37 000 E Ft támogatásból)</t>
  </si>
  <si>
    <t>7. Kiegészító támogatás a bölcsődében folgalkoztatott, felsőfokú végzettségű kisgyermeknevelők béréhez</t>
  </si>
  <si>
    <t>2016.06.30. módosított előirányzat</t>
  </si>
  <si>
    <t xml:space="preserve"> "1. melléklet a 2/2016. (II.12) önkormányzati rendelethez</t>
  </si>
  <si>
    <t xml:space="preserve">Változás </t>
  </si>
  <si>
    <t>Változás</t>
  </si>
  <si>
    <t xml:space="preserve"> 2. melléklet a 2/2016. (II.12.) önkormányzati rendelethez</t>
  </si>
  <si>
    <t xml:space="preserve">eredeti ei. </t>
  </si>
  <si>
    <t xml:space="preserve">módosított ei. </t>
  </si>
  <si>
    <t xml:space="preserve">változás </t>
  </si>
  <si>
    <t>"3. melléklet a 2./2016. (II.12.) önkormányzati rendelethez</t>
  </si>
  <si>
    <t>"</t>
  </si>
  <si>
    <t xml:space="preserve">Helyi önkormányzatok által felhasználható kiegészítő működési célú támogatások előirányzatarányza összesen: </t>
  </si>
  <si>
    <t>Központi működési célú támogatások összesen (2015. évi C. törvény 2. és 3. melléklete szerint):</t>
  </si>
  <si>
    <t xml:space="preserve">Helyi önkormányzatok által felhasználható kiegészítő támogatások működési célra (2015. évi C. törvény 3. melléklete szerint) </t>
  </si>
  <si>
    <t xml:space="preserve">Helyi önkormányzatok által felhasználható kiegészítő támogatások felhalmozási célra(2015. évi C. törvény 3. melléklete szerint) </t>
  </si>
  <si>
    <t>1. i) A települési önkormányzatok könyvtári célú érdekeltségnövelő támogatása</t>
  </si>
  <si>
    <t>A 2016. évi bérkompenzáció támogatása</t>
  </si>
  <si>
    <t>6. A 2015. évről áthúzódó bérkompenzáció támogatása</t>
  </si>
  <si>
    <t>Kőszeg Város feladatainak támogatása  (kerékpárút, Temető u. fúj., iskolai sportpálya fúj., szennyvízelvezetés)</t>
  </si>
  <si>
    <t>1. Lakossági közmű fejlesztés támogatása</t>
  </si>
  <si>
    <t>Vis maior helyzet támogatása</t>
  </si>
  <si>
    <t>Központi felhalmozási célú támogatások összesen (2015. évi C. törvény 2. és 3. melléklete szerint):</t>
  </si>
  <si>
    <t xml:space="preserve">               -ebből egyéb felhalmozási célú támogatások áht-n belülre</t>
  </si>
  <si>
    <t xml:space="preserve">               -ebből egyéb felhalmozási célú támogatások áht-n kívülre</t>
  </si>
  <si>
    <t xml:space="preserve">               -ebből felh. c.  visszat. támogatások, kölcsönök nyújtása</t>
  </si>
  <si>
    <t xml:space="preserve">     -  ebből egyéb felh.c. visszatt. támogatások, kölcsönök</t>
  </si>
  <si>
    <t>Támogatás összege 2016.01.01. ( Ft)</t>
  </si>
  <si>
    <t>Támogatás összege 2016.06.30.  ( Ft)</t>
  </si>
  <si>
    <t>eredeti ei.  2016.01.01.</t>
  </si>
  <si>
    <t>módosított ei. 2016.06.30.</t>
  </si>
  <si>
    <t>"4. melléklet a 2./2016. (II.12.) önkormányzati rendelethez</t>
  </si>
  <si>
    <t>"5. melléklet a 2./2016. (II.12.) önkormányzati rendelethez</t>
  </si>
  <si>
    <t xml:space="preserve">Lakossági közműfejlesztési hozzájárulás </t>
  </si>
  <si>
    <t>15.</t>
  </si>
  <si>
    <t>16.</t>
  </si>
  <si>
    <t>TOP-1.1.1.-15.Jurisics Miklós Ipari Park fejlesztése</t>
  </si>
  <si>
    <t xml:space="preserve">TOP-3.1.1.-15. Kőszeg-Kőszegfalva közötti kerékpárút továbbépítése </t>
  </si>
  <si>
    <t xml:space="preserve">Jurisich Miklós Gimnázium kollégiumi fürdő felújítása </t>
  </si>
  <si>
    <t>17.</t>
  </si>
  <si>
    <t>18.</t>
  </si>
  <si>
    <t>Rézsűvágó gép beszerzése (Kőszegi Városüzemeltetétési Kft részére)</t>
  </si>
  <si>
    <t>Szénsavaskút szivattyú cseréje</t>
  </si>
  <si>
    <t>Vis maior pályázat támogatás</t>
  </si>
  <si>
    <t>6. Szociális ágazati pótlék és kiegészítő pótlék</t>
  </si>
  <si>
    <t>Központi támogatások mindösszesen (2015. évi C. törvény 2. és 3. melléklete szerint):</t>
  </si>
  <si>
    <t>"7. melléklet a 2./2016. (II.12.) önkormányzati rendelethez</t>
  </si>
  <si>
    <t>Fénymásoló beszerzése (Chernel Kálmán Városi Könyvtár 2015. évi maradványból)</t>
  </si>
  <si>
    <t>19.</t>
  </si>
  <si>
    <t>20.</t>
  </si>
  <si>
    <t>21.</t>
  </si>
  <si>
    <t>Kisértékű tárgyi eszközök beszerzése  (Chernel Kálmán Városi Könyvtár 2015. évi maradványból)</t>
  </si>
  <si>
    <t>22.</t>
  </si>
  <si>
    <t>Kisértékű tárgyi eszközök beszerzése  (Chernel Kálmán Városi Könyvtár érdekeltségnövelő támogatásból)</t>
  </si>
  <si>
    <t>Hun-Téka program beszerzése (Kőszegi Városi Múzeum 2015. évi maradványból)</t>
  </si>
  <si>
    <t>Fekete Szerecseny Patika elektromos hálózatának terveztetése, engedélyeztetése  (Kőszegi Városi Múzeum 2015. évi maradványból)</t>
  </si>
  <si>
    <t>23.</t>
  </si>
  <si>
    <t>24.</t>
  </si>
  <si>
    <t>25.</t>
  </si>
  <si>
    <t>26.</t>
  </si>
  <si>
    <t>Kubinyik Ágoston program pályázati saját erő (Kőszegi Városi Múzeum 2015. évi maradványból)</t>
  </si>
  <si>
    <t>Restaurátor műhely egykaros laboratórium mobil elszívó rendszer,LUXO nagyítós lámpa LFM 101, RESKO sztereo mikroszkóp rugós karral + rögzítő elem az asztalhoz (Kőszegi Városi Múzeum 2015. évi maradványból)</t>
  </si>
  <si>
    <t>27.</t>
  </si>
  <si>
    <t>Kisértékű tárgyi eszköz beszerzések volt okmányiroda berendezése   (Kőszegi Közös Önkormányzati Hivatal 2015. évi maradványból)</t>
  </si>
  <si>
    <t>Munkaidő nyilvántartó és beléptető rendszer programja (Kőszegi Közös Önkormányzati Hivatal)</t>
  </si>
  <si>
    <t>Jurisics tér 8. (volt okmányiroda épületrész felújítása (Kőszegi Közös Önkormányzati Hivatal 2015. évi maradványból)</t>
  </si>
  <si>
    <t>Kőszegi Városüzemeltető Kft részére támogatás biztosítása kukásautó vásárláshoz</t>
  </si>
  <si>
    <t>Lakossági közműfejlesztési támogatás átadása</t>
  </si>
  <si>
    <t>28.</t>
  </si>
  <si>
    <t>29.</t>
  </si>
  <si>
    <t>Egészségházra árnyékoló készítése 135/2016. (VI.30.) kt. határozat alapján</t>
  </si>
  <si>
    <t>Várárok támfal felújítás  134/2016. (VI.30.) kt. határozat alapján</t>
  </si>
  <si>
    <t>KFC támogatása 108/2016 (V.26.) határozat alapján</t>
  </si>
  <si>
    <t>Kőszegi Önkéntes Tűzoltóság támogatása defibrilátor vásárlásához 110/2016 (V.26.) határozat alapján</t>
  </si>
  <si>
    <t>TOP -2.1.2-15 Városmajor - Zöld város kialakítása (Kratochwill ház mögötti telek megvásárlásával)</t>
  </si>
  <si>
    <t xml:space="preserve"> 1. melléklet a 23/2016. (VIII. 26.) önkormányzati rendelethez</t>
  </si>
  <si>
    <t xml:space="preserve"> 2. melléklet a 23/2016. (VIII. 26.) önkormányzati rendelethez</t>
  </si>
  <si>
    <t xml:space="preserve"> 3. melléklet a 23/2016. (VIII. 26.) önkormányzati rendelethez</t>
  </si>
  <si>
    <t xml:space="preserve"> 4. melléklet a 23/2016. (VIII.  26.) önkormányzati rendelethez</t>
  </si>
  <si>
    <t xml:space="preserve"> 5. melléklet a 23/2016. (VIII. 26.) önkormányzati rendelethez</t>
  </si>
  <si>
    <t xml:space="preserve"> 6. melléklet a 23/2016. (VIII. 26.)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</si>
</sst>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 CE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20" fillId="7" borderId="1" applyNumberFormat="0" applyAlignment="0" applyProtection="0"/>
    <xf numFmtId="0" fontId="34" fillId="20" borderId="1" applyNumberFormat="0" applyAlignment="0" applyProtection="0"/>
    <xf numFmtId="0" fontId="25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2" borderId="7" applyNumberFormat="0" applyFon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94" applyFont="1" applyFill="1" applyAlignment="1">
      <alignment horizontal="left" vertical="top"/>
      <protection/>
    </xf>
    <xf numFmtId="3" fontId="4" fillId="0" borderId="0" xfId="93" applyNumberFormat="1" applyFont="1" applyFill="1" applyAlignment="1">
      <alignment vertical="top"/>
      <protection/>
    </xf>
    <xf numFmtId="0" fontId="4" fillId="0" borderId="0" xfId="93" applyFont="1" applyFill="1" applyAlignment="1">
      <alignment vertical="top"/>
      <protection/>
    </xf>
    <xf numFmtId="0" fontId="3" fillId="0" borderId="0" xfId="95" applyFont="1" applyFill="1" applyBorder="1">
      <alignment/>
      <protection/>
    </xf>
    <xf numFmtId="3" fontId="4" fillId="0" borderId="0" xfId="93" applyNumberFormat="1" applyFont="1" applyFill="1">
      <alignment/>
      <protection/>
    </xf>
    <xf numFmtId="0" fontId="4" fillId="0" borderId="0" xfId="93" applyFont="1" applyFill="1">
      <alignment/>
      <protection/>
    </xf>
    <xf numFmtId="0" fontId="3" fillId="0" borderId="0" xfId="93" applyFont="1" applyFill="1">
      <alignment/>
      <protection/>
    </xf>
    <xf numFmtId="3" fontId="17" fillId="0" borderId="0" xfId="93" applyNumberFormat="1" applyFont="1" applyFill="1" applyAlignment="1">
      <alignment horizontal="center" wrapText="1"/>
      <protection/>
    </xf>
    <xf numFmtId="0" fontId="12" fillId="0" borderId="0" xfId="93" applyFont="1" applyFill="1">
      <alignment/>
      <protection/>
    </xf>
    <xf numFmtId="0" fontId="5" fillId="0" borderId="0" xfId="93" applyFont="1" applyFill="1">
      <alignment/>
      <protection/>
    </xf>
    <xf numFmtId="3" fontId="5" fillId="0" borderId="0" xfId="93" applyNumberFormat="1" applyFont="1" applyFill="1">
      <alignment/>
      <protection/>
    </xf>
    <xf numFmtId="0" fontId="6" fillId="0" borderId="0" xfId="93" applyFont="1" applyFill="1">
      <alignment/>
      <protection/>
    </xf>
    <xf numFmtId="0" fontId="7" fillId="20" borderId="0" xfId="93" applyFont="1" applyFill="1" applyBorder="1" applyAlignment="1">
      <alignment horizontal="left"/>
      <protection/>
    </xf>
    <xf numFmtId="3" fontId="4" fillId="20" borderId="0" xfId="93" applyNumberFormat="1" applyFont="1" applyFill="1" applyBorder="1">
      <alignment/>
      <protection/>
    </xf>
    <xf numFmtId="0" fontId="6" fillId="0" borderId="0" xfId="93" applyFont="1" applyFill="1" applyBorder="1" applyAlignment="1">
      <alignment horizontal="left" wrapText="1" indent="3"/>
      <protection/>
    </xf>
    <xf numFmtId="0" fontId="6" fillId="0" borderId="0" xfId="93" applyFont="1" applyFill="1" applyBorder="1" applyAlignment="1">
      <alignment horizontal="left" indent="3"/>
      <protection/>
    </xf>
    <xf numFmtId="0" fontId="4" fillId="0" borderId="0" xfId="93" applyFont="1" applyFill="1" applyBorder="1" applyAlignment="1">
      <alignment horizontal="left" wrapText="1" indent="3"/>
      <protection/>
    </xf>
    <xf numFmtId="0" fontId="4" fillId="0" borderId="0" xfId="93" applyFont="1" applyFill="1" applyBorder="1" applyAlignment="1">
      <alignment horizontal="left" indent="3"/>
      <protection/>
    </xf>
    <xf numFmtId="0" fontId="5" fillId="20" borderId="0" xfId="93" applyFont="1" applyFill="1" applyBorder="1" applyAlignment="1">
      <alignment wrapText="1"/>
      <protection/>
    </xf>
    <xf numFmtId="3" fontId="4" fillId="20" borderId="0" xfId="93" applyNumberFormat="1" applyFont="1" applyFill="1">
      <alignment/>
      <protection/>
    </xf>
    <xf numFmtId="0" fontId="6" fillId="0" borderId="0" xfId="93" applyFont="1" applyFill="1" applyBorder="1" applyAlignment="1">
      <alignment wrapText="1"/>
      <protection/>
    </xf>
    <xf numFmtId="2" fontId="6" fillId="0" borderId="0" xfId="93" applyNumberFormat="1" applyFont="1" applyFill="1" applyBorder="1" applyAlignment="1">
      <alignment horizontal="left" wrapText="1" indent="3"/>
      <protection/>
    </xf>
    <xf numFmtId="0" fontId="4" fillId="0" borderId="0" xfId="93" applyFont="1" applyFill="1" applyBorder="1">
      <alignment/>
      <protection/>
    </xf>
    <xf numFmtId="0" fontId="13" fillId="0" borderId="0" xfId="93" applyFont="1" applyFill="1" applyBorder="1" applyAlignment="1">
      <alignment wrapText="1"/>
      <protection/>
    </xf>
    <xf numFmtId="0" fontId="8" fillId="0" borderId="0" xfId="93" applyFont="1" applyFill="1">
      <alignment/>
      <protection/>
    </xf>
    <xf numFmtId="0" fontId="13" fillId="0" borderId="0" xfId="93" applyFont="1" applyFill="1">
      <alignment/>
      <protection/>
    </xf>
    <xf numFmtId="0" fontId="35" fillId="0" borderId="0" xfId="93" applyFont="1" applyFill="1">
      <alignment/>
      <protection/>
    </xf>
    <xf numFmtId="0" fontId="13" fillId="23" borderId="0" xfId="93" applyFont="1" applyFill="1" applyBorder="1">
      <alignment/>
      <protection/>
    </xf>
    <xf numFmtId="3" fontId="13" fillId="23" borderId="0" xfId="93" applyNumberFormat="1" applyFont="1" applyFill="1">
      <alignment/>
      <protection/>
    </xf>
    <xf numFmtId="0" fontId="13" fillId="23" borderId="0" xfId="93" applyFont="1" applyFill="1" applyBorder="1" applyAlignment="1">
      <alignment wrapText="1"/>
      <protection/>
    </xf>
    <xf numFmtId="3" fontId="13" fillId="23" borderId="0" xfId="93" applyNumberFormat="1" applyFont="1" applyFill="1" applyBorder="1" applyAlignment="1">
      <alignment wrapText="1"/>
      <protection/>
    </xf>
    <xf numFmtId="0" fontId="12" fillId="4" borderId="0" xfId="93" applyFont="1" applyFill="1">
      <alignment/>
      <protection/>
    </xf>
    <xf numFmtId="3" fontId="12" fillId="4" borderId="0" xfId="93" applyNumberFormat="1" applyFont="1" applyFill="1">
      <alignment/>
      <protection/>
    </xf>
    <xf numFmtId="0" fontId="15" fillId="0" borderId="15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wrapText="1"/>
    </xf>
    <xf numFmtId="3" fontId="15" fillId="0" borderId="18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5" fillId="0" borderId="15" xfId="0" applyFont="1" applyFill="1" applyBorder="1" applyAlignment="1">
      <alignment wrapText="1"/>
    </xf>
    <xf numFmtId="0" fontId="15" fillId="0" borderId="29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0" fontId="36" fillId="0" borderId="30" xfId="0" applyFont="1" applyFill="1" applyBorder="1" applyAlignment="1">
      <alignment/>
    </xf>
    <xf numFmtId="3" fontId="36" fillId="0" borderId="31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0" fontId="36" fillId="0" borderId="22" xfId="0" applyFont="1" applyFill="1" applyBorder="1" applyAlignment="1">
      <alignment horizontal="left" wrapText="1" indent="2"/>
    </xf>
    <xf numFmtId="0" fontId="36" fillId="0" borderId="22" xfId="0" applyFont="1" applyFill="1" applyBorder="1" applyAlignment="1">
      <alignment horizontal="left" indent="2"/>
    </xf>
    <xf numFmtId="0" fontId="3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3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4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95" applyFont="1" applyFill="1" applyBorder="1" applyAlignment="1">
      <alignment horizontal="left"/>
      <protection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" fillId="4" borderId="0" xfId="94" applyFont="1" applyFill="1" applyAlignment="1">
      <alignment horizontal="left" vertical="top"/>
      <protection/>
    </xf>
    <xf numFmtId="0" fontId="4" fillId="3" borderId="0" xfId="94" applyFont="1" applyFill="1" applyBorder="1" applyAlignment="1">
      <alignment horizontal="left" vertical="top"/>
      <protection/>
    </xf>
    <xf numFmtId="0" fontId="4" fillId="3" borderId="0" xfId="94" applyFont="1" applyFill="1" applyAlignment="1">
      <alignment horizontal="left" vertical="top"/>
      <protection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4" borderId="0" xfId="94" applyFont="1" applyFill="1" applyBorder="1" applyAlignment="1">
      <alignment vertical="top" wrapText="1"/>
      <protection/>
    </xf>
    <xf numFmtId="3" fontId="4" fillId="4" borderId="0" xfId="94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4" borderId="0" xfId="0" applyFont="1" applyFill="1" applyAlignment="1">
      <alignment vertical="top" wrapText="1"/>
    </xf>
    <xf numFmtId="3" fontId="4" fillId="4" borderId="0" xfId="0" applyNumberFormat="1" applyFont="1" applyFill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3" borderId="33" xfId="0" applyFont="1" applyFill="1" applyBorder="1" applyAlignment="1">
      <alignment vertical="top" wrapText="1"/>
    </xf>
    <xf numFmtId="3" fontId="4" fillId="3" borderId="3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4" borderId="33" xfId="0" applyFont="1" applyFill="1" applyBorder="1" applyAlignment="1">
      <alignment vertical="top" wrapText="1"/>
    </xf>
    <xf numFmtId="3" fontId="4" fillId="4" borderId="33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3" fontId="4" fillId="4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4" fillId="3" borderId="0" xfId="94" applyFont="1" applyFill="1" applyBorder="1" applyAlignment="1">
      <alignment vertical="top"/>
      <protection/>
    </xf>
    <xf numFmtId="3" fontId="4" fillId="3" borderId="0" xfId="94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3" fontId="5" fillId="4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3" fontId="5" fillId="3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3" borderId="0" xfId="0" applyFont="1" applyFill="1" applyAlignment="1">
      <alignment vertical="top" wrapText="1"/>
    </xf>
    <xf numFmtId="3" fontId="4" fillId="3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4" borderId="0" xfId="0" applyNumberFormat="1" applyFont="1" applyFill="1" applyAlignment="1">
      <alignment horizontal="right" vertical="top"/>
    </xf>
    <xf numFmtId="3" fontId="4" fillId="3" borderId="0" xfId="0" applyNumberFormat="1" applyFont="1" applyFill="1" applyAlignment="1">
      <alignment horizontal="right" vertical="top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36" fillId="0" borderId="35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36" fillId="0" borderId="38" xfId="0" applyNumberFormat="1" applyFont="1" applyFill="1" applyBorder="1" applyAlignment="1">
      <alignment/>
    </xf>
    <xf numFmtId="3" fontId="36" fillId="0" borderId="39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3" fontId="36" fillId="0" borderId="42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166" fontId="16" fillId="0" borderId="45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166" fontId="15" fillId="0" borderId="18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5" fillId="0" borderId="46" xfId="0" applyNumberFormat="1" applyFont="1" applyFill="1" applyBorder="1" applyAlignment="1">
      <alignment/>
    </xf>
    <xf numFmtId="166" fontId="15" fillId="0" borderId="47" xfId="0" applyNumberFormat="1" applyFont="1" applyFill="1" applyBorder="1" applyAlignment="1">
      <alignment/>
    </xf>
    <xf numFmtId="166" fontId="16" fillId="0" borderId="31" xfId="0" applyNumberFormat="1" applyFont="1" applyFill="1" applyBorder="1" applyAlignment="1">
      <alignment/>
    </xf>
    <xf numFmtId="166" fontId="16" fillId="0" borderId="48" xfId="0" applyNumberFormat="1" applyFont="1" applyFill="1" applyBorder="1" applyAlignment="1">
      <alignment/>
    </xf>
    <xf numFmtId="166" fontId="16" fillId="0" borderId="49" xfId="0" applyNumberFormat="1" applyFont="1" applyFill="1" applyBorder="1" applyAlignment="1">
      <alignment/>
    </xf>
    <xf numFmtId="0" fontId="5" fillId="0" borderId="0" xfId="93" applyFont="1" applyFill="1" applyAlignment="1">
      <alignment horizontal="center"/>
      <protection/>
    </xf>
    <xf numFmtId="0" fontId="16" fillId="0" borderId="21" xfId="0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/>
    </xf>
    <xf numFmtId="3" fontId="36" fillId="0" borderId="22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36" fillId="0" borderId="29" xfId="0" applyNumberFormat="1" applyFont="1" applyFill="1" applyBorder="1" applyAlignment="1">
      <alignment/>
    </xf>
    <xf numFmtId="3" fontId="36" fillId="0" borderId="25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0" fontId="14" fillId="0" borderId="0" xfId="0" applyFont="1" applyAlignment="1">
      <alignment horizontal="left" wrapText="1"/>
    </xf>
    <xf numFmtId="3" fontId="36" fillId="0" borderId="30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3" fontId="4" fillId="0" borderId="0" xfId="93" applyNumberFormat="1" applyFont="1" applyFill="1" applyAlignment="1">
      <alignment horizontal="right"/>
      <protection/>
    </xf>
    <xf numFmtId="0" fontId="15" fillId="0" borderId="0" xfId="0" applyFont="1" applyFill="1" applyAlignment="1">
      <alignment horizontal="center" wrapText="1"/>
    </xf>
    <xf numFmtId="166" fontId="16" fillId="0" borderId="19" xfId="0" applyNumberFormat="1" applyFont="1" applyFill="1" applyBorder="1" applyAlignment="1">
      <alignment/>
    </xf>
    <xf numFmtId="0" fontId="16" fillId="0" borderId="37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6" fillId="0" borderId="41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166" fontId="16" fillId="0" borderId="50" xfId="0" applyNumberFormat="1" applyFont="1" applyFill="1" applyBorder="1" applyAlignment="1">
      <alignment/>
    </xf>
    <xf numFmtId="0" fontId="16" fillId="0" borderId="40" xfId="0" applyFont="1" applyFill="1" applyBorder="1" applyAlignment="1">
      <alignment horizontal="center" wrapText="1"/>
    </xf>
    <xf numFmtId="0" fontId="16" fillId="0" borderId="51" xfId="0" applyFont="1" applyFill="1" applyBorder="1" applyAlignment="1">
      <alignment horizontal="center" wrapText="1"/>
    </xf>
    <xf numFmtId="0" fontId="6" fillId="0" borderId="0" xfId="93" applyFont="1" applyFill="1" applyAlignment="1">
      <alignment horizontal="left" indent="3"/>
      <protection/>
    </xf>
    <xf numFmtId="0" fontId="13" fillId="0" borderId="0" xfId="93" applyFont="1" applyFill="1" applyAlignment="1">
      <alignment/>
      <protection/>
    </xf>
    <xf numFmtId="0" fontId="3" fillId="0" borderId="0" xfId="93" applyFont="1" applyFill="1" applyAlignment="1">
      <alignment horizontal="center"/>
      <protection/>
    </xf>
    <xf numFmtId="0" fontId="16" fillId="0" borderId="0" xfId="0" applyFont="1" applyFill="1" applyBorder="1" applyAlignment="1">
      <alignment horizontal="center" wrapText="1"/>
    </xf>
    <xf numFmtId="0" fontId="4" fillId="4" borderId="52" xfId="0" applyFont="1" applyFill="1" applyBorder="1" applyAlignment="1">
      <alignment vertical="top" wrapText="1"/>
    </xf>
    <xf numFmtId="3" fontId="4" fillId="4" borderId="52" xfId="0" applyNumberFormat="1" applyFont="1" applyFill="1" applyBorder="1" applyAlignment="1">
      <alignment vertical="top"/>
    </xf>
    <xf numFmtId="0" fontId="4" fillId="4" borderId="0" xfId="94" applyFont="1" applyFill="1" applyBorder="1" applyAlignment="1">
      <alignment horizontal="left" vertical="top"/>
      <protection/>
    </xf>
    <xf numFmtId="0" fontId="16" fillId="0" borderId="32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39" fillId="0" borderId="0" xfId="93" applyFont="1" applyFill="1">
      <alignment/>
      <protection/>
    </xf>
    <xf numFmtId="3" fontId="40" fillId="20" borderId="0" xfId="93" applyNumberFormat="1" applyFont="1" applyFill="1">
      <alignment/>
      <protection/>
    </xf>
    <xf numFmtId="0" fontId="16" fillId="0" borderId="13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166" fontId="16" fillId="0" borderId="34" xfId="0" applyNumberFormat="1" applyFont="1" applyFill="1" applyBorder="1" applyAlignment="1">
      <alignment/>
    </xf>
    <xf numFmtId="166" fontId="14" fillId="0" borderId="34" xfId="0" applyNumberFormat="1" applyFont="1" applyFill="1" applyBorder="1" applyAlignment="1">
      <alignment/>
    </xf>
    <xf numFmtId="166" fontId="14" fillId="0" borderId="19" xfId="0" applyNumberFormat="1" applyFont="1" applyFill="1" applyBorder="1" applyAlignment="1">
      <alignment/>
    </xf>
    <xf numFmtId="166" fontId="16" fillId="0" borderId="20" xfId="0" applyNumberFormat="1" applyFont="1" applyFill="1" applyBorder="1" applyAlignment="1">
      <alignment/>
    </xf>
    <xf numFmtId="3" fontId="15" fillId="0" borderId="54" xfId="0" applyNumberFormat="1" applyFont="1" applyFill="1" applyBorder="1" applyAlignment="1">
      <alignment horizontal="center"/>
    </xf>
    <xf numFmtId="166" fontId="15" fillId="0" borderId="35" xfId="0" applyNumberFormat="1" applyFont="1" applyFill="1" applyBorder="1" applyAlignment="1">
      <alignment/>
    </xf>
    <xf numFmtId="166" fontId="14" fillId="0" borderId="35" xfId="0" applyNumberFormat="1" applyFont="1" applyFill="1" applyBorder="1" applyAlignment="1">
      <alignment/>
    </xf>
    <xf numFmtId="166" fontId="14" fillId="0" borderId="18" xfId="0" applyNumberFormat="1" applyFont="1" applyFill="1" applyBorder="1" applyAlignment="1">
      <alignment/>
    </xf>
    <xf numFmtId="166" fontId="16" fillId="0" borderId="35" xfId="0" applyNumberFormat="1" applyFont="1" applyFill="1" applyBorder="1" applyAlignment="1">
      <alignment/>
    </xf>
    <xf numFmtId="166" fontId="16" fillId="0" borderId="18" xfId="0" applyNumberFormat="1" applyFont="1" applyFill="1" applyBorder="1" applyAlignment="1">
      <alignment/>
    </xf>
    <xf numFmtId="166" fontId="16" fillId="0" borderId="11" xfId="0" applyNumberFormat="1" applyFont="1" applyFill="1" applyBorder="1" applyAlignment="1">
      <alignment/>
    </xf>
    <xf numFmtId="3" fontId="16" fillId="0" borderId="55" xfId="0" applyNumberFormat="1" applyFont="1" applyFill="1" applyBorder="1" applyAlignment="1">
      <alignment/>
    </xf>
    <xf numFmtId="166" fontId="16" fillId="0" borderId="42" xfId="0" applyNumberFormat="1" applyFont="1" applyFill="1" applyBorder="1" applyAlignment="1">
      <alignment/>
    </xf>
    <xf numFmtId="166" fontId="14" fillId="0" borderId="42" xfId="0" applyNumberFormat="1" applyFont="1" applyFill="1" applyBorder="1" applyAlignment="1">
      <alignment/>
    </xf>
    <xf numFmtId="166" fontId="14" fillId="0" borderId="31" xfId="0" applyNumberFormat="1" applyFont="1" applyFill="1" applyBorder="1" applyAlignment="1">
      <alignment/>
    </xf>
    <xf numFmtId="166" fontId="16" fillId="0" borderId="12" xfId="0" applyNumberFormat="1" applyFont="1" applyFill="1" applyBorder="1" applyAlignment="1">
      <alignment/>
    </xf>
    <xf numFmtId="0" fontId="41" fillId="0" borderId="56" xfId="0" applyFont="1" applyFill="1" applyBorder="1" applyAlignment="1">
      <alignment/>
    </xf>
    <xf numFmtId="0" fontId="16" fillId="0" borderId="27" xfId="0" applyFont="1" applyFill="1" applyBorder="1" applyAlignment="1">
      <alignment horizontal="center" wrapText="1"/>
    </xf>
    <xf numFmtId="166" fontId="15" fillId="0" borderId="11" xfId="0" applyNumberFormat="1" applyFont="1" applyFill="1" applyBorder="1" applyAlignment="1">
      <alignment/>
    </xf>
    <xf numFmtId="3" fontId="36" fillId="0" borderId="46" xfId="0" applyNumberFormat="1" applyFont="1" applyFill="1" applyBorder="1" applyAlignment="1">
      <alignment/>
    </xf>
    <xf numFmtId="3" fontId="36" fillId="0" borderId="57" xfId="0" applyNumberFormat="1" applyFont="1" applyFill="1" applyBorder="1" applyAlignment="1">
      <alignment/>
    </xf>
    <xf numFmtId="3" fontId="36" fillId="0" borderId="58" xfId="0" applyNumberFormat="1" applyFont="1" applyFill="1" applyBorder="1" applyAlignment="1">
      <alignment/>
    </xf>
    <xf numFmtId="3" fontId="36" fillId="0" borderId="48" xfId="0" applyNumberFormat="1" applyFont="1" applyFill="1" applyBorder="1" applyAlignment="1">
      <alignment/>
    </xf>
    <xf numFmtId="3" fontId="16" fillId="0" borderId="59" xfId="0" applyNumberFormat="1" applyFont="1" applyFill="1" applyBorder="1" applyAlignment="1">
      <alignment/>
    </xf>
    <xf numFmtId="0" fontId="16" fillId="0" borderId="40" xfId="0" applyFont="1" applyFill="1" applyBorder="1" applyAlignment="1">
      <alignment horizontal="center" wrapText="1"/>
    </xf>
    <xf numFmtId="0" fontId="10" fillId="0" borderId="6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/>
    </xf>
    <xf numFmtId="0" fontId="36" fillId="0" borderId="54" xfId="0" applyFont="1" applyFill="1" applyBorder="1" applyAlignment="1">
      <alignment horizontal="left" indent="2"/>
    </xf>
    <xf numFmtId="0" fontId="15" fillId="0" borderId="54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6" fillId="0" borderId="62" xfId="0" applyFont="1" applyFill="1" applyBorder="1" applyAlignment="1">
      <alignment/>
    </xf>
    <xf numFmtId="0" fontId="36" fillId="0" borderId="54" xfId="0" applyFont="1" applyFill="1" applyBorder="1" applyAlignment="1">
      <alignment/>
    </xf>
    <xf numFmtId="0" fontId="36" fillId="0" borderId="54" xfId="0" applyFont="1" applyFill="1" applyBorder="1" applyAlignment="1">
      <alignment horizontal="left" wrapText="1" indent="2"/>
    </xf>
    <xf numFmtId="0" fontId="16" fillId="0" borderId="60" xfId="0" applyFont="1" applyFill="1" applyBorder="1" applyAlignment="1">
      <alignment/>
    </xf>
    <xf numFmtId="0" fontId="15" fillId="0" borderId="53" xfId="0" applyFont="1" applyFill="1" applyBorder="1" applyAlignment="1">
      <alignment wrapText="1"/>
    </xf>
    <xf numFmtId="0" fontId="36" fillId="0" borderId="61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6" fillId="0" borderId="63" xfId="0" applyFont="1" applyFill="1" applyBorder="1" applyAlignment="1">
      <alignment/>
    </xf>
    <xf numFmtId="0" fontId="15" fillId="0" borderId="64" xfId="0" applyFont="1" applyFill="1" applyBorder="1" applyAlignment="1">
      <alignment/>
    </xf>
    <xf numFmtId="0" fontId="16" fillId="0" borderId="62" xfId="0" applyFont="1" applyFill="1" applyBorder="1" applyAlignment="1">
      <alignment wrapText="1"/>
    </xf>
    <xf numFmtId="3" fontId="14" fillId="0" borderId="34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4" fillId="0" borderId="40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6" fillId="0" borderId="34" xfId="0" applyNumberFormat="1" applyFont="1" applyFill="1" applyBorder="1" applyAlignment="1">
      <alignment/>
    </xf>
    <xf numFmtId="3" fontId="16" fillId="0" borderId="35" xfId="0" applyNumberFormat="1" applyFont="1" applyFill="1" applyBorder="1" applyAlignment="1">
      <alignment/>
    </xf>
    <xf numFmtId="3" fontId="16" fillId="0" borderId="36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16" fillId="0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0" fontId="16" fillId="0" borderId="59" xfId="0" applyFont="1" applyFill="1" applyBorder="1" applyAlignment="1">
      <alignment horizontal="center" wrapText="1"/>
    </xf>
    <xf numFmtId="0" fontId="16" fillId="0" borderId="65" xfId="0" applyFont="1" applyFill="1" applyBorder="1" applyAlignment="1">
      <alignment horizontal="center" wrapText="1"/>
    </xf>
    <xf numFmtId="3" fontId="15" fillId="0" borderId="50" xfId="0" applyNumberFormat="1" applyFon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3" fontId="15" fillId="0" borderId="58" xfId="0" applyNumberFormat="1" applyFont="1" applyFill="1" applyBorder="1" applyAlignment="1">
      <alignment/>
    </xf>
    <xf numFmtId="3" fontId="15" fillId="0" borderId="57" xfId="0" applyNumberFormat="1" applyFont="1" applyFill="1" applyBorder="1" applyAlignment="1">
      <alignment/>
    </xf>
    <xf numFmtId="3" fontId="16" fillId="0" borderId="65" xfId="0" applyNumberFormat="1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3" fontId="16" fillId="0" borderId="66" xfId="0" applyNumberFormat="1" applyFont="1" applyFill="1" applyBorder="1" applyAlignment="1">
      <alignment/>
    </xf>
    <xf numFmtId="3" fontId="15" fillId="0" borderId="59" xfId="0" applyNumberFormat="1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3" fontId="42" fillId="4" borderId="0" xfId="0" applyNumberFormat="1" applyFont="1" applyFill="1" applyBorder="1" applyAlignment="1">
      <alignment vertical="top"/>
    </xf>
    <xf numFmtId="3" fontId="16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3" applyFont="1" applyFill="1" applyAlignment="1">
      <alignment horizontal="center"/>
      <protection/>
    </xf>
    <xf numFmtId="0" fontId="13" fillId="0" borderId="0" xfId="93" applyFont="1" applyFill="1" applyBorder="1" applyAlignment="1">
      <alignment horizontal="left" wrapText="1"/>
      <protection/>
    </xf>
    <xf numFmtId="0" fontId="39" fillId="20" borderId="0" xfId="93" applyFont="1" applyFill="1" applyAlignment="1">
      <alignment horizontal="left"/>
      <protection/>
    </xf>
    <xf numFmtId="0" fontId="41" fillId="0" borderId="56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5" fillId="0" borderId="62" xfId="0" applyFont="1" applyFill="1" applyBorder="1" applyAlignment="1">
      <alignment horizontal="center" wrapText="1"/>
    </xf>
    <xf numFmtId="0" fontId="15" fillId="0" borderId="68" xfId="0" applyFont="1" applyFill="1" applyBorder="1" applyAlignment="1">
      <alignment horizontal="center" wrapText="1"/>
    </xf>
    <xf numFmtId="0" fontId="15" fillId="0" borderId="69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59" xfId="0" applyFont="1" applyFill="1" applyBorder="1" applyAlignment="1">
      <alignment horizontal="center" wrapText="1"/>
    </xf>
    <xf numFmtId="0" fontId="16" fillId="0" borderId="62" xfId="0" applyFont="1" applyFill="1" applyBorder="1" applyAlignment="1">
      <alignment horizontal="center" wrapText="1"/>
    </xf>
    <xf numFmtId="0" fontId="16" fillId="0" borderId="68" xfId="0" applyFont="1" applyFill="1" applyBorder="1" applyAlignment="1">
      <alignment horizontal="center" wrapText="1"/>
    </xf>
    <xf numFmtId="0" fontId="16" fillId="0" borderId="69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37" fillId="0" borderId="0" xfId="0" applyFont="1" applyAlignment="1">
      <alignment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2013. költségvetés mell" xfId="93"/>
    <cellStyle name="Normál_melléklet összesen_2012. koncepció kiegészítő táblázatok" xfId="94"/>
    <cellStyle name="Normál_R_2MEL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2.00390625" style="18" customWidth="1"/>
    <col min="2" max="2" width="12.25390625" style="18" customWidth="1"/>
    <col min="3" max="3" width="6.00390625" style="16" customWidth="1"/>
    <col min="4" max="4" width="37.125" style="16" customWidth="1"/>
    <col min="5" max="16384" width="9.125" style="16" customWidth="1"/>
  </cols>
  <sheetData>
    <row r="1" ht="18.75" customHeight="1"/>
    <row r="2" spans="1:8" ht="15.75">
      <c r="A2" s="375" t="s">
        <v>36</v>
      </c>
      <c r="B2" s="375"/>
      <c r="C2" s="375"/>
      <c r="D2" s="375"/>
      <c r="E2" s="375"/>
      <c r="F2" s="375"/>
      <c r="G2" s="23"/>
      <c r="H2" s="23"/>
    </row>
    <row r="3" spans="1:6" ht="12.75">
      <c r="A3" s="22"/>
      <c r="B3" s="22"/>
      <c r="C3" s="20"/>
      <c r="D3" s="20"/>
      <c r="E3" s="20"/>
      <c r="F3" s="20"/>
    </row>
    <row r="4" spans="1:6" ht="27.75" customHeight="1">
      <c r="A4" s="22"/>
      <c r="B4" s="22"/>
      <c r="C4" s="20"/>
      <c r="D4" s="20"/>
      <c r="E4" s="20"/>
      <c r="F4" s="20"/>
    </row>
    <row r="5" spans="1:6" ht="12.75">
      <c r="A5" s="24" t="s">
        <v>37</v>
      </c>
      <c r="B5" s="24"/>
      <c r="C5" s="20"/>
      <c r="D5" s="20"/>
      <c r="E5" s="20"/>
      <c r="F5" s="20"/>
    </row>
    <row r="6" spans="1:6" ht="12.75">
      <c r="A6" s="24"/>
      <c r="B6" s="24" t="s">
        <v>38</v>
      </c>
      <c r="C6" s="20"/>
      <c r="D6" s="20"/>
      <c r="E6" s="20"/>
      <c r="F6" s="20"/>
    </row>
    <row r="7" spans="1:6" ht="25.5" customHeight="1">
      <c r="A7" s="24"/>
      <c r="B7" s="24" t="s">
        <v>5</v>
      </c>
      <c r="C7" s="25"/>
      <c r="D7" s="26" t="s">
        <v>68</v>
      </c>
      <c r="E7" s="20"/>
      <c r="F7" s="20"/>
    </row>
    <row r="8" spans="1:6" ht="25.5" customHeight="1">
      <c r="A8" s="24"/>
      <c r="B8" s="24" t="s">
        <v>6</v>
      </c>
      <c r="C8" s="25"/>
      <c r="D8" s="34" t="s">
        <v>39</v>
      </c>
      <c r="E8" s="20"/>
      <c r="F8" s="20"/>
    </row>
    <row r="9" spans="1:6" ht="25.5" customHeight="1">
      <c r="A9" s="24"/>
      <c r="B9" s="24" t="s">
        <v>7</v>
      </c>
      <c r="C9" s="25"/>
      <c r="D9" s="18" t="s">
        <v>90</v>
      </c>
      <c r="E9" s="20"/>
      <c r="F9" s="20"/>
    </row>
    <row r="10" spans="1:6" ht="25.5" customHeight="1">
      <c r="A10" s="24"/>
      <c r="B10" s="24" t="s">
        <v>8</v>
      </c>
      <c r="C10" s="25"/>
      <c r="D10" s="34" t="s">
        <v>48</v>
      </c>
      <c r="E10" s="20"/>
      <c r="F10" s="20"/>
    </row>
    <row r="11" spans="1:6" ht="25.5" customHeight="1">
      <c r="A11" s="24"/>
      <c r="B11" s="24" t="s">
        <v>9</v>
      </c>
      <c r="C11" s="25"/>
      <c r="D11" s="34" t="s">
        <v>41</v>
      </c>
      <c r="E11" s="20"/>
      <c r="F11" s="20"/>
    </row>
    <row r="12" spans="1:6" ht="25.5" customHeight="1">
      <c r="A12" s="24" t="s">
        <v>1</v>
      </c>
      <c r="B12" s="22"/>
      <c r="C12" s="20"/>
      <c r="D12" s="26" t="s">
        <v>42</v>
      </c>
      <c r="E12" s="20"/>
      <c r="F12" s="20"/>
    </row>
    <row r="13" spans="1:6" ht="12.75">
      <c r="A13" s="22"/>
      <c r="B13" s="22"/>
      <c r="C13" s="20"/>
      <c r="D13" s="20"/>
      <c r="E13" s="20"/>
      <c r="F13" s="20"/>
    </row>
    <row r="14" spans="1:6" ht="12.75">
      <c r="A14" s="22"/>
      <c r="B14" s="22"/>
      <c r="C14" s="20"/>
      <c r="D14" s="20"/>
      <c r="E14" s="20"/>
      <c r="F14" s="20"/>
    </row>
    <row r="15" spans="1:6" ht="12.75">
      <c r="A15" s="22"/>
      <c r="B15" s="22"/>
      <c r="C15" s="20"/>
      <c r="D15" s="20"/>
      <c r="E15" s="20"/>
      <c r="F15" s="20"/>
    </row>
    <row r="16" spans="1:6" ht="12.75">
      <c r="A16" s="22"/>
      <c r="B16" s="22"/>
      <c r="C16" s="20"/>
      <c r="D16" s="20"/>
      <c r="E16" s="20"/>
      <c r="F16" s="20"/>
    </row>
    <row r="17" spans="1:6" ht="12.75">
      <c r="A17" s="22"/>
      <c r="B17" s="22"/>
      <c r="C17" s="20"/>
      <c r="D17" s="20"/>
      <c r="E17" s="20"/>
      <c r="F17" s="20"/>
    </row>
    <row r="18" spans="1:6" ht="12.75">
      <c r="A18" s="22"/>
      <c r="B18" s="22"/>
      <c r="C18" s="20"/>
      <c r="D18" s="20"/>
      <c r="E18" s="20"/>
      <c r="F18" s="20"/>
    </row>
    <row r="19" spans="1:6" ht="12.75">
      <c r="A19" s="22"/>
      <c r="B19" s="22"/>
      <c r="C19" s="20"/>
      <c r="D19" s="20"/>
      <c r="E19" s="20"/>
      <c r="F19" s="20"/>
    </row>
    <row r="20" spans="1:6" ht="12.75">
      <c r="A20" s="22"/>
      <c r="B20" s="22"/>
      <c r="C20" s="20"/>
      <c r="D20" s="20"/>
      <c r="E20" s="20"/>
      <c r="F20" s="20"/>
    </row>
    <row r="21" spans="1:6" ht="12.75">
      <c r="A21" s="22"/>
      <c r="B21" s="22"/>
      <c r="C21" s="20"/>
      <c r="D21" s="20"/>
      <c r="E21" s="20"/>
      <c r="F21" s="20"/>
    </row>
    <row r="22" spans="1:6" ht="12.75">
      <c r="A22" s="22"/>
      <c r="B22" s="22"/>
      <c r="C22" s="20"/>
      <c r="D22" s="20"/>
      <c r="E22" s="20"/>
      <c r="F22" s="20"/>
    </row>
    <row r="23" spans="1:6" ht="12.75">
      <c r="A23" s="22"/>
      <c r="B23" s="22"/>
      <c r="C23" s="20"/>
      <c r="D23" s="20"/>
      <c r="E23" s="20"/>
      <c r="F23" s="20"/>
    </row>
    <row r="24" spans="1:6" ht="12.75">
      <c r="A24" s="22"/>
      <c r="B24" s="22"/>
      <c r="C24" s="20"/>
      <c r="D24" s="20"/>
      <c r="E24" s="20"/>
      <c r="F24" s="20"/>
    </row>
    <row r="25" spans="1:6" ht="12.75">
      <c r="A25" s="22"/>
      <c r="B25" s="22"/>
      <c r="C25" s="20"/>
      <c r="D25" s="20"/>
      <c r="E25" s="20"/>
      <c r="F25" s="20"/>
    </row>
    <row r="26" spans="1:6" ht="12.75">
      <c r="A26" s="22"/>
      <c r="B26" s="22"/>
      <c r="C26" s="20"/>
      <c r="D26" s="20"/>
      <c r="E26" s="20"/>
      <c r="F26" s="20"/>
    </row>
    <row r="27" spans="1:6" ht="12.75">
      <c r="A27" s="22"/>
      <c r="B27" s="22"/>
      <c r="C27" s="20"/>
      <c r="D27" s="20"/>
      <c r="E27" s="20"/>
      <c r="F27" s="20"/>
    </row>
    <row r="28" spans="1:6" ht="12.75">
      <c r="A28" s="22"/>
      <c r="B28" s="22"/>
      <c r="C28" s="20"/>
      <c r="D28" s="20"/>
      <c r="E28" s="20"/>
      <c r="F28" s="20"/>
    </row>
    <row r="29" spans="1:6" ht="12.75">
      <c r="A29" s="22"/>
      <c r="B29" s="22"/>
      <c r="C29" s="20"/>
      <c r="D29" s="20"/>
      <c r="E29" s="20"/>
      <c r="F29" s="20"/>
    </row>
    <row r="30" spans="1:6" ht="12.75">
      <c r="A30" s="22"/>
      <c r="B30" s="22"/>
      <c r="C30" s="20"/>
      <c r="D30" s="20"/>
      <c r="E30" s="20"/>
      <c r="F30" s="20"/>
    </row>
    <row r="31" spans="1:6" ht="12.75">
      <c r="A31" s="22"/>
      <c r="B31" s="22"/>
      <c r="C31" s="20"/>
      <c r="D31" s="20"/>
      <c r="E31" s="20"/>
      <c r="F31" s="20"/>
    </row>
    <row r="32" spans="1:6" ht="12.75">
      <c r="A32" s="22"/>
      <c r="B32" s="22"/>
      <c r="C32" s="20"/>
      <c r="D32" s="20"/>
      <c r="E32" s="20"/>
      <c r="F32" s="20"/>
    </row>
    <row r="33" spans="1:6" ht="12.75">
      <c r="A33" s="22"/>
      <c r="B33" s="22"/>
      <c r="C33" s="20"/>
      <c r="D33" s="20"/>
      <c r="E33" s="20"/>
      <c r="F33" s="20"/>
    </row>
    <row r="34" spans="1:6" ht="12.75">
      <c r="A34" s="22"/>
      <c r="B34" s="22"/>
      <c r="C34" s="20"/>
      <c r="D34" s="20"/>
      <c r="E34" s="20"/>
      <c r="F34" s="20"/>
    </row>
    <row r="35" spans="1:6" ht="12.75">
      <c r="A35" s="22"/>
      <c r="B35" s="22"/>
      <c r="C35" s="20"/>
      <c r="D35" s="20"/>
      <c r="E35" s="20"/>
      <c r="F35" s="20"/>
    </row>
    <row r="36" spans="1:6" ht="12.75">
      <c r="A36" s="22"/>
      <c r="B36" s="22"/>
      <c r="C36" s="20"/>
      <c r="D36" s="20"/>
      <c r="E36" s="20"/>
      <c r="F36" s="20"/>
    </row>
    <row r="37" spans="1:6" ht="12.75">
      <c r="A37" s="22"/>
      <c r="B37" s="22"/>
      <c r="C37" s="20"/>
      <c r="D37" s="20"/>
      <c r="E37" s="20"/>
      <c r="F37" s="20"/>
    </row>
    <row r="38" spans="1:6" ht="12.75">
      <c r="A38" s="22"/>
      <c r="B38" s="22"/>
      <c r="C38" s="20"/>
      <c r="D38" s="20"/>
      <c r="E38" s="20"/>
      <c r="F38" s="20"/>
    </row>
    <row r="39" spans="1:6" ht="12.75">
      <c r="A39" s="22"/>
      <c r="B39" s="22"/>
      <c r="C39" s="20"/>
      <c r="D39" s="20"/>
      <c r="E39" s="20"/>
      <c r="F39" s="20"/>
    </row>
    <row r="40" spans="1:6" ht="12.75">
      <c r="A40" s="22"/>
      <c r="B40" s="22"/>
      <c r="C40" s="20"/>
      <c r="D40" s="20"/>
      <c r="E40" s="20"/>
      <c r="F40" s="20"/>
    </row>
    <row r="41" spans="1:6" ht="12.75">
      <c r="A41" s="22"/>
      <c r="B41" s="22"/>
      <c r="C41" s="20"/>
      <c r="D41" s="20"/>
      <c r="E41" s="20"/>
      <c r="F41" s="20"/>
    </row>
    <row r="42" spans="1:6" ht="12.75">
      <c r="A42" s="22"/>
      <c r="B42" s="22"/>
      <c r="C42" s="20"/>
      <c r="D42" s="20"/>
      <c r="E42" s="20"/>
      <c r="F42" s="20"/>
    </row>
    <row r="43" spans="1:6" ht="12.75">
      <c r="A43" s="22"/>
      <c r="B43" s="22"/>
      <c r="C43" s="20"/>
      <c r="D43" s="20"/>
      <c r="E43" s="20"/>
      <c r="F43" s="20"/>
    </row>
    <row r="44" spans="1:6" ht="12.75">
      <c r="A44" s="22"/>
      <c r="B44" s="22"/>
      <c r="C44" s="20"/>
      <c r="D44" s="20"/>
      <c r="E44" s="20"/>
      <c r="F44" s="20"/>
    </row>
    <row r="45" spans="1:6" ht="12.75">
      <c r="A45" s="22"/>
      <c r="B45" s="22"/>
      <c r="C45" s="20"/>
      <c r="D45" s="20"/>
      <c r="E45" s="20"/>
      <c r="F45" s="20"/>
    </row>
    <row r="46" spans="1:6" ht="12.75">
      <c r="A46" s="22"/>
      <c r="B46" s="22"/>
      <c r="C46" s="20"/>
      <c r="D46" s="20"/>
      <c r="E46" s="20"/>
      <c r="F46" s="20"/>
    </row>
    <row r="47" spans="1:6" ht="12.75">
      <c r="A47" s="22"/>
      <c r="B47" s="22"/>
      <c r="C47" s="20"/>
      <c r="D47" s="20"/>
      <c r="E47" s="20"/>
      <c r="F47" s="20"/>
    </row>
    <row r="48" spans="1:6" ht="12.75">
      <c r="A48" s="22"/>
      <c r="B48" s="22"/>
      <c r="C48" s="20"/>
      <c r="D48" s="20"/>
      <c r="E48" s="20"/>
      <c r="F48" s="20"/>
    </row>
    <row r="49" spans="1:6" ht="12.75">
      <c r="A49" s="22"/>
      <c r="B49" s="22"/>
      <c r="C49" s="20"/>
      <c r="D49" s="20"/>
      <c r="E49" s="20"/>
      <c r="F49" s="20"/>
    </row>
    <row r="50" spans="1:6" ht="12.75">
      <c r="A50" s="22"/>
      <c r="B50" s="22"/>
      <c r="C50" s="20"/>
      <c r="D50" s="20"/>
      <c r="E50" s="20"/>
      <c r="F50" s="20"/>
    </row>
    <row r="51" spans="1:6" ht="12.75">
      <c r="A51" s="22"/>
      <c r="B51" s="22"/>
      <c r="C51" s="20"/>
      <c r="D51" s="20"/>
      <c r="E51" s="20"/>
      <c r="F51" s="20"/>
    </row>
    <row r="52" spans="1:6" ht="12.75">
      <c r="A52" s="22"/>
      <c r="B52" s="22"/>
      <c r="C52" s="20"/>
      <c r="D52" s="20"/>
      <c r="E52" s="20"/>
      <c r="F52" s="20"/>
    </row>
    <row r="53" spans="1:6" ht="12.75">
      <c r="A53" s="22"/>
      <c r="B53" s="22"/>
      <c r="C53" s="20"/>
      <c r="D53" s="20"/>
      <c r="E53" s="20"/>
      <c r="F53" s="20"/>
    </row>
    <row r="54" spans="1:6" ht="12.75">
      <c r="A54" s="22"/>
      <c r="B54" s="22"/>
      <c r="C54" s="20"/>
      <c r="D54" s="20"/>
      <c r="E54" s="20"/>
      <c r="F54" s="20"/>
    </row>
    <row r="55" spans="1:6" ht="12.75">
      <c r="A55" s="22"/>
      <c r="B55" s="22"/>
      <c r="C55" s="20"/>
      <c r="D55" s="20"/>
      <c r="E55" s="20"/>
      <c r="F55" s="20"/>
    </row>
    <row r="56" spans="1:6" ht="12.75">
      <c r="A56" s="22"/>
      <c r="B56" s="22"/>
      <c r="C56" s="20"/>
      <c r="D56" s="20"/>
      <c r="E56" s="20"/>
      <c r="F56" s="20"/>
    </row>
    <row r="57" spans="1:6" ht="12.75">
      <c r="A57" s="22"/>
      <c r="B57" s="22"/>
      <c r="C57" s="20"/>
      <c r="D57" s="20"/>
      <c r="E57" s="20"/>
      <c r="F57" s="20"/>
    </row>
    <row r="58" spans="1:6" ht="12.75">
      <c r="A58" s="22"/>
      <c r="B58" s="22"/>
      <c r="C58" s="20"/>
      <c r="D58" s="20"/>
      <c r="E58" s="20"/>
      <c r="F58" s="20"/>
    </row>
    <row r="59" spans="1:6" ht="12.75">
      <c r="A59" s="22"/>
      <c r="B59" s="22"/>
      <c r="C59" s="20"/>
      <c r="D59" s="20"/>
      <c r="E59" s="20"/>
      <c r="F59" s="20"/>
    </row>
    <row r="60" spans="1:6" ht="12.75">
      <c r="A60" s="22"/>
      <c r="B60" s="22"/>
      <c r="C60" s="20"/>
      <c r="D60" s="20"/>
      <c r="E60" s="20"/>
      <c r="F60" s="20"/>
    </row>
    <row r="61" spans="1:6" ht="12.75">
      <c r="A61" s="22"/>
      <c r="B61" s="22"/>
      <c r="C61" s="20"/>
      <c r="D61" s="20"/>
      <c r="E61" s="20"/>
      <c r="F61" s="20"/>
    </row>
    <row r="62" spans="1:6" ht="12.75">
      <c r="A62" s="22"/>
      <c r="B62" s="22"/>
      <c r="C62" s="20"/>
      <c r="D62" s="20"/>
      <c r="E62" s="20"/>
      <c r="F62" s="20"/>
    </row>
    <row r="63" spans="1:6" ht="12.75">
      <c r="A63" s="22"/>
      <c r="B63" s="22"/>
      <c r="C63" s="20"/>
      <c r="D63" s="20"/>
      <c r="E63" s="20"/>
      <c r="F63" s="20"/>
    </row>
    <row r="64" spans="1:6" ht="12.75">
      <c r="A64" s="22"/>
      <c r="B64" s="22"/>
      <c r="C64" s="20"/>
      <c r="D64" s="20"/>
      <c r="E64" s="20"/>
      <c r="F64" s="20"/>
    </row>
    <row r="65" spans="1:6" ht="12.75">
      <c r="A65" s="22"/>
      <c r="B65" s="22"/>
      <c r="C65" s="20"/>
      <c r="D65" s="20"/>
      <c r="E65" s="20"/>
      <c r="F65" s="20"/>
    </row>
    <row r="66" spans="1:6" ht="12.75">
      <c r="A66" s="22"/>
      <c r="B66" s="22"/>
      <c r="C66" s="20"/>
      <c r="D66" s="20"/>
      <c r="E66" s="20"/>
      <c r="F66" s="20"/>
    </row>
    <row r="67" spans="1:6" ht="12.75">
      <c r="A67" s="22"/>
      <c r="B67" s="22"/>
      <c r="C67" s="20"/>
      <c r="D67" s="20"/>
      <c r="E67" s="20"/>
      <c r="F67" s="20"/>
    </row>
    <row r="68" spans="1:6" ht="12.75">
      <c r="A68" s="22"/>
      <c r="B68" s="22"/>
      <c r="C68" s="20"/>
      <c r="D68" s="20"/>
      <c r="E68" s="20"/>
      <c r="F68" s="20"/>
    </row>
    <row r="69" spans="1:6" ht="12.75">
      <c r="A69" s="22"/>
      <c r="B69" s="22"/>
      <c r="C69" s="20"/>
      <c r="D69" s="20"/>
      <c r="E69" s="20"/>
      <c r="F69" s="20"/>
    </row>
    <row r="70" spans="1:6" ht="12.75">
      <c r="A70" s="22"/>
      <c r="B70" s="22"/>
      <c r="C70" s="20"/>
      <c r="D70" s="20"/>
      <c r="E70" s="20"/>
      <c r="F70" s="20"/>
    </row>
    <row r="71" spans="1:6" ht="12.75">
      <c r="A71" s="22"/>
      <c r="B71" s="22"/>
      <c r="C71" s="20"/>
      <c r="D71" s="20"/>
      <c r="E71" s="20"/>
      <c r="F71" s="20"/>
    </row>
    <row r="72" spans="1:6" ht="12.75">
      <c r="A72" s="22"/>
      <c r="B72" s="22"/>
      <c r="C72" s="20"/>
      <c r="D72" s="20"/>
      <c r="E72" s="20"/>
      <c r="F72" s="20"/>
    </row>
    <row r="73" spans="1:6" ht="12.75">
      <c r="A73" s="22"/>
      <c r="B73" s="22"/>
      <c r="C73" s="20"/>
      <c r="D73" s="20"/>
      <c r="E73" s="20"/>
      <c r="F73" s="20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3.25390625" style="10" customWidth="1"/>
    <col min="2" max="3" width="12.75390625" style="10" customWidth="1"/>
    <col min="4" max="4" width="11.625" style="10" customWidth="1"/>
    <col min="5" max="5" width="1.00390625" style="10" customWidth="1"/>
    <col min="6" max="16384" width="9.125" style="10" customWidth="1"/>
  </cols>
  <sheetData>
    <row r="1" ht="15.75">
      <c r="A1" s="116" t="s">
        <v>298</v>
      </c>
    </row>
    <row r="2" ht="15.75">
      <c r="A2" s="116" t="s">
        <v>226</v>
      </c>
    </row>
    <row r="3" spans="1:4" ht="15.75">
      <c r="A3" s="377" t="s">
        <v>27</v>
      </c>
      <c r="B3" s="377"/>
      <c r="C3" s="377"/>
      <c r="D3" s="377"/>
    </row>
    <row r="4" spans="1:4" ht="15.75">
      <c r="A4" s="377" t="s">
        <v>193</v>
      </c>
      <c r="B4" s="377"/>
      <c r="C4" s="377"/>
      <c r="D4" s="377"/>
    </row>
    <row r="5" spans="1:4" s="19" customFormat="1" ht="21" customHeight="1" thickBot="1">
      <c r="A5" s="376" t="s">
        <v>28</v>
      </c>
      <c r="B5" s="376"/>
      <c r="C5" s="376"/>
      <c r="D5" s="376"/>
    </row>
    <row r="6" spans="1:4" s="19" customFormat="1" ht="42" customHeight="1" thickBot="1">
      <c r="A6" s="81" t="s">
        <v>29</v>
      </c>
      <c r="B6" s="77" t="s">
        <v>194</v>
      </c>
      <c r="C6" s="209" t="s">
        <v>225</v>
      </c>
      <c r="D6" s="209" t="s">
        <v>227</v>
      </c>
    </row>
    <row r="7" spans="1:5" s="19" customFormat="1" ht="12.75">
      <c r="A7" s="73" t="s">
        <v>140</v>
      </c>
      <c r="B7" s="80">
        <f>B8+B9</f>
        <v>881718</v>
      </c>
      <c r="C7" s="210">
        <f>C8+C9</f>
        <v>913384</v>
      </c>
      <c r="D7" s="210">
        <f aca="true" t="shared" si="0" ref="D7:D12">C7-B7</f>
        <v>31666</v>
      </c>
      <c r="E7" s="28"/>
    </row>
    <row r="8" spans="1:4" s="19" customFormat="1" ht="12.75">
      <c r="A8" s="104" t="s">
        <v>138</v>
      </c>
      <c r="B8" s="93">
        <v>852498</v>
      </c>
      <c r="C8" s="211">
        <v>866415</v>
      </c>
      <c r="D8" s="211">
        <f t="shared" si="0"/>
        <v>13917</v>
      </c>
    </row>
    <row r="9" spans="1:4" s="19" customFormat="1" ht="12.75">
      <c r="A9" s="104" t="s">
        <v>157</v>
      </c>
      <c r="B9" s="93">
        <v>29220</v>
      </c>
      <c r="C9" s="211">
        <v>46969</v>
      </c>
      <c r="D9" s="211">
        <f t="shared" si="0"/>
        <v>17749</v>
      </c>
    </row>
    <row r="10" spans="1:4" s="19" customFormat="1" ht="12.75">
      <c r="A10" s="82" t="s">
        <v>92</v>
      </c>
      <c r="B10" s="30">
        <v>424107</v>
      </c>
      <c r="C10" s="212">
        <v>424107</v>
      </c>
      <c r="D10" s="212">
        <f t="shared" si="0"/>
        <v>0</v>
      </c>
    </row>
    <row r="11" spans="1:4" s="19" customFormat="1" ht="12.75">
      <c r="A11" s="82" t="s">
        <v>93</v>
      </c>
      <c r="B11" s="30">
        <v>118336</v>
      </c>
      <c r="C11" s="212">
        <v>140827</v>
      </c>
      <c r="D11" s="212">
        <f t="shared" si="0"/>
        <v>22491</v>
      </c>
    </row>
    <row r="12" spans="1:4" s="19" customFormat="1" ht="13.5" thickBot="1">
      <c r="A12" s="85" t="s">
        <v>95</v>
      </c>
      <c r="B12" s="84">
        <v>533</v>
      </c>
      <c r="C12" s="213">
        <v>2611</v>
      </c>
      <c r="D12" s="213">
        <f t="shared" si="0"/>
        <v>2078</v>
      </c>
    </row>
    <row r="13" spans="1:4" s="21" customFormat="1" ht="13.5" thickBot="1">
      <c r="A13" s="87" t="s">
        <v>128</v>
      </c>
      <c r="B13" s="32">
        <f>B7+B10+B11+B12</f>
        <v>1424694</v>
      </c>
      <c r="C13" s="214">
        <f>C7+C10+C11+C12</f>
        <v>1480929</v>
      </c>
      <c r="D13" s="214">
        <f>D7+D10+D11+D12</f>
        <v>56235</v>
      </c>
    </row>
    <row r="14" spans="1:4" s="19" customFormat="1" ht="12.75">
      <c r="A14" s="73" t="s">
        <v>111</v>
      </c>
      <c r="B14" s="29">
        <v>100000</v>
      </c>
      <c r="C14" s="215">
        <v>102445</v>
      </c>
      <c r="D14" s="215">
        <f>C14-B14</f>
        <v>2445</v>
      </c>
    </row>
    <row r="15" spans="1:4" s="19" customFormat="1" ht="12.75">
      <c r="A15" s="92" t="s">
        <v>126</v>
      </c>
      <c r="B15" s="99">
        <v>100000</v>
      </c>
      <c r="C15" s="216">
        <v>102445</v>
      </c>
      <c r="D15" s="216">
        <f>C15-B15</f>
        <v>2445</v>
      </c>
    </row>
    <row r="16" spans="1:4" s="19" customFormat="1" ht="12.75">
      <c r="A16" s="82" t="s">
        <v>94</v>
      </c>
      <c r="B16" s="30">
        <v>76415</v>
      </c>
      <c r="C16" s="212">
        <v>56415</v>
      </c>
      <c r="D16" s="212">
        <f>C16-B16</f>
        <v>-20000</v>
      </c>
    </row>
    <row r="17" spans="1:4" s="19" customFormat="1" ht="12.75">
      <c r="A17" s="82" t="s">
        <v>74</v>
      </c>
      <c r="B17" s="30">
        <f>SUM(B18:B19)</f>
        <v>26964</v>
      </c>
      <c r="C17" s="212">
        <f>SUM(C18:C19)</f>
        <v>24594</v>
      </c>
      <c r="D17" s="212">
        <f>SUM(D18:D19)</f>
        <v>-2370</v>
      </c>
    </row>
    <row r="18" spans="1:4" s="19" customFormat="1" ht="12.75">
      <c r="A18" s="103" t="s">
        <v>249</v>
      </c>
      <c r="B18" s="93">
        <v>14530</v>
      </c>
      <c r="C18" s="211">
        <v>14530</v>
      </c>
      <c r="D18" s="211">
        <f>C18-B18</f>
        <v>0</v>
      </c>
    </row>
    <row r="19" spans="1:4" s="19" customFormat="1" ht="13.5" thickBot="1">
      <c r="A19" s="103" t="s">
        <v>139</v>
      </c>
      <c r="B19" s="98">
        <v>12434</v>
      </c>
      <c r="C19" s="217">
        <v>10064</v>
      </c>
      <c r="D19" s="217">
        <f>C19-B19</f>
        <v>-2370</v>
      </c>
    </row>
    <row r="20" spans="1:4" s="21" customFormat="1" ht="14.25" customHeight="1" thickBot="1">
      <c r="A20" s="87" t="s">
        <v>129</v>
      </c>
      <c r="B20" s="32">
        <f>B17+B16+B14</f>
        <v>203379</v>
      </c>
      <c r="C20" s="214">
        <f>C17+C16+C14</f>
        <v>183454</v>
      </c>
      <c r="D20" s="214">
        <f>D17+D16+D14</f>
        <v>-19925</v>
      </c>
    </row>
    <row r="21" spans="1:4" s="21" customFormat="1" ht="15.75" customHeight="1" thickBot="1">
      <c r="A21" s="89" t="s">
        <v>127</v>
      </c>
      <c r="B21" s="88">
        <f>B20+B13</f>
        <v>1628073</v>
      </c>
      <c r="C21" s="218">
        <f>C20+C13</f>
        <v>1664383</v>
      </c>
      <c r="D21" s="218">
        <f>D20+D13</f>
        <v>36310</v>
      </c>
    </row>
    <row r="22" spans="1:4" s="19" customFormat="1" ht="12.75">
      <c r="A22" s="90" t="s">
        <v>91</v>
      </c>
      <c r="B22" s="80">
        <f>SUM(B23:B24)</f>
        <v>163814</v>
      </c>
      <c r="C22" s="210">
        <f>SUM(C23:C24)</f>
        <v>195900</v>
      </c>
      <c r="D22" s="210">
        <f>SUM(D23:D24)</f>
        <v>32086</v>
      </c>
    </row>
    <row r="23" spans="1:4" s="19" customFormat="1" ht="12.75">
      <c r="A23" s="92" t="s">
        <v>130</v>
      </c>
      <c r="B23" s="93">
        <v>133664</v>
      </c>
      <c r="C23" s="211">
        <v>165750</v>
      </c>
      <c r="D23" s="211">
        <f>C23-B23</f>
        <v>32086</v>
      </c>
    </row>
    <row r="24" spans="1:4" s="19" customFormat="1" ht="13.5" thickBot="1">
      <c r="A24" s="96" t="s">
        <v>131</v>
      </c>
      <c r="B24" s="94">
        <v>30150</v>
      </c>
      <c r="C24" s="220">
        <v>30150</v>
      </c>
      <c r="D24" s="220">
        <f>C24-B24</f>
        <v>0</v>
      </c>
    </row>
    <row r="25" spans="1:4" s="21" customFormat="1" ht="15.75" customHeight="1" thickBot="1">
      <c r="A25" s="87" t="s">
        <v>132</v>
      </c>
      <c r="B25" s="32">
        <f>SUM(B22)</f>
        <v>163814</v>
      </c>
      <c r="C25" s="214">
        <f>SUM(C22)</f>
        <v>195900</v>
      </c>
      <c r="D25" s="214">
        <f>SUM(D22)</f>
        <v>32086</v>
      </c>
    </row>
    <row r="26" spans="1:4" s="21" customFormat="1" ht="15.75" customHeight="1" thickBot="1">
      <c r="A26" s="83" t="s">
        <v>30</v>
      </c>
      <c r="B26" s="33">
        <f>B13+B20+B22</f>
        <v>1791887</v>
      </c>
      <c r="C26" s="221">
        <f>C13+C20+C22</f>
        <v>1860283</v>
      </c>
      <c r="D26" s="221">
        <f>D13+D20+D22</f>
        <v>68396</v>
      </c>
    </row>
    <row r="27" s="19" customFormat="1" ht="12.75"/>
    <row r="28" spans="1:4" s="19" customFormat="1" ht="13.5" thickBot="1">
      <c r="A28" s="376" t="s">
        <v>31</v>
      </c>
      <c r="B28" s="376"/>
      <c r="C28" s="376"/>
      <c r="D28" s="376"/>
    </row>
    <row r="29" spans="1:4" s="19" customFormat="1" ht="40.5" customHeight="1" thickBot="1">
      <c r="A29" s="76" t="s">
        <v>29</v>
      </c>
      <c r="B29" s="317" t="s">
        <v>194</v>
      </c>
      <c r="C29" s="317" t="s">
        <v>225</v>
      </c>
      <c r="D29" s="317" t="s">
        <v>227</v>
      </c>
    </row>
    <row r="30" spans="1:4" s="19" customFormat="1" ht="12.75">
      <c r="A30" s="73" t="s">
        <v>32</v>
      </c>
      <c r="B30" s="29">
        <v>286728</v>
      </c>
      <c r="C30" s="29">
        <v>289296</v>
      </c>
      <c r="D30" s="29">
        <f>C30-B30</f>
        <v>2568</v>
      </c>
    </row>
    <row r="31" spans="1:4" s="19" customFormat="1" ht="12.75">
      <c r="A31" s="82" t="s">
        <v>33</v>
      </c>
      <c r="B31" s="30">
        <v>83086</v>
      </c>
      <c r="C31" s="30">
        <v>83469</v>
      </c>
      <c r="D31" s="30">
        <f>C31-B31</f>
        <v>383</v>
      </c>
    </row>
    <row r="32" spans="1:4" s="19" customFormat="1" ht="12.75">
      <c r="A32" s="82" t="s">
        <v>17</v>
      </c>
      <c r="B32" s="30">
        <v>488875</v>
      </c>
      <c r="C32" s="30">
        <f>527072+1778</f>
        <v>528850</v>
      </c>
      <c r="D32" s="30">
        <f>C32-B32</f>
        <v>39975</v>
      </c>
    </row>
    <row r="33" spans="1:4" s="19" customFormat="1" ht="12.75">
      <c r="A33" s="82" t="s">
        <v>34</v>
      </c>
      <c r="B33" s="30">
        <v>25800</v>
      </c>
      <c r="C33" s="30">
        <v>25800</v>
      </c>
      <c r="D33" s="30">
        <f>C33-B33</f>
        <v>0</v>
      </c>
    </row>
    <row r="34" spans="1:5" s="19" customFormat="1" ht="12.75">
      <c r="A34" s="82" t="s">
        <v>141</v>
      </c>
      <c r="B34" s="30">
        <f>SUM(B35:B38)</f>
        <v>644391</v>
      </c>
      <c r="C34" s="30">
        <f>SUM(C35:C38)</f>
        <v>654692</v>
      </c>
      <c r="D34" s="30">
        <f>SUM(D35:D38)</f>
        <v>10301</v>
      </c>
      <c r="E34" s="36"/>
    </row>
    <row r="35" spans="1:5" s="19" customFormat="1" ht="12.75">
      <c r="A35" s="92" t="s">
        <v>133</v>
      </c>
      <c r="B35" s="93">
        <v>113976</v>
      </c>
      <c r="C35" s="93">
        <v>115680</v>
      </c>
      <c r="D35" s="93">
        <f>C35-B35</f>
        <v>1704</v>
      </c>
      <c r="E35" s="36"/>
    </row>
    <row r="36" spans="1:5" s="19" customFormat="1" ht="12.75">
      <c r="A36" s="92" t="s">
        <v>158</v>
      </c>
      <c r="B36" s="93">
        <v>474071</v>
      </c>
      <c r="C36" s="93">
        <v>491350</v>
      </c>
      <c r="D36" s="93">
        <f>C36-B36</f>
        <v>17279</v>
      </c>
      <c r="E36" s="36"/>
    </row>
    <row r="37" spans="1:4" s="19" customFormat="1" ht="12.75">
      <c r="A37" s="92" t="s">
        <v>159</v>
      </c>
      <c r="B37" s="93">
        <v>32653</v>
      </c>
      <c r="C37" s="93">
        <v>32492</v>
      </c>
      <c r="D37" s="93">
        <f>C37-B37</f>
        <v>-161</v>
      </c>
    </row>
    <row r="38" spans="1:4" s="19" customFormat="1" ht="13.5" thickBot="1">
      <c r="A38" s="92" t="s">
        <v>142</v>
      </c>
      <c r="B38" s="31">
        <f>19412+5429-750-300-100</f>
        <v>23691</v>
      </c>
      <c r="C38" s="31">
        <f>16256-1778+1+691</f>
        <v>15170</v>
      </c>
      <c r="D38" s="31">
        <f>C38-B38</f>
        <v>-8521</v>
      </c>
    </row>
    <row r="39" spans="1:5" s="19" customFormat="1" ht="13.5" thickBot="1">
      <c r="A39" s="87" t="s">
        <v>134</v>
      </c>
      <c r="B39" s="32">
        <f>B30+B31+B32+B33+B34</f>
        <v>1528880</v>
      </c>
      <c r="C39" s="32">
        <f>C30+C31+C32+C33+C34</f>
        <v>1582107</v>
      </c>
      <c r="D39" s="32">
        <f>D30+D31+D32+D33+D34</f>
        <v>53227</v>
      </c>
      <c r="E39" s="36"/>
    </row>
    <row r="40" spans="1:4" s="19" customFormat="1" ht="12.75">
      <c r="A40" s="73" t="s">
        <v>73</v>
      </c>
      <c r="B40" s="30">
        <v>72500</v>
      </c>
      <c r="C40" s="30">
        <f>71510-1</f>
        <v>71509</v>
      </c>
      <c r="D40" s="30">
        <f>C40-B40</f>
        <v>-991</v>
      </c>
    </row>
    <row r="41" spans="1:4" s="19" customFormat="1" ht="12.75">
      <c r="A41" s="91" t="s">
        <v>19</v>
      </c>
      <c r="B41" s="29">
        <v>149418</v>
      </c>
      <c r="C41" s="29">
        <f>157369-691</f>
        <v>156678</v>
      </c>
      <c r="D41" s="29">
        <f>C41-B41</f>
        <v>7260</v>
      </c>
    </row>
    <row r="42" spans="1:4" s="19" customFormat="1" ht="12.75">
      <c r="A42" s="82" t="s">
        <v>117</v>
      </c>
      <c r="B42" s="30">
        <f>SUM(B43:B45)</f>
        <v>11611</v>
      </c>
      <c r="C42" s="30">
        <f>SUM(C43:C45)</f>
        <v>20511</v>
      </c>
      <c r="D42" s="30">
        <f>SUM(D43:D45)</f>
        <v>8900</v>
      </c>
    </row>
    <row r="43" spans="1:4" s="19" customFormat="1" ht="12.75">
      <c r="A43" s="92" t="s">
        <v>248</v>
      </c>
      <c r="B43" s="93">
        <v>1460</v>
      </c>
      <c r="C43" s="93">
        <v>1460</v>
      </c>
      <c r="D43" s="93">
        <f>C43-B43</f>
        <v>0</v>
      </c>
    </row>
    <row r="44" spans="1:4" s="19" customFormat="1" ht="12.75">
      <c r="A44" s="92" t="s">
        <v>246</v>
      </c>
      <c r="B44" s="93">
        <v>10151</v>
      </c>
      <c r="C44" s="93">
        <v>11176</v>
      </c>
      <c r="D44" s="93">
        <f>C44-B44</f>
        <v>1025</v>
      </c>
    </row>
    <row r="45" spans="1:4" s="19" customFormat="1" ht="13.5" thickBot="1">
      <c r="A45" s="92" t="s">
        <v>247</v>
      </c>
      <c r="B45" s="94"/>
      <c r="C45" s="94">
        <v>7875</v>
      </c>
      <c r="D45" s="94">
        <f>C45-B45</f>
        <v>7875</v>
      </c>
    </row>
    <row r="46" spans="1:4" s="19" customFormat="1" ht="13.5" thickBot="1">
      <c r="A46" s="87" t="s">
        <v>135</v>
      </c>
      <c r="B46" s="32">
        <f>B40+B41+B42</f>
        <v>233529</v>
      </c>
      <c r="C46" s="32">
        <f>C40+C41+C42</f>
        <v>248698</v>
      </c>
      <c r="D46" s="32">
        <f>D40+D41+D42</f>
        <v>15169</v>
      </c>
    </row>
    <row r="47" spans="1:4" s="21" customFormat="1" ht="15.75" customHeight="1" thickBot="1">
      <c r="A47" s="89" t="s">
        <v>136</v>
      </c>
      <c r="B47" s="88">
        <f>B46+B39</f>
        <v>1762409</v>
      </c>
      <c r="C47" s="88">
        <f>C46+C39</f>
        <v>1830805</v>
      </c>
      <c r="D47" s="88">
        <f>D46+D39</f>
        <v>68396</v>
      </c>
    </row>
    <row r="48" spans="1:4" s="19" customFormat="1" ht="15.75" customHeight="1" thickBot="1">
      <c r="A48" s="102" t="s">
        <v>137</v>
      </c>
      <c r="B48" s="100">
        <v>29478</v>
      </c>
      <c r="C48" s="100">
        <v>29478</v>
      </c>
      <c r="D48" s="100">
        <f>C48-B48</f>
        <v>0</v>
      </c>
    </row>
    <row r="49" spans="1:5" s="21" customFormat="1" ht="15.75" customHeight="1" thickBot="1">
      <c r="A49" s="83" t="s">
        <v>35</v>
      </c>
      <c r="B49" s="33">
        <f>B48+B47</f>
        <v>1791887</v>
      </c>
      <c r="C49" s="33">
        <f>C48+C47</f>
        <v>1860283</v>
      </c>
      <c r="D49" s="33">
        <f>D48+D47</f>
        <v>68396</v>
      </c>
      <c r="E49" s="21" t="s">
        <v>234</v>
      </c>
    </row>
    <row r="50" ht="15.75">
      <c r="C50" s="11"/>
    </row>
    <row r="51" ht="15.75">
      <c r="C51" s="11"/>
    </row>
    <row r="52" spans="1:4" ht="15.75">
      <c r="A52" s="11"/>
      <c r="B52" s="11"/>
      <c r="C52" s="11"/>
      <c r="D52" s="11"/>
    </row>
  </sheetData>
  <sheetProtection/>
  <mergeCells count="4">
    <mergeCell ref="A5:D5"/>
    <mergeCell ref="A4:D4"/>
    <mergeCell ref="A3:D3"/>
    <mergeCell ref="A28:D28"/>
  </mergeCells>
  <printOptions/>
  <pageMargins left="0.7" right="0.52" top="0.66" bottom="0.7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45" customWidth="1"/>
    <col min="2" max="2" width="89.75390625" style="45" customWidth="1"/>
    <col min="3" max="4" width="14.25390625" style="44" customWidth="1"/>
    <col min="5" max="5" width="12.625" style="44" customWidth="1"/>
    <col min="6" max="16384" width="9.125" style="45" customWidth="1"/>
  </cols>
  <sheetData>
    <row r="1" s="10" customFormat="1" ht="15.75">
      <c r="A1" s="116" t="s">
        <v>299</v>
      </c>
    </row>
    <row r="2" spans="1:5" s="42" customFormat="1" ht="15" customHeight="1">
      <c r="A2" s="43"/>
      <c r="B2" s="43" t="s">
        <v>229</v>
      </c>
      <c r="C2" s="41"/>
      <c r="D2" s="41"/>
      <c r="E2" s="41"/>
    </row>
    <row r="3" spans="1:5" s="42" customFormat="1" ht="3.75" customHeight="1">
      <c r="A3" s="43"/>
      <c r="B3" s="43"/>
      <c r="C3" s="41"/>
      <c r="D3" s="41"/>
      <c r="E3" s="41"/>
    </row>
    <row r="4" spans="1:5" ht="12.75">
      <c r="A4" s="378" t="s">
        <v>206</v>
      </c>
      <c r="B4" s="378"/>
      <c r="C4" s="378"/>
      <c r="D4" s="208"/>
      <c r="E4" s="208"/>
    </row>
    <row r="5" spans="2:5" s="46" customFormat="1" ht="23.25">
      <c r="B5" s="258" t="s">
        <v>0</v>
      </c>
      <c r="C5" s="47" t="s">
        <v>250</v>
      </c>
      <c r="D5" s="47" t="s">
        <v>251</v>
      </c>
      <c r="E5" s="47" t="s">
        <v>228</v>
      </c>
    </row>
    <row r="6" spans="1:6" s="65" customFormat="1" ht="14.25">
      <c r="A6" s="257" t="s">
        <v>207</v>
      </c>
      <c r="B6" s="257"/>
      <c r="C6" s="257"/>
      <c r="D6" s="257"/>
      <c r="E6" s="257"/>
      <c r="F6" s="257"/>
    </row>
    <row r="7" spans="2:5" s="51" customFormat="1" ht="12.75" customHeight="1">
      <c r="B7" s="52" t="s">
        <v>49</v>
      </c>
      <c r="C7" s="53">
        <f>C8+C9+C14+C17+C15+C16+C18</f>
        <v>260843287</v>
      </c>
      <c r="D7" s="53">
        <f>D8+D9+D14+D17+D15+D16+D18</f>
        <v>260843287</v>
      </c>
      <c r="E7" s="53">
        <f>E8+E9+E14+E17+E15+E16+E18</f>
        <v>0</v>
      </c>
    </row>
    <row r="8" spans="2:5" ht="12.75" customHeight="1">
      <c r="B8" s="54" t="s">
        <v>43</v>
      </c>
      <c r="C8" s="44">
        <v>160666400</v>
      </c>
      <c r="D8" s="44">
        <v>160666400</v>
      </c>
      <c r="E8" s="44">
        <f>D8-C8</f>
        <v>0</v>
      </c>
    </row>
    <row r="9" spans="2:5" ht="12.75" customHeight="1">
      <c r="B9" s="55" t="s">
        <v>44</v>
      </c>
      <c r="C9" s="44">
        <f>C10+C11+C12+C13</f>
        <v>77666094</v>
      </c>
      <c r="D9" s="44">
        <f>D10+D11+D12+D13</f>
        <v>77666094</v>
      </c>
      <c r="E9" s="44">
        <f>E10+E11+E12+E13</f>
        <v>0</v>
      </c>
    </row>
    <row r="10" spans="2:5" ht="12.75" customHeight="1">
      <c r="B10" s="56" t="s">
        <v>71</v>
      </c>
      <c r="C10" s="44">
        <v>8031082</v>
      </c>
      <c r="D10" s="44">
        <v>8031082</v>
      </c>
      <c r="E10" s="44">
        <f aca="true" t="shared" si="0" ref="E10:E18">D10-C10</f>
        <v>0</v>
      </c>
    </row>
    <row r="11" spans="2:5" ht="12.75" customHeight="1">
      <c r="B11" s="57" t="s">
        <v>70</v>
      </c>
      <c r="C11" s="44">
        <v>45320000</v>
      </c>
      <c r="D11" s="44">
        <v>45320000</v>
      </c>
      <c r="E11" s="44">
        <f t="shared" si="0"/>
        <v>0</v>
      </c>
    </row>
    <row r="12" spans="2:5" ht="12.75" customHeight="1">
      <c r="B12" s="57" t="s">
        <v>69</v>
      </c>
      <c r="C12" s="44">
        <v>3588312</v>
      </c>
      <c r="D12" s="44">
        <v>3588312</v>
      </c>
      <c r="E12" s="44">
        <f t="shared" si="0"/>
        <v>0</v>
      </c>
    </row>
    <row r="13" spans="2:5" ht="12.75" customHeight="1">
      <c r="B13" s="57" t="s">
        <v>98</v>
      </c>
      <c r="C13" s="44">
        <v>20726700</v>
      </c>
      <c r="D13" s="44">
        <v>20726700</v>
      </c>
      <c r="E13" s="44">
        <f t="shared" si="0"/>
        <v>0</v>
      </c>
    </row>
    <row r="14" spans="2:5" ht="12.75" customHeight="1">
      <c r="B14" s="54" t="s">
        <v>99</v>
      </c>
      <c r="C14" s="44">
        <v>0</v>
      </c>
      <c r="D14" s="44">
        <v>0</v>
      </c>
      <c r="E14" s="44">
        <f t="shared" si="0"/>
        <v>0</v>
      </c>
    </row>
    <row r="15" spans="2:5" ht="12.75" customHeight="1">
      <c r="B15" s="54" t="s">
        <v>100</v>
      </c>
      <c r="C15" s="44">
        <v>0</v>
      </c>
      <c r="D15" s="44">
        <v>0</v>
      </c>
      <c r="E15" s="44">
        <f t="shared" si="0"/>
        <v>0</v>
      </c>
    </row>
    <row r="16" spans="2:5" ht="12.75" customHeight="1">
      <c r="B16" s="54" t="s">
        <v>101</v>
      </c>
      <c r="C16" s="44">
        <v>21527950</v>
      </c>
      <c r="D16" s="44">
        <v>21527950</v>
      </c>
      <c r="E16" s="44">
        <f t="shared" si="0"/>
        <v>0</v>
      </c>
    </row>
    <row r="17" spans="2:5" ht="12.75" customHeight="1">
      <c r="B17" s="54" t="s">
        <v>64</v>
      </c>
      <c r="C17" s="44">
        <v>80000</v>
      </c>
      <c r="D17" s="44">
        <v>80000</v>
      </c>
      <c r="E17" s="44">
        <f t="shared" si="0"/>
        <v>0</v>
      </c>
    </row>
    <row r="18" spans="2:5" ht="12.75" customHeight="1">
      <c r="B18" s="54" t="s">
        <v>241</v>
      </c>
      <c r="C18" s="44">
        <v>902843</v>
      </c>
      <c r="D18" s="44">
        <v>902843</v>
      </c>
      <c r="E18" s="44">
        <f t="shared" si="0"/>
        <v>0</v>
      </c>
    </row>
    <row r="19" spans="2:5" ht="12.75" customHeight="1">
      <c r="B19" s="58" t="s">
        <v>50</v>
      </c>
      <c r="C19" s="59">
        <f>C20+C21+C22+C23</f>
        <v>253306933</v>
      </c>
      <c r="D19" s="59">
        <f>D20+D21+D22+D23</f>
        <v>253306933</v>
      </c>
      <c r="E19" s="59">
        <f>E20+E21+E22+E23</f>
        <v>0</v>
      </c>
    </row>
    <row r="20" spans="2:5" ht="12.75" customHeight="1">
      <c r="B20" s="60" t="s">
        <v>102</v>
      </c>
      <c r="C20" s="44">
        <f>107125600+30000000+52414000+15000000+1277500</f>
        <v>205817100</v>
      </c>
      <c r="D20" s="44">
        <f>107125600+30000000+52414000+15000000+1277500</f>
        <v>205817100</v>
      </c>
      <c r="E20" s="222">
        <f>D20-C20</f>
        <v>0</v>
      </c>
    </row>
    <row r="21" spans="2:5" ht="12.75" customHeight="1">
      <c r="B21" s="61" t="s">
        <v>62</v>
      </c>
      <c r="C21" s="44">
        <f>693333+21760000+293333+10666667</f>
        <v>33413333</v>
      </c>
      <c r="D21" s="44">
        <f>693333+21760000+293333+10666667</f>
        <v>33413333</v>
      </c>
      <c r="E21" s="222">
        <f>D21-C21</f>
        <v>0</v>
      </c>
    </row>
    <row r="22" spans="2:5" ht="12.75" customHeight="1">
      <c r="B22" s="54" t="s">
        <v>103</v>
      </c>
      <c r="C22" s="44">
        <v>11420500</v>
      </c>
      <c r="D22" s="44">
        <v>11420500</v>
      </c>
      <c r="E22" s="222">
        <f>D22-C22</f>
        <v>0</v>
      </c>
    </row>
    <row r="23" spans="2:5" ht="12.75" customHeight="1">
      <c r="B23" s="54" t="s">
        <v>104</v>
      </c>
      <c r="C23" s="44">
        <f>2304000+352000</f>
        <v>2656000</v>
      </c>
      <c r="D23" s="44">
        <f>2304000+352000</f>
        <v>2656000</v>
      </c>
      <c r="E23" s="222">
        <f>D23-C23</f>
        <v>0</v>
      </c>
    </row>
    <row r="24" spans="2:5" ht="12.75" customHeight="1">
      <c r="B24" s="58" t="s">
        <v>51</v>
      </c>
      <c r="C24" s="59">
        <f>C25+C26+C27+C28+C29+C30+C32+C31</f>
        <v>297567703</v>
      </c>
      <c r="D24" s="59">
        <f>D25+D26+D27+D28+D29+D30+D32+D31</f>
        <v>304997903</v>
      </c>
      <c r="E24" s="59">
        <f>E25+E26+E27+E28+E29+E30+E32+E31</f>
        <v>7430200</v>
      </c>
    </row>
    <row r="25" spans="2:5" ht="12.75" customHeight="1">
      <c r="B25" s="54" t="s">
        <v>105</v>
      </c>
      <c r="C25" s="44">
        <v>0</v>
      </c>
      <c r="D25" s="44">
        <v>0</v>
      </c>
      <c r="E25" s="44">
        <v>0</v>
      </c>
    </row>
    <row r="26" spans="2:5" ht="12.75" customHeight="1">
      <c r="B26" s="54" t="s">
        <v>106</v>
      </c>
      <c r="C26" s="44">
        <v>64468488</v>
      </c>
      <c r="D26" s="44">
        <v>64468488</v>
      </c>
      <c r="E26" s="44">
        <f aca="true" t="shared" si="1" ref="E26:E32">D26-C26</f>
        <v>0</v>
      </c>
    </row>
    <row r="27" spans="2:5" ht="12.75" customHeight="1">
      <c r="B27" s="54" t="s">
        <v>107</v>
      </c>
      <c r="C27" s="44">
        <f>12000000+10500000+9377984+3958500+9646500+10882080+8893800+12879625</f>
        <v>78138489</v>
      </c>
      <c r="D27" s="44">
        <f>12000000+10500000+9377984+3958500+9646500+10882080+8893800+12879625</f>
        <v>78138489</v>
      </c>
      <c r="E27" s="44">
        <f t="shared" si="1"/>
        <v>0</v>
      </c>
    </row>
    <row r="28" spans="2:5" ht="26.25" customHeight="1">
      <c r="B28" s="54" t="s">
        <v>108</v>
      </c>
      <c r="C28" s="44">
        <f>20848320+2655000</f>
        <v>23503320</v>
      </c>
      <c r="D28" s="44">
        <f>20848320+2655000</f>
        <v>23503320</v>
      </c>
      <c r="E28" s="44">
        <f t="shared" si="1"/>
        <v>0</v>
      </c>
    </row>
    <row r="29" spans="2:5" ht="12.75" customHeight="1">
      <c r="B29" s="54" t="s">
        <v>66</v>
      </c>
      <c r="C29" s="44">
        <v>46675200</v>
      </c>
      <c r="D29" s="44">
        <v>46675200</v>
      </c>
      <c r="E29" s="44">
        <f t="shared" si="1"/>
        <v>0</v>
      </c>
    </row>
    <row r="30" spans="2:5" ht="12.75" customHeight="1">
      <c r="B30" s="54" t="s">
        <v>65</v>
      </c>
      <c r="C30" s="44">
        <v>80255926</v>
      </c>
      <c r="D30" s="44">
        <v>80255926</v>
      </c>
      <c r="E30" s="44">
        <f t="shared" si="1"/>
        <v>0</v>
      </c>
    </row>
    <row r="31" spans="2:5" ht="12.75" customHeight="1">
      <c r="B31" s="54" t="s">
        <v>267</v>
      </c>
      <c r="C31" s="44">
        <v>0</v>
      </c>
      <c r="D31" s="44">
        <v>7430200</v>
      </c>
      <c r="E31" s="44">
        <f t="shared" si="1"/>
        <v>7430200</v>
      </c>
    </row>
    <row r="32" spans="2:5" ht="12.75" customHeight="1">
      <c r="B32" s="54" t="s">
        <v>224</v>
      </c>
      <c r="C32" s="44">
        <v>4526280</v>
      </c>
      <c r="D32" s="44">
        <v>4526280</v>
      </c>
      <c r="E32" s="44">
        <f t="shared" si="1"/>
        <v>0</v>
      </c>
    </row>
    <row r="33" spans="2:5" ht="12.75" customHeight="1">
      <c r="B33" s="58" t="s">
        <v>67</v>
      </c>
      <c r="C33" s="59">
        <f>SUM(C34:C36)</f>
        <v>40779860</v>
      </c>
      <c r="D33" s="59">
        <f>SUM(D34:D36)</f>
        <v>42570616</v>
      </c>
      <c r="E33" s="59">
        <f>SUM(E34:E36)</f>
        <v>1790756</v>
      </c>
    </row>
    <row r="34" spans="2:5" ht="12.75" customHeight="1">
      <c r="B34" s="54" t="s">
        <v>72</v>
      </c>
      <c r="C34" s="44">
        <v>13051860</v>
      </c>
      <c r="D34" s="44">
        <v>13051860</v>
      </c>
      <c r="E34" s="44">
        <f>D34-C34</f>
        <v>0</v>
      </c>
    </row>
    <row r="35" spans="2:5" ht="12.75" customHeight="1">
      <c r="B35" s="54" t="s">
        <v>52</v>
      </c>
      <c r="C35" s="44">
        <v>27728000</v>
      </c>
      <c r="D35" s="44">
        <v>27728000</v>
      </c>
      <c r="E35" s="44">
        <f>D35-C35</f>
        <v>0</v>
      </c>
    </row>
    <row r="36" spans="2:5" ht="12.75" customHeight="1">
      <c r="B36" s="54" t="s">
        <v>239</v>
      </c>
      <c r="D36" s="44">
        <v>1790756</v>
      </c>
      <c r="E36" s="44">
        <f>D36-C36</f>
        <v>1790756</v>
      </c>
    </row>
    <row r="37" spans="2:5" ht="12.75" customHeight="1">
      <c r="B37" s="58" t="s">
        <v>63</v>
      </c>
      <c r="C37" s="59">
        <v>-36706128</v>
      </c>
      <c r="D37" s="59">
        <v>-36706128</v>
      </c>
      <c r="E37" s="59">
        <f>D37-C37</f>
        <v>0</v>
      </c>
    </row>
    <row r="38" spans="2:5" s="65" customFormat="1" ht="16.5" customHeight="1">
      <c r="B38" s="67" t="s">
        <v>45</v>
      </c>
      <c r="C38" s="68">
        <f>C7+C19+C24+C33</f>
        <v>852497783</v>
      </c>
      <c r="D38" s="68">
        <f>D7+D19+D24+D33</f>
        <v>861718739</v>
      </c>
      <c r="E38" s="68">
        <f>E7+E19+E24+E33</f>
        <v>9220956</v>
      </c>
    </row>
    <row r="39" ht="12.75" customHeight="1">
      <c r="B39" s="62"/>
    </row>
    <row r="40" spans="1:6" s="66" customFormat="1" ht="17.25" customHeight="1">
      <c r="A40" s="379" t="s">
        <v>237</v>
      </c>
      <c r="B40" s="379"/>
      <c r="C40" s="379"/>
      <c r="D40" s="379"/>
      <c r="E40" s="379"/>
      <c r="F40" s="63"/>
    </row>
    <row r="41" spans="2:5" ht="12.75" customHeight="1">
      <c r="B41" s="54" t="s">
        <v>240</v>
      </c>
      <c r="D41" s="44">
        <v>4696191</v>
      </c>
      <c r="E41" s="44">
        <f>D41-C41</f>
        <v>4696191</v>
      </c>
    </row>
    <row r="42" spans="1:6" s="66" customFormat="1" ht="29.25">
      <c r="A42" s="63"/>
      <c r="B42" s="69" t="s">
        <v>235</v>
      </c>
      <c r="C42" s="70">
        <f>C41</f>
        <v>0</v>
      </c>
      <c r="D42" s="70">
        <f>D41</f>
        <v>4696191</v>
      </c>
      <c r="E42" s="70">
        <f>E41</f>
        <v>4696191</v>
      </c>
      <c r="F42" s="63"/>
    </row>
    <row r="43" spans="1:6" ht="17.25" customHeight="1">
      <c r="A43" s="63"/>
      <c r="B43" s="63"/>
      <c r="C43" s="63"/>
      <c r="D43" s="63"/>
      <c r="E43" s="63"/>
      <c r="F43" s="63"/>
    </row>
    <row r="44" spans="1:5" s="48" customFormat="1" ht="18" customHeight="1">
      <c r="A44" s="71"/>
      <c r="B44" s="71" t="s">
        <v>236</v>
      </c>
      <c r="C44" s="72">
        <f>C42+C38</f>
        <v>852497783</v>
      </c>
      <c r="D44" s="72">
        <f>D42+D38</f>
        <v>866414930</v>
      </c>
      <c r="E44" s="72">
        <f>E42+E38</f>
        <v>13917147</v>
      </c>
    </row>
    <row r="45" ht="12.75" customHeight="1"/>
    <row r="46" ht="12.75" customHeight="1">
      <c r="B46" s="64"/>
    </row>
    <row r="47" spans="1:6" s="66" customFormat="1" ht="17.25" customHeight="1">
      <c r="A47" s="379" t="s">
        <v>238</v>
      </c>
      <c r="B47" s="379"/>
      <c r="C47" s="379"/>
      <c r="D47" s="379"/>
      <c r="E47" s="379"/>
      <c r="F47" s="63"/>
    </row>
    <row r="48" spans="2:5" s="49" customFormat="1" ht="17.25" customHeight="1">
      <c r="B48" s="256" t="s">
        <v>242</v>
      </c>
      <c r="C48" s="44">
        <v>100000000</v>
      </c>
      <c r="D48" s="44">
        <v>100000000</v>
      </c>
      <c r="E48" s="44">
        <f>D48-C48</f>
        <v>0</v>
      </c>
    </row>
    <row r="49" spans="2:5" s="49" customFormat="1" ht="12.75" customHeight="1">
      <c r="B49" s="256" t="s">
        <v>243</v>
      </c>
      <c r="C49" s="50"/>
      <c r="D49" s="44">
        <v>75000</v>
      </c>
      <c r="E49" s="44">
        <f>D49-C49</f>
        <v>75000</v>
      </c>
    </row>
    <row r="50" spans="2:5" ht="12.75" customHeight="1">
      <c r="B50" s="256" t="s">
        <v>244</v>
      </c>
      <c r="D50" s="44">
        <v>2370001</v>
      </c>
      <c r="E50" s="44">
        <f>D50-C50</f>
        <v>2370001</v>
      </c>
    </row>
    <row r="51" spans="1:5" s="48" customFormat="1" ht="18" customHeight="1">
      <c r="A51" s="71"/>
      <c r="B51" s="71" t="s">
        <v>245</v>
      </c>
      <c r="C51" s="72">
        <f>SUM(C48:C50)</f>
        <v>100000000</v>
      </c>
      <c r="D51" s="72">
        <f>SUM(D48:D50)</f>
        <v>102445001</v>
      </c>
      <c r="E51" s="72">
        <f>SUM(E48:E50)</f>
        <v>2445001</v>
      </c>
    </row>
    <row r="53" spans="1:5" s="265" customFormat="1" ht="20.25" customHeight="1">
      <c r="A53" s="380" t="s">
        <v>268</v>
      </c>
      <c r="B53" s="380"/>
      <c r="C53" s="266">
        <f>C51+C44</f>
        <v>952497783</v>
      </c>
      <c r="D53" s="266">
        <f>D51+D44</f>
        <v>968859931</v>
      </c>
      <c r="E53" s="266">
        <f>E51+E44</f>
        <v>16362148</v>
      </c>
    </row>
  </sheetData>
  <sheetProtection/>
  <mergeCells count="4">
    <mergeCell ref="A4:C4"/>
    <mergeCell ref="A47:E47"/>
    <mergeCell ref="A40:E40"/>
    <mergeCell ref="A53:B53"/>
  </mergeCells>
  <printOptions/>
  <pageMargins left="0.77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4"/>
  <sheetViews>
    <sheetView zoomScaleSheetLayoutView="100" zoomScalePageLayoutView="0" workbookViewId="0" topLeftCell="A1">
      <pane xSplit="2" ySplit="4" topLeftCell="P3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A1" sqref="A1"/>
    </sheetView>
  </sheetViews>
  <sheetFormatPr defaultColWidth="9.00390625" defaultRowHeight="12.75"/>
  <cols>
    <col min="1" max="1" width="1.12109375" style="10" customWidth="1"/>
    <col min="2" max="2" width="48.00390625" style="10" customWidth="1"/>
    <col min="3" max="14" width="9.75390625" style="10" customWidth="1"/>
    <col min="15" max="17" width="9.75390625" style="120" customWidth="1"/>
    <col min="18" max="18" width="10.75390625" style="10" customWidth="1"/>
    <col min="19" max="20" width="9.75390625" style="10" customWidth="1"/>
    <col min="21" max="21" width="15.125" style="118" customWidth="1"/>
    <col min="22" max="23" width="9.75390625" style="10" customWidth="1"/>
    <col min="24" max="24" width="13.625" style="10" customWidth="1"/>
    <col min="25" max="26" width="9.75390625" style="10" customWidth="1"/>
    <col min="27" max="35" width="9.125" style="10" customWidth="1"/>
    <col min="36" max="36" width="1.37890625" style="10" customWidth="1"/>
    <col min="37" max="16384" width="9.125" style="10" customWidth="1"/>
  </cols>
  <sheetData>
    <row r="1" spans="1:21" ht="15.75">
      <c r="A1" s="116" t="s">
        <v>300</v>
      </c>
      <c r="O1" s="10"/>
      <c r="P1" s="10"/>
      <c r="Q1" s="10"/>
      <c r="U1" s="10"/>
    </row>
    <row r="2" ht="15.75">
      <c r="A2" s="116" t="s">
        <v>233</v>
      </c>
    </row>
    <row r="3" spans="2:35" ht="39" customHeight="1" thickBot="1">
      <c r="B3" s="316"/>
      <c r="C3" s="381" t="s">
        <v>200</v>
      </c>
      <c r="D3" s="381"/>
      <c r="E3" s="381"/>
      <c r="F3" s="381"/>
      <c r="G3" s="381"/>
      <c r="H3" s="381"/>
      <c r="I3" s="381" t="s">
        <v>200</v>
      </c>
      <c r="J3" s="381"/>
      <c r="K3" s="381"/>
      <c r="L3" s="381"/>
      <c r="M3" s="381"/>
      <c r="N3" s="381"/>
      <c r="O3" s="381" t="s">
        <v>200</v>
      </c>
      <c r="P3" s="381"/>
      <c r="Q3" s="381"/>
      <c r="R3" s="381"/>
      <c r="S3" s="381"/>
      <c r="T3" s="381"/>
      <c r="U3" s="381" t="s">
        <v>200</v>
      </c>
      <c r="V3" s="381"/>
      <c r="W3" s="381"/>
      <c r="X3" s="381"/>
      <c r="Y3" s="381"/>
      <c r="Z3" s="381"/>
      <c r="AA3" s="381" t="s">
        <v>200</v>
      </c>
      <c r="AB3" s="381"/>
      <c r="AC3" s="381"/>
      <c r="AD3" s="381"/>
      <c r="AE3" s="381"/>
      <c r="AF3" s="381"/>
      <c r="AG3" s="381"/>
      <c r="AH3" s="381"/>
      <c r="AI3" s="381"/>
    </row>
    <row r="4" spans="2:35" s="117" customFormat="1" ht="39" customHeight="1" thickBot="1">
      <c r="B4" s="325" t="s">
        <v>28</v>
      </c>
      <c r="C4" s="388" t="s">
        <v>68</v>
      </c>
      <c r="D4" s="389"/>
      <c r="E4" s="390"/>
      <c r="F4" s="394" t="s">
        <v>156</v>
      </c>
      <c r="G4" s="395"/>
      <c r="H4" s="396"/>
      <c r="I4" s="401" t="s">
        <v>90</v>
      </c>
      <c r="J4" s="402"/>
      <c r="K4" s="403"/>
      <c r="L4" s="394" t="s">
        <v>48</v>
      </c>
      <c r="M4" s="395"/>
      <c r="N4" s="396"/>
      <c r="O4" s="385" t="s">
        <v>18</v>
      </c>
      <c r="P4" s="386"/>
      <c r="Q4" s="387"/>
      <c r="R4" s="394" t="s">
        <v>41</v>
      </c>
      <c r="S4" s="395"/>
      <c r="T4" s="396"/>
      <c r="U4" s="394" t="s">
        <v>199</v>
      </c>
      <c r="V4" s="395"/>
      <c r="W4" s="396"/>
      <c r="X4" s="394" t="s">
        <v>212</v>
      </c>
      <c r="Y4" s="395"/>
      <c r="Z4" s="397"/>
      <c r="AA4" s="382" t="s">
        <v>215</v>
      </c>
      <c r="AB4" s="383"/>
      <c r="AC4" s="384"/>
      <c r="AD4" s="382" t="s">
        <v>218</v>
      </c>
      <c r="AE4" s="383"/>
      <c r="AF4" s="384"/>
      <c r="AG4" s="391" t="s">
        <v>219</v>
      </c>
      <c r="AH4" s="392"/>
      <c r="AI4" s="393"/>
    </row>
    <row r="5" spans="2:37" s="223" customFormat="1" ht="27.75" thickBot="1">
      <c r="B5" s="325"/>
      <c r="C5" s="324" t="s">
        <v>230</v>
      </c>
      <c r="D5" s="269" t="s">
        <v>231</v>
      </c>
      <c r="E5" s="270" t="s">
        <v>232</v>
      </c>
      <c r="F5" s="324" t="s">
        <v>230</v>
      </c>
      <c r="G5" s="269" t="s">
        <v>231</v>
      </c>
      <c r="H5" s="270" t="s">
        <v>232</v>
      </c>
      <c r="I5" s="324" t="s">
        <v>230</v>
      </c>
      <c r="J5" s="269" t="s">
        <v>231</v>
      </c>
      <c r="K5" s="270" t="s">
        <v>232</v>
      </c>
      <c r="L5" s="324" t="s">
        <v>230</v>
      </c>
      <c r="M5" s="269" t="s">
        <v>231</v>
      </c>
      <c r="N5" s="270" t="s">
        <v>232</v>
      </c>
      <c r="O5" s="271" t="s">
        <v>230</v>
      </c>
      <c r="P5" s="268" t="s">
        <v>231</v>
      </c>
      <c r="Q5" s="272" t="s">
        <v>232</v>
      </c>
      <c r="R5" s="324" t="s">
        <v>230</v>
      </c>
      <c r="S5" s="269" t="s">
        <v>231</v>
      </c>
      <c r="T5" s="270" t="s">
        <v>232</v>
      </c>
      <c r="U5" s="254" t="s">
        <v>230</v>
      </c>
      <c r="V5" s="249" t="s">
        <v>231</v>
      </c>
      <c r="W5" s="250" t="s">
        <v>232</v>
      </c>
      <c r="X5" s="254" t="s">
        <v>230</v>
      </c>
      <c r="Y5" s="249" t="s">
        <v>231</v>
      </c>
      <c r="Z5" s="362" t="s">
        <v>232</v>
      </c>
      <c r="AA5" s="254" t="s">
        <v>230</v>
      </c>
      <c r="AB5" s="249" t="s">
        <v>231</v>
      </c>
      <c r="AC5" s="250" t="s">
        <v>232</v>
      </c>
      <c r="AD5" s="254" t="s">
        <v>230</v>
      </c>
      <c r="AE5" s="249" t="s">
        <v>231</v>
      </c>
      <c r="AF5" s="250" t="s">
        <v>232</v>
      </c>
      <c r="AG5" s="254" t="s">
        <v>230</v>
      </c>
      <c r="AH5" s="249" t="s">
        <v>231</v>
      </c>
      <c r="AI5" s="250" t="s">
        <v>232</v>
      </c>
      <c r="AK5" s="374" t="e">
        <f aca="true" t="shared" si="0" ref="AK5:AK49">AC5+AF5</f>
        <v>#VALUE!</v>
      </c>
    </row>
    <row r="6" spans="2:37" s="19" customFormat="1" ht="18" customHeight="1">
      <c r="B6" s="326" t="s">
        <v>140</v>
      </c>
      <c r="C6" s="178">
        <f aca="true" t="shared" si="1" ref="C6:N6">C7+C8</f>
        <v>0</v>
      </c>
      <c r="D6" s="79">
        <f t="shared" si="1"/>
        <v>0</v>
      </c>
      <c r="E6" s="80">
        <f t="shared" si="1"/>
        <v>0</v>
      </c>
      <c r="F6" s="178">
        <f t="shared" si="1"/>
        <v>0</v>
      </c>
      <c r="G6" s="79">
        <f t="shared" si="1"/>
        <v>13800</v>
      </c>
      <c r="H6" s="80">
        <f t="shared" si="1"/>
        <v>13800</v>
      </c>
      <c r="I6" s="178">
        <f t="shared" si="1"/>
        <v>0</v>
      </c>
      <c r="J6" s="79">
        <f t="shared" si="1"/>
        <v>0</v>
      </c>
      <c r="K6" s="80">
        <f t="shared" si="1"/>
        <v>0</v>
      </c>
      <c r="L6" s="178">
        <f t="shared" si="1"/>
        <v>19299</v>
      </c>
      <c r="M6" s="79">
        <f t="shared" si="1"/>
        <v>19299</v>
      </c>
      <c r="N6" s="80">
        <f t="shared" si="1"/>
        <v>0</v>
      </c>
      <c r="O6" s="340">
        <f aca="true" t="shared" si="2" ref="O6:P11">C6+F6+I6+L6</f>
        <v>19299</v>
      </c>
      <c r="P6" s="273">
        <f t="shared" si="2"/>
        <v>33099</v>
      </c>
      <c r="Q6" s="274">
        <f aca="true" t="shared" si="3" ref="Q6:Q11">P6-O6</f>
        <v>13800</v>
      </c>
      <c r="R6" s="178">
        <f>R7+R8</f>
        <v>862419</v>
      </c>
      <c r="S6" s="79">
        <f>SUM(S7:S8)</f>
        <v>880285</v>
      </c>
      <c r="T6" s="80">
        <f>T7+T8</f>
        <v>17866</v>
      </c>
      <c r="U6" s="348">
        <f aca="true" t="shared" si="4" ref="U6:V11">O6+R6</f>
        <v>881718</v>
      </c>
      <c r="V6" s="275">
        <f t="shared" si="4"/>
        <v>913384</v>
      </c>
      <c r="W6" s="276">
        <f aca="true" t="shared" si="5" ref="W6:W11">V6-U6</f>
        <v>31666</v>
      </c>
      <c r="X6" s="355">
        <f aca="true" t="shared" si="6" ref="X6:Y11">U6</f>
        <v>881718</v>
      </c>
      <c r="Y6" s="232">
        <f t="shared" si="6"/>
        <v>913384</v>
      </c>
      <c r="Z6" s="363">
        <f aca="true" t="shared" si="7" ref="Z6:Z11">Y6-X6</f>
        <v>31666</v>
      </c>
      <c r="AA6" s="178">
        <f>AA7+AA8</f>
        <v>873797</v>
      </c>
      <c r="AB6" s="79">
        <f>AB7+AB8</f>
        <v>891663</v>
      </c>
      <c r="AC6" s="233">
        <f aca="true" t="shared" si="8" ref="AC6:AC11">AB6-AA6</f>
        <v>17866</v>
      </c>
      <c r="AD6" s="178">
        <f>AD7+AD8</f>
        <v>7921</v>
      </c>
      <c r="AE6" s="79">
        <f>AE7+AE8</f>
        <v>21721</v>
      </c>
      <c r="AF6" s="233">
        <f aca="true" t="shared" si="9" ref="AF6:AF11">AE6-AD6</f>
        <v>13800</v>
      </c>
      <c r="AG6" s="178">
        <f>AG7+AG8</f>
        <v>0</v>
      </c>
      <c r="AH6" s="79">
        <f>AH7+AH8</f>
        <v>0</v>
      </c>
      <c r="AI6" s="233">
        <f aca="true" t="shared" si="10" ref="AI6:AI11">AH6-AG6</f>
        <v>0</v>
      </c>
      <c r="AJ6" s="36"/>
      <c r="AK6" s="374">
        <f t="shared" si="0"/>
        <v>31666</v>
      </c>
    </row>
    <row r="7" spans="2:37" s="19" customFormat="1" ht="18" customHeight="1">
      <c r="B7" s="327" t="s">
        <v>138</v>
      </c>
      <c r="C7" s="179"/>
      <c r="D7" s="95"/>
      <c r="E7" s="93">
        <f>D7-C7</f>
        <v>0</v>
      </c>
      <c r="F7" s="179"/>
      <c r="G7" s="95"/>
      <c r="H7" s="93">
        <f>G7-F7</f>
        <v>0</v>
      </c>
      <c r="I7" s="179"/>
      <c r="J7" s="95"/>
      <c r="K7" s="93">
        <f>J7-I7</f>
        <v>0</v>
      </c>
      <c r="L7" s="179"/>
      <c r="M7" s="95"/>
      <c r="N7" s="93">
        <f>M7-L7</f>
        <v>0</v>
      </c>
      <c r="O7" s="341">
        <f t="shared" si="2"/>
        <v>0</v>
      </c>
      <c r="P7" s="277">
        <f t="shared" si="2"/>
        <v>0</v>
      </c>
      <c r="Q7" s="278">
        <f t="shared" si="3"/>
        <v>0</v>
      </c>
      <c r="R7" s="179">
        <v>852498</v>
      </c>
      <c r="S7" s="95">
        <v>866415</v>
      </c>
      <c r="T7" s="93">
        <f>S7-R7</f>
        <v>13917</v>
      </c>
      <c r="U7" s="349">
        <f t="shared" si="4"/>
        <v>852498</v>
      </c>
      <c r="V7" s="277">
        <f t="shared" si="4"/>
        <v>866415</v>
      </c>
      <c r="W7" s="278">
        <f t="shared" si="5"/>
        <v>13917</v>
      </c>
      <c r="X7" s="179">
        <f t="shared" si="6"/>
        <v>852498</v>
      </c>
      <c r="Y7" s="95">
        <f t="shared" si="6"/>
        <v>866415</v>
      </c>
      <c r="Z7" s="319">
        <f t="shared" si="7"/>
        <v>13917</v>
      </c>
      <c r="AA7" s="179">
        <v>852498</v>
      </c>
      <c r="AB7" s="95">
        <f>852498+13917</f>
        <v>866415</v>
      </c>
      <c r="AC7" s="93">
        <f t="shared" si="8"/>
        <v>13917</v>
      </c>
      <c r="AD7" s="179"/>
      <c r="AE7" s="95"/>
      <c r="AF7" s="93">
        <f t="shared" si="9"/>
        <v>0</v>
      </c>
      <c r="AG7" s="179"/>
      <c r="AH7" s="95"/>
      <c r="AI7" s="93">
        <f t="shared" si="10"/>
        <v>0</v>
      </c>
      <c r="AJ7" s="36"/>
      <c r="AK7" s="374">
        <f t="shared" si="0"/>
        <v>13917</v>
      </c>
    </row>
    <row r="8" spans="2:37" s="19" customFormat="1" ht="18" customHeight="1">
      <c r="B8" s="327" t="s">
        <v>157</v>
      </c>
      <c r="C8" s="179"/>
      <c r="D8" s="95"/>
      <c r="E8" s="93">
        <f>D8-C8</f>
        <v>0</v>
      </c>
      <c r="F8" s="179"/>
      <c r="G8" s="95">
        <v>13800</v>
      </c>
      <c r="H8" s="93">
        <f>G8-F8</f>
        <v>13800</v>
      </c>
      <c r="I8" s="179"/>
      <c r="J8" s="95"/>
      <c r="K8" s="93">
        <f>J8-I8</f>
        <v>0</v>
      </c>
      <c r="L8" s="179">
        <f>19299</f>
        <v>19299</v>
      </c>
      <c r="M8" s="95">
        <f>19299</f>
        <v>19299</v>
      </c>
      <c r="N8" s="93">
        <f>M8-L8</f>
        <v>0</v>
      </c>
      <c r="O8" s="341">
        <f t="shared" si="2"/>
        <v>19299</v>
      </c>
      <c r="P8" s="277">
        <f t="shared" si="2"/>
        <v>33099</v>
      </c>
      <c r="Q8" s="278">
        <f t="shared" si="3"/>
        <v>13800</v>
      </c>
      <c r="R8" s="179">
        <f>2000+7921</f>
        <v>9921</v>
      </c>
      <c r="S8" s="95">
        <v>13870</v>
      </c>
      <c r="T8" s="93">
        <f>S8-R8</f>
        <v>3949</v>
      </c>
      <c r="U8" s="349">
        <f t="shared" si="4"/>
        <v>29220</v>
      </c>
      <c r="V8" s="277">
        <f t="shared" si="4"/>
        <v>46969</v>
      </c>
      <c r="W8" s="278">
        <f t="shared" si="5"/>
        <v>17749</v>
      </c>
      <c r="X8" s="179">
        <f t="shared" si="6"/>
        <v>29220</v>
      </c>
      <c r="Y8" s="95">
        <f t="shared" si="6"/>
        <v>46969</v>
      </c>
      <c r="Z8" s="319">
        <f t="shared" si="7"/>
        <v>17749</v>
      </c>
      <c r="AA8" s="179">
        <v>21299</v>
      </c>
      <c r="AB8" s="95">
        <f>21299+3949</f>
        <v>25248</v>
      </c>
      <c r="AC8" s="93">
        <f t="shared" si="8"/>
        <v>3949</v>
      </c>
      <c r="AD8" s="179">
        <v>7921</v>
      </c>
      <c r="AE8" s="95">
        <f>7921+13800</f>
        <v>21721</v>
      </c>
      <c r="AF8" s="93">
        <f t="shared" si="9"/>
        <v>13800</v>
      </c>
      <c r="AG8" s="179"/>
      <c r="AH8" s="95"/>
      <c r="AI8" s="93">
        <f t="shared" si="10"/>
        <v>0</v>
      </c>
      <c r="AJ8" s="36"/>
      <c r="AK8" s="374">
        <f t="shared" si="0"/>
        <v>17749</v>
      </c>
    </row>
    <row r="9" spans="2:37" s="19" customFormat="1" ht="18" customHeight="1">
      <c r="B9" s="328" t="s">
        <v>92</v>
      </c>
      <c r="C9" s="180"/>
      <c r="D9" s="78"/>
      <c r="E9" s="30">
        <f>D9-C9</f>
        <v>0</v>
      </c>
      <c r="F9" s="180"/>
      <c r="G9" s="78"/>
      <c r="H9" s="30">
        <f>G9-F9</f>
        <v>0</v>
      </c>
      <c r="I9" s="180"/>
      <c r="J9" s="78"/>
      <c r="K9" s="30">
        <f>J9-I9</f>
        <v>0</v>
      </c>
      <c r="L9" s="180"/>
      <c r="M9" s="78"/>
      <c r="N9" s="30">
        <f>M9-L9</f>
        <v>0</v>
      </c>
      <c r="O9" s="341">
        <f t="shared" si="2"/>
        <v>0</v>
      </c>
      <c r="P9" s="277">
        <f t="shared" si="2"/>
        <v>0</v>
      </c>
      <c r="Q9" s="278">
        <f t="shared" si="3"/>
        <v>0</v>
      </c>
      <c r="R9" s="180">
        <v>424107</v>
      </c>
      <c r="S9" s="78">
        <v>424107</v>
      </c>
      <c r="T9" s="30">
        <f>S9-R9</f>
        <v>0</v>
      </c>
      <c r="U9" s="349">
        <f t="shared" si="4"/>
        <v>424107</v>
      </c>
      <c r="V9" s="279">
        <f t="shared" si="4"/>
        <v>424107</v>
      </c>
      <c r="W9" s="280">
        <f t="shared" si="5"/>
        <v>0</v>
      </c>
      <c r="X9" s="356">
        <f t="shared" si="6"/>
        <v>424107</v>
      </c>
      <c r="Y9" s="234">
        <f t="shared" si="6"/>
        <v>424107</v>
      </c>
      <c r="Z9" s="364">
        <f t="shared" si="7"/>
        <v>0</v>
      </c>
      <c r="AA9" s="180">
        <v>424107</v>
      </c>
      <c r="AB9" s="78">
        <v>424107</v>
      </c>
      <c r="AC9" s="235">
        <f t="shared" si="8"/>
        <v>0</v>
      </c>
      <c r="AD9" s="180"/>
      <c r="AE9" s="78"/>
      <c r="AF9" s="235">
        <f t="shared" si="9"/>
        <v>0</v>
      </c>
      <c r="AG9" s="180"/>
      <c r="AH9" s="78"/>
      <c r="AI9" s="235">
        <f t="shared" si="10"/>
        <v>0</v>
      </c>
      <c r="AJ9" s="36"/>
      <c r="AK9" s="374">
        <f t="shared" si="0"/>
        <v>0</v>
      </c>
    </row>
    <row r="10" spans="2:37" s="19" customFormat="1" ht="18" customHeight="1">
      <c r="B10" s="328" t="s">
        <v>93</v>
      </c>
      <c r="C10" s="180">
        <v>1900</v>
      </c>
      <c r="D10" s="78">
        <v>1900</v>
      </c>
      <c r="E10" s="30">
        <f>D10-C10</f>
        <v>0</v>
      </c>
      <c r="F10" s="180">
        <v>67755</v>
      </c>
      <c r="G10" s="78">
        <v>67755</v>
      </c>
      <c r="H10" s="30">
        <f>G10-F10</f>
        <v>0</v>
      </c>
      <c r="I10" s="180">
        <v>3100</v>
      </c>
      <c r="J10" s="78">
        <v>3100</v>
      </c>
      <c r="K10" s="30">
        <f>J10-I10</f>
        <v>0</v>
      </c>
      <c r="L10" s="180">
        <v>1300</v>
      </c>
      <c r="M10" s="78">
        <v>1300</v>
      </c>
      <c r="N10" s="30">
        <f>M10-L10</f>
        <v>0</v>
      </c>
      <c r="O10" s="341">
        <f t="shared" si="2"/>
        <v>74055</v>
      </c>
      <c r="P10" s="277">
        <f t="shared" si="2"/>
        <v>74055</v>
      </c>
      <c r="Q10" s="278">
        <f t="shared" si="3"/>
        <v>0</v>
      </c>
      <c r="R10" s="180">
        <f>35646+8635</f>
        <v>44281</v>
      </c>
      <c r="S10" s="78">
        <v>66772</v>
      </c>
      <c r="T10" s="30">
        <f>S10-R10</f>
        <v>22491</v>
      </c>
      <c r="U10" s="349">
        <f t="shared" si="4"/>
        <v>118336</v>
      </c>
      <c r="V10" s="279">
        <f t="shared" si="4"/>
        <v>140827</v>
      </c>
      <c r="W10" s="280">
        <f t="shared" si="5"/>
        <v>22491</v>
      </c>
      <c r="X10" s="356">
        <f t="shared" si="6"/>
        <v>118336</v>
      </c>
      <c r="Y10" s="234">
        <f t="shared" si="6"/>
        <v>140827</v>
      </c>
      <c r="Z10" s="364">
        <f t="shared" si="7"/>
        <v>22491</v>
      </c>
      <c r="AA10" s="180">
        <v>71946</v>
      </c>
      <c r="AB10" s="78">
        <f>71946+22491</f>
        <v>94437</v>
      </c>
      <c r="AC10" s="235">
        <f t="shared" si="8"/>
        <v>22491</v>
      </c>
      <c r="AD10" s="180">
        <v>46390</v>
      </c>
      <c r="AE10" s="78">
        <v>46390</v>
      </c>
      <c r="AF10" s="235">
        <f t="shared" si="9"/>
        <v>0</v>
      </c>
      <c r="AG10" s="180"/>
      <c r="AH10" s="78"/>
      <c r="AI10" s="235">
        <f t="shared" si="10"/>
        <v>0</v>
      </c>
      <c r="AJ10" s="36"/>
      <c r="AK10" s="374">
        <f t="shared" si="0"/>
        <v>22491</v>
      </c>
    </row>
    <row r="11" spans="2:37" s="19" customFormat="1" ht="18" customHeight="1" thickBot="1">
      <c r="B11" s="329" t="s">
        <v>95</v>
      </c>
      <c r="C11" s="181"/>
      <c r="D11" s="86"/>
      <c r="E11" s="84">
        <f>D11-C11</f>
        <v>0</v>
      </c>
      <c r="F11" s="181"/>
      <c r="G11" s="86"/>
      <c r="H11" s="84">
        <f>G11-F11</f>
        <v>0</v>
      </c>
      <c r="I11" s="181"/>
      <c r="J11" s="86"/>
      <c r="K11" s="84">
        <f>J11-I11</f>
        <v>0</v>
      </c>
      <c r="L11" s="181"/>
      <c r="M11" s="86"/>
      <c r="N11" s="84">
        <f>M11-L11</f>
        <v>0</v>
      </c>
      <c r="O11" s="341">
        <f t="shared" si="2"/>
        <v>0</v>
      </c>
      <c r="P11" s="281">
        <f t="shared" si="2"/>
        <v>0</v>
      </c>
      <c r="Q11" s="282">
        <f t="shared" si="3"/>
        <v>0</v>
      </c>
      <c r="R11" s="181">
        <v>533</v>
      </c>
      <c r="S11" s="86">
        <v>2611</v>
      </c>
      <c r="T11" s="84">
        <f>S11-R11</f>
        <v>2078</v>
      </c>
      <c r="U11" s="350">
        <f t="shared" si="4"/>
        <v>533</v>
      </c>
      <c r="V11" s="283">
        <f t="shared" si="4"/>
        <v>2611</v>
      </c>
      <c r="W11" s="284">
        <f t="shared" si="5"/>
        <v>2078</v>
      </c>
      <c r="X11" s="357">
        <f t="shared" si="6"/>
        <v>533</v>
      </c>
      <c r="Y11" s="236">
        <f t="shared" si="6"/>
        <v>2611</v>
      </c>
      <c r="Z11" s="365">
        <f t="shared" si="7"/>
        <v>2078</v>
      </c>
      <c r="AA11" s="181"/>
      <c r="AB11" s="86"/>
      <c r="AC11" s="237">
        <f t="shared" si="8"/>
        <v>0</v>
      </c>
      <c r="AD11" s="181">
        <v>533</v>
      </c>
      <c r="AE11" s="86">
        <f>533+2078</f>
        <v>2611</v>
      </c>
      <c r="AF11" s="237">
        <f t="shared" si="9"/>
        <v>2078</v>
      </c>
      <c r="AG11" s="181"/>
      <c r="AH11" s="86"/>
      <c r="AI11" s="237">
        <f t="shared" si="10"/>
        <v>0</v>
      </c>
      <c r="AJ11" s="36"/>
      <c r="AK11" s="374">
        <f t="shared" si="0"/>
        <v>2078</v>
      </c>
    </row>
    <row r="12" spans="2:37" s="21" customFormat="1" ht="18" customHeight="1" thickBot="1">
      <c r="B12" s="330" t="s">
        <v>128</v>
      </c>
      <c r="C12" s="182">
        <f aca="true" t="shared" si="11" ref="C12:AI12">C6+C9+C10+C11</f>
        <v>1900</v>
      </c>
      <c r="D12" s="183">
        <f t="shared" si="11"/>
        <v>1900</v>
      </c>
      <c r="E12" s="32">
        <f t="shared" si="11"/>
        <v>0</v>
      </c>
      <c r="F12" s="182">
        <f t="shared" si="11"/>
        <v>67755</v>
      </c>
      <c r="G12" s="183">
        <f t="shared" si="11"/>
        <v>81555</v>
      </c>
      <c r="H12" s="32">
        <f t="shared" si="11"/>
        <v>13800</v>
      </c>
      <c r="I12" s="182">
        <f t="shared" si="11"/>
        <v>3100</v>
      </c>
      <c r="J12" s="183">
        <f t="shared" si="11"/>
        <v>3100</v>
      </c>
      <c r="K12" s="32">
        <f t="shared" si="11"/>
        <v>0</v>
      </c>
      <c r="L12" s="182">
        <f t="shared" si="11"/>
        <v>20599</v>
      </c>
      <c r="M12" s="183">
        <f t="shared" si="11"/>
        <v>20599</v>
      </c>
      <c r="N12" s="32">
        <f t="shared" si="11"/>
        <v>0</v>
      </c>
      <c r="O12" s="342">
        <f t="shared" si="11"/>
        <v>93354</v>
      </c>
      <c r="P12" s="285">
        <f t="shared" si="11"/>
        <v>107154</v>
      </c>
      <c r="Q12" s="286">
        <f t="shared" si="11"/>
        <v>13800</v>
      </c>
      <c r="R12" s="182">
        <f t="shared" si="11"/>
        <v>1331340</v>
      </c>
      <c r="S12" s="183">
        <f t="shared" si="11"/>
        <v>1373775</v>
      </c>
      <c r="T12" s="32">
        <f t="shared" si="11"/>
        <v>42435</v>
      </c>
      <c r="U12" s="197">
        <f t="shared" si="11"/>
        <v>1424694</v>
      </c>
      <c r="V12" s="101">
        <f t="shared" si="11"/>
        <v>1480929</v>
      </c>
      <c r="W12" s="100">
        <f t="shared" si="11"/>
        <v>56235</v>
      </c>
      <c r="X12" s="182">
        <f t="shared" si="11"/>
        <v>1424694</v>
      </c>
      <c r="Y12" s="101">
        <f t="shared" si="11"/>
        <v>1480929</v>
      </c>
      <c r="Z12" s="323">
        <f t="shared" si="11"/>
        <v>56235</v>
      </c>
      <c r="AA12" s="182">
        <f t="shared" si="11"/>
        <v>1369850</v>
      </c>
      <c r="AB12" s="183">
        <f t="shared" si="11"/>
        <v>1410207</v>
      </c>
      <c r="AC12" s="100">
        <f t="shared" si="11"/>
        <v>40357</v>
      </c>
      <c r="AD12" s="182">
        <f t="shared" si="11"/>
        <v>54844</v>
      </c>
      <c r="AE12" s="183">
        <f t="shared" si="11"/>
        <v>70722</v>
      </c>
      <c r="AF12" s="100">
        <f t="shared" si="11"/>
        <v>15878</v>
      </c>
      <c r="AG12" s="182">
        <f t="shared" si="11"/>
        <v>0</v>
      </c>
      <c r="AH12" s="183">
        <f t="shared" si="11"/>
        <v>0</v>
      </c>
      <c r="AI12" s="100">
        <f t="shared" si="11"/>
        <v>0</v>
      </c>
      <c r="AJ12" s="36"/>
      <c r="AK12" s="374">
        <f t="shared" si="0"/>
        <v>56235</v>
      </c>
    </row>
    <row r="13" spans="2:37" s="19" customFormat="1" ht="18" customHeight="1">
      <c r="B13" s="326" t="s">
        <v>111</v>
      </c>
      <c r="C13" s="184"/>
      <c r="D13" s="185"/>
      <c r="E13" s="29">
        <f>D13-C13</f>
        <v>0</v>
      </c>
      <c r="F13" s="184"/>
      <c r="G13" s="185"/>
      <c r="H13" s="29">
        <f>G13-F13</f>
        <v>0</v>
      </c>
      <c r="I13" s="184"/>
      <c r="J13" s="185"/>
      <c r="K13" s="29">
        <f>J13-I13</f>
        <v>0</v>
      </c>
      <c r="L13" s="184"/>
      <c r="M13" s="185"/>
      <c r="N13" s="29">
        <f>M13-L13</f>
        <v>0</v>
      </c>
      <c r="O13" s="343">
        <f aca="true" t="shared" si="12" ref="O13:P18">C13+F13+I13+L13</f>
        <v>0</v>
      </c>
      <c r="P13" s="287">
        <f t="shared" si="12"/>
        <v>0</v>
      </c>
      <c r="Q13" s="288">
        <f aca="true" t="shared" si="13" ref="Q13:Q18">P13-O13</f>
        <v>0</v>
      </c>
      <c r="R13" s="184">
        <v>100000</v>
      </c>
      <c r="S13" s="185">
        <v>102445</v>
      </c>
      <c r="T13" s="29">
        <f>S13-R13</f>
        <v>2445</v>
      </c>
      <c r="U13" s="351">
        <f aca="true" t="shared" si="14" ref="U13:V18">O13+R13</f>
        <v>100000</v>
      </c>
      <c r="V13" s="289">
        <f t="shared" si="14"/>
        <v>102445</v>
      </c>
      <c r="W13" s="290">
        <f aca="true" t="shared" si="15" ref="W13:W18">V13-U13</f>
        <v>2445</v>
      </c>
      <c r="X13" s="358">
        <f aca="true" t="shared" si="16" ref="X13:Y18">U13</f>
        <v>100000</v>
      </c>
      <c r="Y13" s="238">
        <f t="shared" si="16"/>
        <v>102445</v>
      </c>
      <c r="Z13" s="366">
        <f aca="true" t="shared" si="17" ref="Z13:Z18">Y13-X13</f>
        <v>2445</v>
      </c>
      <c r="AA13" s="184">
        <v>100000</v>
      </c>
      <c r="AB13" s="185">
        <v>102445</v>
      </c>
      <c r="AC13" s="239">
        <f aca="true" t="shared" si="18" ref="AC13:AC18">AB13-AA13</f>
        <v>2445</v>
      </c>
      <c r="AD13" s="184"/>
      <c r="AE13" s="185"/>
      <c r="AF13" s="239">
        <f aca="true" t="shared" si="19" ref="AF13:AF18">AE13-AD13</f>
        <v>0</v>
      </c>
      <c r="AG13" s="184"/>
      <c r="AH13" s="185"/>
      <c r="AI13" s="239">
        <f aca="true" t="shared" si="20" ref="AI13:AI18">AH13-AG13</f>
        <v>0</v>
      </c>
      <c r="AJ13" s="36"/>
      <c r="AK13" s="374">
        <f t="shared" si="0"/>
        <v>2445</v>
      </c>
    </row>
    <row r="14" spans="2:37" s="19" customFormat="1" ht="18" customHeight="1">
      <c r="B14" s="331" t="s">
        <v>126</v>
      </c>
      <c r="C14" s="186"/>
      <c r="D14" s="187"/>
      <c r="E14" s="99">
        <f>D14-C14</f>
        <v>0</v>
      </c>
      <c r="F14" s="186"/>
      <c r="G14" s="187"/>
      <c r="H14" s="99">
        <f>G14-F14</f>
        <v>0</v>
      </c>
      <c r="I14" s="186"/>
      <c r="J14" s="187"/>
      <c r="K14" s="99">
        <f>J14-I14</f>
        <v>0</v>
      </c>
      <c r="L14" s="186"/>
      <c r="M14" s="187"/>
      <c r="N14" s="99">
        <f>M14-L14</f>
        <v>0</v>
      </c>
      <c r="O14" s="343">
        <f t="shared" si="12"/>
        <v>0</v>
      </c>
      <c r="P14" s="287">
        <f t="shared" si="12"/>
        <v>0</v>
      </c>
      <c r="Q14" s="288">
        <f t="shared" si="13"/>
        <v>0</v>
      </c>
      <c r="R14" s="186">
        <v>100000</v>
      </c>
      <c r="S14" s="187">
        <v>102445</v>
      </c>
      <c r="T14" s="99">
        <f>S14-R14</f>
        <v>2445</v>
      </c>
      <c r="U14" s="351">
        <f t="shared" si="14"/>
        <v>100000</v>
      </c>
      <c r="V14" s="287">
        <f t="shared" si="14"/>
        <v>102445</v>
      </c>
      <c r="W14" s="288">
        <f t="shared" si="15"/>
        <v>2445</v>
      </c>
      <c r="X14" s="186">
        <f t="shared" si="16"/>
        <v>100000</v>
      </c>
      <c r="Y14" s="187">
        <f t="shared" si="16"/>
        <v>102445</v>
      </c>
      <c r="Z14" s="320">
        <f t="shared" si="17"/>
        <v>2445</v>
      </c>
      <c r="AA14" s="186">
        <v>100000</v>
      </c>
      <c r="AB14" s="187">
        <v>102445</v>
      </c>
      <c r="AC14" s="99">
        <f t="shared" si="18"/>
        <v>2445</v>
      </c>
      <c r="AD14" s="186"/>
      <c r="AE14" s="187"/>
      <c r="AF14" s="99">
        <f t="shared" si="19"/>
        <v>0</v>
      </c>
      <c r="AG14" s="186"/>
      <c r="AH14" s="187"/>
      <c r="AI14" s="99">
        <f t="shared" si="20"/>
        <v>0</v>
      </c>
      <c r="AJ14" s="36"/>
      <c r="AK14" s="374">
        <f t="shared" si="0"/>
        <v>2445</v>
      </c>
    </row>
    <row r="15" spans="2:37" s="19" customFormat="1" ht="18" customHeight="1">
      <c r="B15" s="328" t="s">
        <v>94</v>
      </c>
      <c r="C15" s="180"/>
      <c r="D15" s="78"/>
      <c r="E15" s="30">
        <f>D15-C15</f>
        <v>0</v>
      </c>
      <c r="F15" s="180"/>
      <c r="G15" s="78"/>
      <c r="H15" s="30">
        <f>G15-F15</f>
        <v>0</v>
      </c>
      <c r="I15" s="180"/>
      <c r="J15" s="78"/>
      <c r="K15" s="30">
        <f>J15-I15</f>
        <v>0</v>
      </c>
      <c r="L15" s="180"/>
      <c r="M15" s="78"/>
      <c r="N15" s="30">
        <f>M15-L15</f>
        <v>0</v>
      </c>
      <c r="O15" s="343">
        <f t="shared" si="12"/>
        <v>0</v>
      </c>
      <c r="P15" s="277">
        <f t="shared" si="12"/>
        <v>0</v>
      </c>
      <c r="Q15" s="278">
        <f t="shared" si="13"/>
        <v>0</v>
      </c>
      <c r="R15" s="180">
        <v>76415</v>
      </c>
      <c r="S15" s="78">
        <v>56415</v>
      </c>
      <c r="T15" s="30">
        <f>S15-R15</f>
        <v>-20000</v>
      </c>
      <c r="U15" s="349">
        <f t="shared" si="14"/>
        <v>76415</v>
      </c>
      <c r="V15" s="279">
        <f t="shared" si="14"/>
        <v>56415</v>
      </c>
      <c r="W15" s="280">
        <f t="shared" si="15"/>
        <v>-20000</v>
      </c>
      <c r="X15" s="356">
        <f t="shared" si="16"/>
        <v>76415</v>
      </c>
      <c r="Y15" s="234">
        <f t="shared" si="16"/>
        <v>56415</v>
      </c>
      <c r="Z15" s="364">
        <f t="shared" si="17"/>
        <v>-20000</v>
      </c>
      <c r="AA15" s="180">
        <v>76415</v>
      </c>
      <c r="AB15" s="78">
        <f>76415-20000</f>
        <v>56415</v>
      </c>
      <c r="AC15" s="235">
        <f t="shared" si="18"/>
        <v>-20000</v>
      </c>
      <c r="AD15" s="180"/>
      <c r="AE15" s="78"/>
      <c r="AF15" s="235">
        <f t="shared" si="19"/>
        <v>0</v>
      </c>
      <c r="AG15" s="180"/>
      <c r="AH15" s="78"/>
      <c r="AI15" s="235">
        <f t="shared" si="20"/>
        <v>0</v>
      </c>
      <c r="AJ15" s="36"/>
      <c r="AK15" s="374">
        <f t="shared" si="0"/>
        <v>-20000</v>
      </c>
    </row>
    <row r="16" spans="2:37" s="19" customFormat="1" ht="18" customHeight="1">
      <c r="B16" s="328" t="s">
        <v>74</v>
      </c>
      <c r="C16" s="180">
        <f aca="true" t="shared" si="21" ref="C16:N16">SUM(C17:C18)</f>
        <v>0</v>
      </c>
      <c r="D16" s="78">
        <f t="shared" si="21"/>
        <v>0</v>
      </c>
      <c r="E16" s="30">
        <f t="shared" si="21"/>
        <v>0</v>
      </c>
      <c r="F16" s="180">
        <f t="shared" si="21"/>
        <v>0</v>
      </c>
      <c r="G16" s="78">
        <f t="shared" si="21"/>
        <v>0</v>
      </c>
      <c r="H16" s="30">
        <f t="shared" si="21"/>
        <v>0</v>
      </c>
      <c r="I16" s="180">
        <f t="shared" si="21"/>
        <v>0</v>
      </c>
      <c r="J16" s="78">
        <f t="shared" si="21"/>
        <v>0</v>
      </c>
      <c r="K16" s="30">
        <f t="shared" si="21"/>
        <v>0</v>
      </c>
      <c r="L16" s="180">
        <f t="shared" si="21"/>
        <v>0</v>
      </c>
      <c r="M16" s="78">
        <f t="shared" si="21"/>
        <v>0</v>
      </c>
      <c r="N16" s="30">
        <f t="shared" si="21"/>
        <v>0</v>
      </c>
      <c r="O16" s="341">
        <f t="shared" si="12"/>
        <v>0</v>
      </c>
      <c r="P16" s="277">
        <f t="shared" si="12"/>
        <v>0</v>
      </c>
      <c r="Q16" s="278">
        <f t="shared" si="13"/>
        <v>0</v>
      </c>
      <c r="R16" s="180">
        <f>SUM(R17:R18)</f>
        <v>26964</v>
      </c>
      <c r="S16" s="78">
        <f>SUM(S17:S18)</f>
        <v>24594</v>
      </c>
      <c r="T16" s="30">
        <f>SUM(T17:T18)</f>
        <v>-2370</v>
      </c>
      <c r="U16" s="349">
        <f t="shared" si="14"/>
        <v>26964</v>
      </c>
      <c r="V16" s="279">
        <f t="shared" si="14"/>
        <v>24594</v>
      </c>
      <c r="W16" s="280">
        <f t="shared" si="15"/>
        <v>-2370</v>
      </c>
      <c r="X16" s="356">
        <f t="shared" si="16"/>
        <v>26964</v>
      </c>
      <c r="Y16" s="234">
        <f t="shared" si="16"/>
        <v>24594</v>
      </c>
      <c r="Z16" s="364">
        <f t="shared" si="17"/>
        <v>-2370</v>
      </c>
      <c r="AA16" s="180">
        <f>SUM(AA17:AA18)</f>
        <v>20567</v>
      </c>
      <c r="AB16" s="78">
        <f>SUM(AB17:AB18)</f>
        <v>18197</v>
      </c>
      <c r="AC16" s="235">
        <f t="shared" si="18"/>
        <v>-2370</v>
      </c>
      <c r="AD16" s="180">
        <f>SUM(AD17:AD18)</f>
        <v>6397</v>
      </c>
      <c r="AE16" s="78">
        <f>SUM(AE17:AE18)</f>
        <v>6397</v>
      </c>
      <c r="AF16" s="235">
        <f t="shared" si="19"/>
        <v>0</v>
      </c>
      <c r="AG16" s="180">
        <f>SUM(AG17:AG18)</f>
        <v>0</v>
      </c>
      <c r="AH16" s="78">
        <f>SUM(AH17:AH18)</f>
        <v>0</v>
      </c>
      <c r="AI16" s="235">
        <f t="shared" si="20"/>
        <v>0</v>
      </c>
      <c r="AJ16" s="36"/>
      <c r="AK16" s="374">
        <f t="shared" si="0"/>
        <v>-2370</v>
      </c>
    </row>
    <row r="17" spans="2:37" s="19" customFormat="1" ht="18" customHeight="1">
      <c r="B17" s="332" t="s">
        <v>201</v>
      </c>
      <c r="C17" s="179"/>
      <c r="D17" s="95"/>
      <c r="E17" s="93">
        <f>D17-C17</f>
        <v>0</v>
      </c>
      <c r="F17" s="179"/>
      <c r="G17" s="95"/>
      <c r="H17" s="93">
        <f>G17-F17</f>
        <v>0</v>
      </c>
      <c r="I17" s="179"/>
      <c r="J17" s="95"/>
      <c r="K17" s="93">
        <f>J17-I17</f>
        <v>0</v>
      </c>
      <c r="L17" s="179"/>
      <c r="M17" s="95"/>
      <c r="N17" s="93">
        <f>M17-L17</f>
        <v>0</v>
      </c>
      <c r="O17" s="341">
        <f t="shared" si="12"/>
        <v>0</v>
      </c>
      <c r="P17" s="277">
        <f t="shared" si="12"/>
        <v>0</v>
      </c>
      <c r="Q17" s="278">
        <f t="shared" si="13"/>
        <v>0</v>
      </c>
      <c r="R17" s="179">
        <v>14530</v>
      </c>
      <c r="S17" s="95">
        <v>14530</v>
      </c>
      <c r="T17" s="93">
        <f>S17-R17</f>
        <v>0</v>
      </c>
      <c r="U17" s="349">
        <f t="shared" si="14"/>
        <v>14530</v>
      </c>
      <c r="V17" s="277">
        <f t="shared" si="14"/>
        <v>14530</v>
      </c>
      <c r="W17" s="278">
        <f t="shared" si="15"/>
        <v>0</v>
      </c>
      <c r="X17" s="179">
        <f t="shared" si="16"/>
        <v>14530</v>
      </c>
      <c r="Y17" s="95">
        <f t="shared" si="16"/>
        <v>14530</v>
      </c>
      <c r="Z17" s="319">
        <f t="shared" si="17"/>
        <v>0</v>
      </c>
      <c r="AA17" s="179">
        <v>8133</v>
      </c>
      <c r="AB17" s="95">
        <v>8133</v>
      </c>
      <c r="AC17" s="93">
        <f t="shared" si="18"/>
        <v>0</v>
      </c>
      <c r="AD17" s="179">
        <v>6397</v>
      </c>
      <c r="AE17" s="95">
        <v>6397</v>
      </c>
      <c r="AF17" s="93">
        <f t="shared" si="19"/>
        <v>0</v>
      </c>
      <c r="AG17" s="179"/>
      <c r="AH17" s="95"/>
      <c r="AI17" s="93">
        <f t="shared" si="20"/>
        <v>0</v>
      </c>
      <c r="AJ17" s="36"/>
      <c r="AK17" s="374">
        <f t="shared" si="0"/>
        <v>0</v>
      </c>
    </row>
    <row r="18" spans="2:37" s="19" customFormat="1" ht="18" customHeight="1" thickBot="1">
      <c r="B18" s="332" t="s">
        <v>202</v>
      </c>
      <c r="C18" s="188"/>
      <c r="D18" s="189"/>
      <c r="E18" s="98">
        <f>D18-C18</f>
        <v>0</v>
      </c>
      <c r="F18" s="188"/>
      <c r="G18" s="189"/>
      <c r="H18" s="98">
        <f>G18-F18</f>
        <v>0</v>
      </c>
      <c r="I18" s="188"/>
      <c r="J18" s="189"/>
      <c r="K18" s="98">
        <f>J18-I18</f>
        <v>0</v>
      </c>
      <c r="L18" s="188"/>
      <c r="M18" s="189"/>
      <c r="N18" s="98">
        <f>M18-L18</f>
        <v>0</v>
      </c>
      <c r="O18" s="341">
        <f t="shared" si="12"/>
        <v>0</v>
      </c>
      <c r="P18" s="281">
        <f t="shared" si="12"/>
        <v>0</v>
      </c>
      <c r="Q18" s="282">
        <f t="shared" si="13"/>
        <v>0</v>
      </c>
      <c r="R18" s="188">
        <v>12434</v>
      </c>
      <c r="S18" s="189">
        <v>10064</v>
      </c>
      <c r="T18" s="98">
        <f>S18-R18</f>
        <v>-2370</v>
      </c>
      <c r="U18" s="350">
        <f t="shared" si="14"/>
        <v>12434</v>
      </c>
      <c r="V18" s="281">
        <f t="shared" si="14"/>
        <v>10064</v>
      </c>
      <c r="W18" s="282">
        <f t="shared" si="15"/>
        <v>-2370</v>
      </c>
      <c r="X18" s="188">
        <f t="shared" si="16"/>
        <v>12434</v>
      </c>
      <c r="Y18" s="189">
        <f t="shared" si="16"/>
        <v>10064</v>
      </c>
      <c r="Z18" s="321">
        <f t="shared" si="17"/>
        <v>-2370</v>
      </c>
      <c r="AA18" s="188">
        <v>12434</v>
      </c>
      <c r="AB18" s="189">
        <f>12434-2370</f>
        <v>10064</v>
      </c>
      <c r="AC18" s="98">
        <f t="shared" si="18"/>
        <v>-2370</v>
      </c>
      <c r="AD18" s="188"/>
      <c r="AE18" s="189"/>
      <c r="AF18" s="98">
        <f t="shared" si="19"/>
        <v>0</v>
      </c>
      <c r="AG18" s="188"/>
      <c r="AH18" s="189"/>
      <c r="AI18" s="98">
        <f t="shared" si="20"/>
        <v>0</v>
      </c>
      <c r="AJ18" s="36"/>
      <c r="AK18" s="374">
        <f t="shared" si="0"/>
        <v>-2370</v>
      </c>
    </row>
    <row r="19" spans="2:37" s="21" customFormat="1" ht="18" customHeight="1" thickBot="1">
      <c r="B19" s="330" t="s">
        <v>129</v>
      </c>
      <c r="C19" s="182">
        <f aca="true" t="shared" si="22" ref="C19:AI19">C16+C15+C13</f>
        <v>0</v>
      </c>
      <c r="D19" s="183">
        <f t="shared" si="22"/>
        <v>0</v>
      </c>
      <c r="E19" s="32">
        <f t="shared" si="22"/>
        <v>0</v>
      </c>
      <c r="F19" s="182">
        <f t="shared" si="22"/>
        <v>0</v>
      </c>
      <c r="G19" s="183">
        <f t="shared" si="22"/>
        <v>0</v>
      </c>
      <c r="H19" s="32">
        <f t="shared" si="22"/>
        <v>0</v>
      </c>
      <c r="I19" s="182">
        <f t="shared" si="22"/>
        <v>0</v>
      </c>
      <c r="J19" s="183">
        <f t="shared" si="22"/>
        <v>0</v>
      </c>
      <c r="K19" s="32">
        <f t="shared" si="22"/>
        <v>0</v>
      </c>
      <c r="L19" s="182">
        <f t="shared" si="22"/>
        <v>0</v>
      </c>
      <c r="M19" s="183">
        <f t="shared" si="22"/>
        <v>0</v>
      </c>
      <c r="N19" s="32">
        <f t="shared" si="22"/>
        <v>0</v>
      </c>
      <c r="O19" s="342">
        <f t="shared" si="22"/>
        <v>0</v>
      </c>
      <c r="P19" s="285">
        <f t="shared" si="22"/>
        <v>0</v>
      </c>
      <c r="Q19" s="286">
        <f t="shared" si="22"/>
        <v>0</v>
      </c>
      <c r="R19" s="182">
        <f t="shared" si="22"/>
        <v>203379</v>
      </c>
      <c r="S19" s="183">
        <f t="shared" si="22"/>
        <v>183454</v>
      </c>
      <c r="T19" s="32">
        <f t="shared" si="22"/>
        <v>-19925</v>
      </c>
      <c r="U19" s="197">
        <f t="shared" si="22"/>
        <v>203379</v>
      </c>
      <c r="V19" s="101">
        <f t="shared" si="22"/>
        <v>183454</v>
      </c>
      <c r="W19" s="100">
        <f t="shared" si="22"/>
        <v>-19925</v>
      </c>
      <c r="X19" s="182">
        <f t="shared" si="22"/>
        <v>203379</v>
      </c>
      <c r="Y19" s="101">
        <f t="shared" si="22"/>
        <v>183454</v>
      </c>
      <c r="Z19" s="323">
        <f t="shared" si="22"/>
        <v>-19925</v>
      </c>
      <c r="AA19" s="182">
        <f t="shared" si="22"/>
        <v>196982</v>
      </c>
      <c r="AB19" s="183">
        <f t="shared" si="22"/>
        <v>177057</v>
      </c>
      <c r="AC19" s="100">
        <f t="shared" si="22"/>
        <v>-19925</v>
      </c>
      <c r="AD19" s="182">
        <f t="shared" si="22"/>
        <v>6397</v>
      </c>
      <c r="AE19" s="183">
        <f t="shared" si="22"/>
        <v>6397</v>
      </c>
      <c r="AF19" s="100">
        <f t="shared" si="22"/>
        <v>0</v>
      </c>
      <c r="AG19" s="182">
        <f t="shared" si="22"/>
        <v>0</v>
      </c>
      <c r="AH19" s="183">
        <f t="shared" si="22"/>
        <v>0</v>
      </c>
      <c r="AI19" s="100">
        <f t="shared" si="22"/>
        <v>0</v>
      </c>
      <c r="AJ19" s="36"/>
      <c r="AK19" s="374">
        <f t="shared" si="0"/>
        <v>-19925</v>
      </c>
    </row>
    <row r="20" spans="2:37" s="21" customFormat="1" ht="18" customHeight="1" thickBot="1">
      <c r="B20" s="333" t="s">
        <v>127</v>
      </c>
      <c r="C20" s="190">
        <f aca="true" t="shared" si="23" ref="C20:AI20">C19+C12</f>
        <v>1900</v>
      </c>
      <c r="D20" s="191">
        <f t="shared" si="23"/>
        <v>1900</v>
      </c>
      <c r="E20" s="88">
        <f t="shared" si="23"/>
        <v>0</v>
      </c>
      <c r="F20" s="190">
        <f t="shared" si="23"/>
        <v>67755</v>
      </c>
      <c r="G20" s="191">
        <f t="shared" si="23"/>
        <v>81555</v>
      </c>
      <c r="H20" s="88">
        <f t="shared" si="23"/>
        <v>13800</v>
      </c>
      <c r="I20" s="190">
        <f t="shared" si="23"/>
        <v>3100</v>
      </c>
      <c r="J20" s="191">
        <f t="shared" si="23"/>
        <v>3100</v>
      </c>
      <c r="K20" s="88">
        <f t="shared" si="23"/>
        <v>0</v>
      </c>
      <c r="L20" s="190">
        <f t="shared" si="23"/>
        <v>20599</v>
      </c>
      <c r="M20" s="191">
        <f t="shared" si="23"/>
        <v>20599</v>
      </c>
      <c r="N20" s="88">
        <f t="shared" si="23"/>
        <v>0</v>
      </c>
      <c r="O20" s="344">
        <f t="shared" si="23"/>
        <v>93354</v>
      </c>
      <c r="P20" s="291">
        <f t="shared" si="23"/>
        <v>107154</v>
      </c>
      <c r="Q20" s="292">
        <f t="shared" si="23"/>
        <v>13800</v>
      </c>
      <c r="R20" s="190">
        <f t="shared" si="23"/>
        <v>1534719</v>
      </c>
      <c r="S20" s="191">
        <f t="shared" si="23"/>
        <v>1557229</v>
      </c>
      <c r="T20" s="88">
        <f t="shared" si="23"/>
        <v>22510</v>
      </c>
      <c r="U20" s="352">
        <f t="shared" si="23"/>
        <v>1628073</v>
      </c>
      <c r="V20" s="240">
        <f t="shared" si="23"/>
        <v>1664383</v>
      </c>
      <c r="W20" s="241">
        <f t="shared" si="23"/>
        <v>36310</v>
      </c>
      <c r="X20" s="190">
        <f t="shared" si="23"/>
        <v>1628073</v>
      </c>
      <c r="Y20" s="240">
        <f t="shared" si="23"/>
        <v>1664383</v>
      </c>
      <c r="Z20" s="367">
        <f t="shared" si="23"/>
        <v>36310</v>
      </c>
      <c r="AA20" s="190">
        <f t="shared" si="23"/>
        <v>1566832</v>
      </c>
      <c r="AB20" s="191">
        <f t="shared" si="23"/>
        <v>1587264</v>
      </c>
      <c r="AC20" s="241">
        <f t="shared" si="23"/>
        <v>20432</v>
      </c>
      <c r="AD20" s="190">
        <f t="shared" si="23"/>
        <v>61241</v>
      </c>
      <c r="AE20" s="191">
        <f t="shared" si="23"/>
        <v>77119</v>
      </c>
      <c r="AF20" s="241">
        <f t="shared" si="23"/>
        <v>15878</v>
      </c>
      <c r="AG20" s="190">
        <f t="shared" si="23"/>
        <v>0</v>
      </c>
      <c r="AH20" s="191">
        <f t="shared" si="23"/>
        <v>0</v>
      </c>
      <c r="AI20" s="241">
        <f t="shared" si="23"/>
        <v>0</v>
      </c>
      <c r="AJ20" s="36"/>
      <c r="AK20" s="374">
        <f t="shared" si="0"/>
        <v>36310</v>
      </c>
    </row>
    <row r="21" spans="2:37" s="19" customFormat="1" ht="18" customHeight="1">
      <c r="B21" s="334" t="s">
        <v>91</v>
      </c>
      <c r="C21" s="178">
        <f>SUM(C22:C23)</f>
        <v>0</v>
      </c>
      <c r="D21" s="79">
        <f>SUM(D22:D23)</f>
        <v>1308</v>
      </c>
      <c r="E21" s="80">
        <f>D21-C21</f>
        <v>1308</v>
      </c>
      <c r="F21" s="178">
        <f>SUM(F22:F23)</f>
        <v>0</v>
      </c>
      <c r="G21" s="79">
        <f>SUM(G22:G23)</f>
        <v>218</v>
      </c>
      <c r="H21" s="80">
        <f>G21-F21</f>
        <v>218</v>
      </c>
      <c r="I21" s="178">
        <f>SUM(I22:I23)</f>
        <v>0</v>
      </c>
      <c r="J21" s="79">
        <f>SUM(J22:J23)</f>
        <v>8228</v>
      </c>
      <c r="K21" s="80">
        <f>J21-I21</f>
        <v>8228</v>
      </c>
      <c r="L21" s="178">
        <f>SUM(L22:L23)</f>
        <v>0</v>
      </c>
      <c r="M21" s="79">
        <f>SUM(M22:M23)</f>
        <v>14025</v>
      </c>
      <c r="N21" s="80">
        <f>M21-L21</f>
        <v>14025</v>
      </c>
      <c r="O21" s="340">
        <f aca="true" t="shared" si="24" ref="O21:P24">C21+F21+I21+L21</f>
        <v>0</v>
      </c>
      <c r="P21" s="273">
        <f t="shared" si="24"/>
        <v>23779</v>
      </c>
      <c r="Q21" s="274">
        <f>P21-O21</f>
        <v>23779</v>
      </c>
      <c r="R21" s="178">
        <f>SUM(R22:R23)</f>
        <v>163814</v>
      </c>
      <c r="S21" s="79">
        <f>SUM(S22:S23)</f>
        <v>172121</v>
      </c>
      <c r="T21" s="80">
        <f>S21-R21</f>
        <v>8307</v>
      </c>
      <c r="U21" s="348">
        <f aca="true" t="shared" si="25" ref="U21:V24">O21+R21</f>
        <v>163814</v>
      </c>
      <c r="V21" s="275">
        <f t="shared" si="25"/>
        <v>195900</v>
      </c>
      <c r="W21" s="276">
        <f>V21-U21</f>
        <v>32086</v>
      </c>
      <c r="X21" s="355">
        <f aca="true" t="shared" si="26" ref="X21:Y23">U21</f>
        <v>163814</v>
      </c>
      <c r="Y21" s="232">
        <f t="shared" si="26"/>
        <v>195900</v>
      </c>
      <c r="Z21" s="363">
        <f>Y21-X21</f>
        <v>32086</v>
      </c>
      <c r="AA21" s="178">
        <f>SUM(AA22:AA23)</f>
        <v>160150</v>
      </c>
      <c r="AB21" s="79">
        <f>SUM(AB22:AB23)</f>
        <v>192236</v>
      </c>
      <c r="AC21" s="233">
        <f>AB21-AA21</f>
        <v>32086</v>
      </c>
      <c r="AD21" s="178">
        <f>SUM(AD22:AD23)</f>
        <v>3664</v>
      </c>
      <c r="AE21" s="79">
        <f>SUM(AE22:AE23)</f>
        <v>3664</v>
      </c>
      <c r="AF21" s="233">
        <f>AE21-AD21</f>
        <v>0</v>
      </c>
      <c r="AG21" s="178">
        <f>SUM(AG22:AG23)</f>
        <v>0</v>
      </c>
      <c r="AH21" s="79">
        <f>SUM(AH22:AH23)</f>
        <v>0</v>
      </c>
      <c r="AI21" s="233">
        <f>AH21-AG21</f>
        <v>0</v>
      </c>
      <c r="AJ21" s="36"/>
      <c r="AK21" s="374">
        <f t="shared" si="0"/>
        <v>32086</v>
      </c>
    </row>
    <row r="22" spans="2:37" s="19" customFormat="1" ht="18" customHeight="1">
      <c r="B22" s="331" t="s">
        <v>130</v>
      </c>
      <c r="C22" s="179"/>
      <c r="D22" s="95">
        <v>1308</v>
      </c>
      <c r="E22" s="93">
        <f>D22-C22</f>
        <v>1308</v>
      </c>
      <c r="F22" s="179"/>
      <c r="G22" s="95">
        <v>218</v>
      </c>
      <c r="H22" s="93">
        <f>G22-F22</f>
        <v>218</v>
      </c>
      <c r="I22" s="179"/>
      <c r="J22" s="95">
        <v>8228</v>
      </c>
      <c r="K22" s="93">
        <f>J22-I22</f>
        <v>8228</v>
      </c>
      <c r="L22" s="179"/>
      <c r="M22" s="95">
        <v>14025</v>
      </c>
      <c r="N22" s="93">
        <f>M22-L22</f>
        <v>14025</v>
      </c>
      <c r="O22" s="341">
        <f t="shared" si="24"/>
        <v>0</v>
      </c>
      <c r="P22" s="277">
        <f t="shared" si="24"/>
        <v>23779</v>
      </c>
      <c r="Q22" s="278">
        <f>P22-O22</f>
        <v>23779</v>
      </c>
      <c r="R22" s="179">
        <f>130000+3664</f>
        <v>133664</v>
      </c>
      <c r="S22" s="95">
        <f>172121-30150</f>
        <v>141971</v>
      </c>
      <c r="T22" s="93">
        <f>S22-R22</f>
        <v>8307</v>
      </c>
      <c r="U22" s="349">
        <f t="shared" si="25"/>
        <v>133664</v>
      </c>
      <c r="V22" s="277">
        <f t="shared" si="25"/>
        <v>165750</v>
      </c>
      <c r="W22" s="278">
        <f>V22-U22</f>
        <v>32086</v>
      </c>
      <c r="X22" s="179">
        <f t="shared" si="26"/>
        <v>133664</v>
      </c>
      <c r="Y22" s="95">
        <f t="shared" si="26"/>
        <v>165750</v>
      </c>
      <c r="Z22" s="319">
        <f>Y22-X22</f>
        <v>32086</v>
      </c>
      <c r="AA22" s="179">
        <v>130000</v>
      </c>
      <c r="AB22" s="95">
        <f>130000+1308+218+8228+14025+8307</f>
        <v>162086</v>
      </c>
      <c r="AC22" s="93">
        <f>AB22-AA22</f>
        <v>32086</v>
      </c>
      <c r="AD22" s="179">
        <v>3664</v>
      </c>
      <c r="AE22" s="95">
        <v>3664</v>
      </c>
      <c r="AF22" s="93">
        <f>AE22-AD22</f>
        <v>0</v>
      </c>
      <c r="AG22" s="179"/>
      <c r="AH22" s="95"/>
      <c r="AI22" s="93">
        <f>AH22-AG22</f>
        <v>0</v>
      </c>
      <c r="AJ22" s="36"/>
      <c r="AK22" s="374">
        <f t="shared" si="0"/>
        <v>32086</v>
      </c>
    </row>
    <row r="23" spans="2:37" s="19" customFormat="1" ht="18" customHeight="1">
      <c r="B23" s="335" t="s">
        <v>131</v>
      </c>
      <c r="C23" s="188"/>
      <c r="D23" s="189"/>
      <c r="E23" s="98">
        <f>D23-C23</f>
        <v>0</v>
      </c>
      <c r="F23" s="188"/>
      <c r="G23" s="189"/>
      <c r="H23" s="98">
        <f>G23-F23</f>
        <v>0</v>
      </c>
      <c r="I23" s="188"/>
      <c r="J23" s="189"/>
      <c r="K23" s="98">
        <f>J23-I23</f>
        <v>0</v>
      </c>
      <c r="L23" s="188"/>
      <c r="M23" s="189"/>
      <c r="N23" s="98">
        <f>M23-L23</f>
        <v>0</v>
      </c>
      <c r="O23" s="345">
        <f t="shared" si="24"/>
        <v>0</v>
      </c>
      <c r="P23" s="281">
        <f t="shared" si="24"/>
        <v>0</v>
      </c>
      <c r="Q23" s="282">
        <f>P23-O23</f>
        <v>0</v>
      </c>
      <c r="R23" s="188">
        <v>30150</v>
      </c>
      <c r="S23" s="189">
        <v>30150</v>
      </c>
      <c r="T23" s="98">
        <f>S23-R23</f>
        <v>0</v>
      </c>
      <c r="U23" s="350">
        <f t="shared" si="25"/>
        <v>30150</v>
      </c>
      <c r="V23" s="281">
        <f t="shared" si="25"/>
        <v>30150</v>
      </c>
      <c r="W23" s="282">
        <f>V23-U23</f>
        <v>0</v>
      </c>
      <c r="X23" s="188">
        <f t="shared" si="26"/>
        <v>30150</v>
      </c>
      <c r="Y23" s="189">
        <f t="shared" si="26"/>
        <v>30150</v>
      </c>
      <c r="Z23" s="321">
        <f>Y23-X23</f>
        <v>0</v>
      </c>
      <c r="AA23" s="188">
        <v>30150</v>
      </c>
      <c r="AB23" s="189">
        <v>30150</v>
      </c>
      <c r="AC23" s="98">
        <f>AB23-AA23</f>
        <v>0</v>
      </c>
      <c r="AD23" s="188"/>
      <c r="AE23" s="189"/>
      <c r="AF23" s="98">
        <f>AE23-AD23</f>
        <v>0</v>
      </c>
      <c r="AG23" s="188"/>
      <c r="AH23" s="189"/>
      <c r="AI23" s="98">
        <f>AH23-AG23</f>
        <v>0</v>
      </c>
      <c r="AJ23" s="36"/>
      <c r="AK23" s="374">
        <f t="shared" si="0"/>
        <v>0</v>
      </c>
    </row>
    <row r="24" spans="2:37" s="19" customFormat="1" ht="18" customHeight="1" thickBot="1">
      <c r="B24" s="336" t="s">
        <v>198</v>
      </c>
      <c r="C24" s="192">
        <v>33062</v>
      </c>
      <c r="D24" s="193">
        <v>35308</v>
      </c>
      <c r="E24" s="31">
        <f>D24-C24</f>
        <v>2246</v>
      </c>
      <c r="F24" s="192">
        <v>39602</v>
      </c>
      <c r="G24" s="193">
        <v>39757</v>
      </c>
      <c r="H24" s="31">
        <f>G24-F24</f>
        <v>155</v>
      </c>
      <c r="I24" s="192">
        <v>35820</v>
      </c>
      <c r="J24" s="193">
        <v>36022</v>
      </c>
      <c r="K24" s="31">
        <f>J24-I24</f>
        <v>202</v>
      </c>
      <c r="L24" s="192">
        <f>282956+300</f>
        <v>283256</v>
      </c>
      <c r="M24" s="193">
        <f>275930+1</f>
        <v>275931</v>
      </c>
      <c r="N24" s="31">
        <f>M24-L24</f>
        <v>-7325</v>
      </c>
      <c r="O24" s="346">
        <f t="shared" si="24"/>
        <v>391740</v>
      </c>
      <c r="P24" s="293">
        <f t="shared" si="24"/>
        <v>387018</v>
      </c>
      <c r="Q24" s="294">
        <f>P24-O24</f>
        <v>-4722</v>
      </c>
      <c r="R24" s="192"/>
      <c r="S24" s="193"/>
      <c r="T24" s="31">
        <f>S24-R24</f>
        <v>0</v>
      </c>
      <c r="U24" s="353">
        <f t="shared" si="25"/>
        <v>391740</v>
      </c>
      <c r="V24" s="295">
        <f t="shared" si="25"/>
        <v>387018</v>
      </c>
      <c r="W24" s="296">
        <f>V24-U24</f>
        <v>-4722</v>
      </c>
      <c r="X24" s="359">
        <f>U24-O24</f>
        <v>0</v>
      </c>
      <c r="Y24" s="242">
        <f>V24-P24</f>
        <v>0</v>
      </c>
      <c r="Z24" s="368">
        <f>Y24-X24</f>
        <v>0</v>
      </c>
      <c r="AA24" s="192"/>
      <c r="AB24" s="193">
        <f>2246+155+202-7325-(W24)</f>
        <v>0</v>
      </c>
      <c r="AC24" s="243">
        <f>AB24-AA24</f>
        <v>0</v>
      </c>
      <c r="AD24" s="192"/>
      <c r="AE24" s="193"/>
      <c r="AF24" s="243">
        <f>AE24-AD24</f>
        <v>0</v>
      </c>
      <c r="AG24" s="192"/>
      <c r="AH24" s="193"/>
      <c r="AI24" s="243">
        <f>AH24-AG24</f>
        <v>0</v>
      </c>
      <c r="AJ24" s="36"/>
      <c r="AK24" s="374">
        <f t="shared" si="0"/>
        <v>0</v>
      </c>
    </row>
    <row r="25" spans="2:37" s="21" customFormat="1" ht="18" customHeight="1" thickBot="1">
      <c r="B25" s="330" t="s">
        <v>132</v>
      </c>
      <c r="C25" s="182">
        <f aca="true" t="shared" si="27" ref="C25:AI25">SUM(C21+C24)</f>
        <v>33062</v>
      </c>
      <c r="D25" s="183">
        <f t="shared" si="27"/>
        <v>36616</v>
      </c>
      <c r="E25" s="32">
        <f t="shared" si="27"/>
        <v>3554</v>
      </c>
      <c r="F25" s="182">
        <f t="shared" si="27"/>
        <v>39602</v>
      </c>
      <c r="G25" s="183">
        <f t="shared" si="27"/>
        <v>39975</v>
      </c>
      <c r="H25" s="32">
        <f t="shared" si="27"/>
        <v>373</v>
      </c>
      <c r="I25" s="182">
        <f t="shared" si="27"/>
        <v>35820</v>
      </c>
      <c r="J25" s="183">
        <f t="shared" si="27"/>
        <v>44250</v>
      </c>
      <c r="K25" s="32">
        <f t="shared" si="27"/>
        <v>8430</v>
      </c>
      <c r="L25" s="182">
        <f t="shared" si="27"/>
        <v>283256</v>
      </c>
      <c r="M25" s="183">
        <f t="shared" si="27"/>
        <v>289956</v>
      </c>
      <c r="N25" s="32">
        <f t="shared" si="27"/>
        <v>6700</v>
      </c>
      <c r="O25" s="342">
        <f t="shared" si="27"/>
        <v>391740</v>
      </c>
      <c r="P25" s="285">
        <f t="shared" si="27"/>
        <v>410797</v>
      </c>
      <c r="Q25" s="286">
        <f t="shared" si="27"/>
        <v>19057</v>
      </c>
      <c r="R25" s="182">
        <f t="shared" si="27"/>
        <v>163814</v>
      </c>
      <c r="S25" s="183">
        <f t="shared" si="27"/>
        <v>172121</v>
      </c>
      <c r="T25" s="32">
        <f t="shared" si="27"/>
        <v>8307</v>
      </c>
      <c r="U25" s="197">
        <f t="shared" si="27"/>
        <v>555554</v>
      </c>
      <c r="V25" s="101">
        <f t="shared" si="27"/>
        <v>582918</v>
      </c>
      <c r="W25" s="100">
        <f t="shared" si="27"/>
        <v>27364</v>
      </c>
      <c r="X25" s="182">
        <f t="shared" si="27"/>
        <v>163814</v>
      </c>
      <c r="Y25" s="101">
        <f t="shared" si="27"/>
        <v>195900</v>
      </c>
      <c r="Z25" s="323">
        <f t="shared" si="27"/>
        <v>32086</v>
      </c>
      <c r="AA25" s="182">
        <f t="shared" si="27"/>
        <v>160150</v>
      </c>
      <c r="AB25" s="183">
        <f t="shared" si="27"/>
        <v>192236</v>
      </c>
      <c r="AC25" s="100">
        <f t="shared" si="27"/>
        <v>32086</v>
      </c>
      <c r="AD25" s="182">
        <f t="shared" si="27"/>
        <v>3664</v>
      </c>
      <c r="AE25" s="183">
        <f t="shared" si="27"/>
        <v>3664</v>
      </c>
      <c r="AF25" s="100">
        <f t="shared" si="27"/>
        <v>0</v>
      </c>
      <c r="AG25" s="182">
        <f t="shared" si="27"/>
        <v>0</v>
      </c>
      <c r="AH25" s="183">
        <f t="shared" si="27"/>
        <v>0</v>
      </c>
      <c r="AI25" s="100">
        <f t="shared" si="27"/>
        <v>0</v>
      </c>
      <c r="AJ25" s="36"/>
      <c r="AK25" s="374">
        <f t="shared" si="0"/>
        <v>32086</v>
      </c>
    </row>
    <row r="26" spans="2:37" s="21" customFormat="1" ht="18" customHeight="1" thickBot="1">
      <c r="B26" s="337" t="s">
        <v>30</v>
      </c>
      <c r="C26" s="194">
        <f aca="true" t="shared" si="28" ref="C26:AI26">C12+C19+C25</f>
        <v>34962</v>
      </c>
      <c r="D26" s="195">
        <f t="shared" si="28"/>
        <v>38516</v>
      </c>
      <c r="E26" s="33">
        <f t="shared" si="28"/>
        <v>3554</v>
      </c>
      <c r="F26" s="194">
        <f t="shared" si="28"/>
        <v>107357</v>
      </c>
      <c r="G26" s="195">
        <f t="shared" si="28"/>
        <v>121530</v>
      </c>
      <c r="H26" s="33">
        <f t="shared" si="28"/>
        <v>14173</v>
      </c>
      <c r="I26" s="194">
        <f t="shared" si="28"/>
        <v>38920</v>
      </c>
      <c r="J26" s="195">
        <f t="shared" si="28"/>
        <v>47350</v>
      </c>
      <c r="K26" s="33">
        <f t="shared" si="28"/>
        <v>8430</v>
      </c>
      <c r="L26" s="194">
        <f t="shared" si="28"/>
        <v>303855</v>
      </c>
      <c r="M26" s="195">
        <f t="shared" si="28"/>
        <v>310555</v>
      </c>
      <c r="N26" s="33">
        <f t="shared" si="28"/>
        <v>6700</v>
      </c>
      <c r="O26" s="347">
        <f t="shared" si="28"/>
        <v>485094</v>
      </c>
      <c r="P26" s="297">
        <f t="shared" si="28"/>
        <v>517951</v>
      </c>
      <c r="Q26" s="298">
        <f t="shared" si="28"/>
        <v>32857</v>
      </c>
      <c r="R26" s="194">
        <f t="shared" si="28"/>
        <v>1698533</v>
      </c>
      <c r="S26" s="195">
        <f t="shared" si="28"/>
        <v>1729350</v>
      </c>
      <c r="T26" s="33">
        <f t="shared" si="28"/>
        <v>30817</v>
      </c>
      <c r="U26" s="354">
        <f t="shared" si="28"/>
        <v>2183627</v>
      </c>
      <c r="V26" s="244">
        <f t="shared" si="28"/>
        <v>2247301</v>
      </c>
      <c r="W26" s="245">
        <f t="shared" si="28"/>
        <v>63674</v>
      </c>
      <c r="X26" s="194">
        <f t="shared" si="28"/>
        <v>1791887</v>
      </c>
      <c r="Y26" s="244">
        <f t="shared" si="28"/>
        <v>1860283</v>
      </c>
      <c r="Z26" s="369">
        <f t="shared" si="28"/>
        <v>68396</v>
      </c>
      <c r="AA26" s="194">
        <f t="shared" si="28"/>
        <v>1726982</v>
      </c>
      <c r="AB26" s="195">
        <f t="shared" si="28"/>
        <v>1779500</v>
      </c>
      <c r="AC26" s="245">
        <f t="shared" si="28"/>
        <v>52518</v>
      </c>
      <c r="AD26" s="194">
        <f t="shared" si="28"/>
        <v>64905</v>
      </c>
      <c r="AE26" s="195">
        <f t="shared" si="28"/>
        <v>80783</v>
      </c>
      <c r="AF26" s="245">
        <f t="shared" si="28"/>
        <v>15878</v>
      </c>
      <c r="AG26" s="194">
        <f t="shared" si="28"/>
        <v>0</v>
      </c>
      <c r="AH26" s="195">
        <f t="shared" si="28"/>
        <v>0</v>
      </c>
      <c r="AI26" s="245">
        <f t="shared" si="28"/>
        <v>0</v>
      </c>
      <c r="AJ26" s="36"/>
      <c r="AK26" s="374">
        <f t="shared" si="0"/>
        <v>68396</v>
      </c>
    </row>
    <row r="27" spans="15:37" s="228" customFormat="1" ht="14.25" thickBot="1">
      <c r="O27" s="229"/>
      <c r="P27" s="229"/>
      <c r="Q27" s="229"/>
      <c r="U27" s="202"/>
      <c r="V27" s="202"/>
      <c r="W27" s="202"/>
      <c r="Y27" s="202"/>
      <c r="Z27" s="202"/>
      <c r="AB27" s="202"/>
      <c r="AC27" s="202"/>
      <c r="AE27" s="202"/>
      <c r="AF27" s="202"/>
      <c r="AH27" s="202"/>
      <c r="AI27" s="202"/>
      <c r="AJ27" s="230"/>
      <c r="AK27" s="374">
        <f t="shared" si="0"/>
        <v>0</v>
      </c>
    </row>
    <row r="28" spans="2:37" s="19" customFormat="1" ht="38.25" customHeight="1" thickBot="1">
      <c r="B28" s="325" t="s">
        <v>31</v>
      </c>
      <c r="C28" s="388" t="s">
        <v>68</v>
      </c>
      <c r="D28" s="389"/>
      <c r="E28" s="390"/>
      <c r="F28" s="394" t="s">
        <v>156</v>
      </c>
      <c r="G28" s="395"/>
      <c r="H28" s="396"/>
      <c r="I28" s="401" t="s">
        <v>90</v>
      </c>
      <c r="J28" s="402"/>
      <c r="K28" s="403"/>
      <c r="L28" s="394" t="s">
        <v>48</v>
      </c>
      <c r="M28" s="395"/>
      <c r="N28" s="396"/>
      <c r="O28" s="385" t="s">
        <v>18</v>
      </c>
      <c r="P28" s="386"/>
      <c r="Q28" s="387"/>
      <c r="R28" s="394" t="s">
        <v>41</v>
      </c>
      <c r="S28" s="395"/>
      <c r="T28" s="396"/>
      <c r="U28" s="398" t="s">
        <v>199</v>
      </c>
      <c r="V28" s="399"/>
      <c r="W28" s="400"/>
      <c r="X28" s="394" t="s">
        <v>212</v>
      </c>
      <c r="Y28" s="395"/>
      <c r="Z28" s="397"/>
      <c r="AA28" s="382" t="s">
        <v>215</v>
      </c>
      <c r="AB28" s="383"/>
      <c r="AC28" s="384"/>
      <c r="AD28" s="382" t="s">
        <v>218</v>
      </c>
      <c r="AE28" s="383"/>
      <c r="AF28" s="384"/>
      <c r="AG28" s="391" t="s">
        <v>219</v>
      </c>
      <c r="AH28" s="392"/>
      <c r="AI28" s="393"/>
      <c r="AJ28" s="36"/>
      <c r="AK28" s="374">
        <f t="shared" si="0"/>
        <v>0</v>
      </c>
    </row>
    <row r="29" spans="2:37" s="223" customFormat="1" ht="27.75" thickBot="1">
      <c r="B29" s="325"/>
      <c r="C29" s="264" t="s">
        <v>230</v>
      </c>
      <c r="D29" s="263" t="s">
        <v>231</v>
      </c>
      <c r="E29" s="267" t="s">
        <v>232</v>
      </c>
      <c r="F29" s="264" t="s">
        <v>230</v>
      </c>
      <c r="G29" s="263" t="s">
        <v>231</v>
      </c>
      <c r="H29" s="267" t="s">
        <v>232</v>
      </c>
      <c r="I29" s="264" t="s">
        <v>230</v>
      </c>
      <c r="J29" s="263" t="s">
        <v>231</v>
      </c>
      <c r="K29" s="267" t="s">
        <v>232</v>
      </c>
      <c r="L29" s="264" t="s">
        <v>230</v>
      </c>
      <c r="M29" s="263" t="s">
        <v>231</v>
      </c>
      <c r="N29" s="267" t="s">
        <v>232</v>
      </c>
      <c r="O29" s="271" t="s">
        <v>230</v>
      </c>
      <c r="P29" s="268" t="s">
        <v>231</v>
      </c>
      <c r="Q29" s="272" t="s">
        <v>232</v>
      </c>
      <c r="R29" s="264" t="s">
        <v>230</v>
      </c>
      <c r="S29" s="263" t="s">
        <v>231</v>
      </c>
      <c r="T29" s="267" t="s">
        <v>232</v>
      </c>
      <c r="U29" s="225" t="s">
        <v>230</v>
      </c>
      <c r="V29" s="226" t="s">
        <v>231</v>
      </c>
      <c r="W29" s="227" t="s">
        <v>232</v>
      </c>
      <c r="X29" s="225" t="s">
        <v>230</v>
      </c>
      <c r="Y29" s="226" t="s">
        <v>231</v>
      </c>
      <c r="Z29" s="361" t="s">
        <v>232</v>
      </c>
      <c r="AA29" s="225" t="s">
        <v>230</v>
      </c>
      <c r="AB29" s="226" t="s">
        <v>231</v>
      </c>
      <c r="AC29" s="227" t="s">
        <v>232</v>
      </c>
      <c r="AD29" s="225" t="s">
        <v>230</v>
      </c>
      <c r="AE29" s="226" t="s">
        <v>231</v>
      </c>
      <c r="AF29" s="227" t="s">
        <v>232</v>
      </c>
      <c r="AG29" s="225" t="s">
        <v>230</v>
      </c>
      <c r="AH29" s="255" t="s">
        <v>231</v>
      </c>
      <c r="AI29" s="227" t="s">
        <v>232</v>
      </c>
      <c r="AK29" s="374" t="e">
        <f t="shared" si="0"/>
        <v>#VALUE!</v>
      </c>
    </row>
    <row r="30" spans="2:37" s="19" customFormat="1" ht="18" customHeight="1">
      <c r="B30" s="326" t="s">
        <v>32</v>
      </c>
      <c r="C30" s="184">
        <v>17424</v>
      </c>
      <c r="D30" s="185">
        <v>17829</v>
      </c>
      <c r="E30" s="29">
        <f>D30-C30</f>
        <v>405</v>
      </c>
      <c r="F30" s="184">
        <v>31248</v>
      </c>
      <c r="G30" s="185">
        <v>31373</v>
      </c>
      <c r="H30" s="29">
        <f>G30-F30</f>
        <v>125</v>
      </c>
      <c r="I30" s="184">
        <v>23554</v>
      </c>
      <c r="J30" s="185">
        <v>23712</v>
      </c>
      <c r="K30" s="29">
        <f>J30-I30</f>
        <v>158</v>
      </c>
      <c r="L30" s="184">
        <v>182447</v>
      </c>
      <c r="M30" s="185">
        <v>183377</v>
      </c>
      <c r="N30" s="29">
        <f>M30-L30</f>
        <v>930</v>
      </c>
      <c r="O30" s="343">
        <f aca="true" t="shared" si="29" ref="O30:P33">C30+F30+I30+L30</f>
        <v>254673</v>
      </c>
      <c r="P30" s="287">
        <f t="shared" si="29"/>
        <v>256291</v>
      </c>
      <c r="Q30" s="288">
        <f>P30-O30</f>
        <v>1618</v>
      </c>
      <c r="R30" s="184">
        <f>17099+14956</f>
        <v>32055</v>
      </c>
      <c r="S30" s="185">
        <v>33005</v>
      </c>
      <c r="T30" s="29">
        <f>S30-R30</f>
        <v>950</v>
      </c>
      <c r="U30" s="351">
        <f aca="true" t="shared" si="30" ref="U30:V33">O30+R30</f>
        <v>286728</v>
      </c>
      <c r="V30" s="289">
        <f t="shared" si="30"/>
        <v>289296</v>
      </c>
      <c r="W30" s="290">
        <f>V30-U30</f>
        <v>2568</v>
      </c>
      <c r="X30" s="358">
        <f aca="true" t="shared" si="31" ref="X30:Y33">U30</f>
        <v>286728</v>
      </c>
      <c r="Y30" s="238">
        <f t="shared" si="31"/>
        <v>289296</v>
      </c>
      <c r="Z30" s="366">
        <f>Y30-X30</f>
        <v>2568</v>
      </c>
      <c r="AA30" s="178">
        <v>202551</v>
      </c>
      <c r="AB30" s="79">
        <f>202551+405+125+158+930+247</f>
        <v>204416</v>
      </c>
      <c r="AC30" s="239">
        <f>AB30-AA30</f>
        <v>1865</v>
      </c>
      <c r="AD30" s="184">
        <v>27777</v>
      </c>
      <c r="AE30" s="185">
        <f>27777+703</f>
        <v>28480</v>
      </c>
      <c r="AF30" s="239">
        <f>AE30-AD30</f>
        <v>703</v>
      </c>
      <c r="AG30" s="178">
        <v>56400</v>
      </c>
      <c r="AH30" s="79">
        <v>56400</v>
      </c>
      <c r="AI30" s="233">
        <f>AH30-AG30</f>
        <v>0</v>
      </c>
      <c r="AJ30" s="36"/>
      <c r="AK30" s="374">
        <f t="shared" si="0"/>
        <v>2568</v>
      </c>
    </row>
    <row r="31" spans="2:37" s="19" customFormat="1" ht="18" customHeight="1">
      <c r="B31" s="328" t="s">
        <v>33</v>
      </c>
      <c r="C31" s="180">
        <v>4662</v>
      </c>
      <c r="D31" s="78">
        <v>4762</v>
      </c>
      <c r="E31" s="30">
        <f>D31-C31</f>
        <v>100</v>
      </c>
      <c r="F31" s="180">
        <v>8821</v>
      </c>
      <c r="G31" s="78">
        <v>8851</v>
      </c>
      <c r="H31" s="30">
        <f>G31-F31</f>
        <v>30</v>
      </c>
      <c r="I31" s="180">
        <v>6284</v>
      </c>
      <c r="J31" s="78">
        <v>6324</v>
      </c>
      <c r="K31" s="30">
        <f>J31-I31</f>
        <v>40</v>
      </c>
      <c r="L31" s="180">
        <v>54203</v>
      </c>
      <c r="M31" s="78">
        <v>54426</v>
      </c>
      <c r="N31" s="30">
        <f>M31-L31</f>
        <v>223</v>
      </c>
      <c r="O31" s="343">
        <f t="shared" si="29"/>
        <v>73970</v>
      </c>
      <c r="P31" s="277">
        <f t="shared" si="29"/>
        <v>74363</v>
      </c>
      <c r="Q31" s="278">
        <f>P31-O31</f>
        <v>393</v>
      </c>
      <c r="R31" s="180">
        <f>4617+4499</f>
        <v>9116</v>
      </c>
      <c r="S31" s="78">
        <v>9106</v>
      </c>
      <c r="T31" s="30">
        <f>S31-R31</f>
        <v>-10</v>
      </c>
      <c r="U31" s="349">
        <f t="shared" si="30"/>
        <v>83086</v>
      </c>
      <c r="V31" s="279">
        <f t="shared" si="30"/>
        <v>83469</v>
      </c>
      <c r="W31" s="280">
        <f>V31-U31</f>
        <v>383</v>
      </c>
      <c r="X31" s="356">
        <f t="shared" si="31"/>
        <v>83086</v>
      </c>
      <c r="Y31" s="234">
        <f t="shared" si="31"/>
        <v>83469</v>
      </c>
      <c r="Z31" s="364">
        <f>Y31-X31</f>
        <v>383</v>
      </c>
      <c r="AA31" s="180">
        <v>59522</v>
      </c>
      <c r="AB31" s="78">
        <f>59522+100+30+40+223-10</f>
        <v>59905</v>
      </c>
      <c r="AC31" s="235">
        <f>AB31-AA31</f>
        <v>383</v>
      </c>
      <c r="AD31" s="180">
        <v>8337</v>
      </c>
      <c r="AE31" s="78">
        <v>8337</v>
      </c>
      <c r="AF31" s="235">
        <f>AE31-AD31</f>
        <v>0</v>
      </c>
      <c r="AG31" s="180">
        <v>15227</v>
      </c>
      <c r="AH31" s="78">
        <v>15227</v>
      </c>
      <c r="AI31" s="235">
        <f>AH31-AG31</f>
        <v>0</v>
      </c>
      <c r="AJ31" s="36"/>
      <c r="AK31" s="374">
        <f t="shared" si="0"/>
        <v>383</v>
      </c>
    </row>
    <row r="32" spans="2:37" s="19" customFormat="1" ht="18" customHeight="1">
      <c r="B32" s="328" t="s">
        <v>17</v>
      </c>
      <c r="C32" s="180">
        <v>12876</v>
      </c>
      <c r="D32" s="78">
        <v>14734</v>
      </c>
      <c r="E32" s="30">
        <f>D32-C32</f>
        <v>1858</v>
      </c>
      <c r="F32" s="180">
        <v>65788</v>
      </c>
      <c r="G32" s="78">
        <v>79806</v>
      </c>
      <c r="H32" s="30">
        <f>G32-F32</f>
        <v>14018</v>
      </c>
      <c r="I32" s="180">
        <v>9082</v>
      </c>
      <c r="J32" s="78">
        <v>13204</v>
      </c>
      <c r="K32" s="30">
        <f>J32-I32</f>
        <v>4122</v>
      </c>
      <c r="L32" s="180">
        <f>64905+300</f>
        <v>65205</v>
      </c>
      <c r="M32" s="78">
        <v>67990</v>
      </c>
      <c r="N32" s="30">
        <f>M32-L32</f>
        <v>2785</v>
      </c>
      <c r="O32" s="343">
        <f t="shared" si="29"/>
        <v>152951</v>
      </c>
      <c r="P32" s="277">
        <f t="shared" si="29"/>
        <v>175734</v>
      </c>
      <c r="Q32" s="278">
        <f>P32-O32</f>
        <v>22783</v>
      </c>
      <c r="R32" s="180">
        <f>290816+44358+750</f>
        <v>335924</v>
      </c>
      <c r="S32" s="78">
        <f>351337+1+1778</f>
        <v>353116</v>
      </c>
      <c r="T32" s="30">
        <f>S32-R32</f>
        <v>17192</v>
      </c>
      <c r="U32" s="349">
        <f t="shared" si="30"/>
        <v>488875</v>
      </c>
      <c r="V32" s="279">
        <f t="shared" si="30"/>
        <v>528850</v>
      </c>
      <c r="W32" s="280">
        <f>V32-U32</f>
        <v>39975</v>
      </c>
      <c r="X32" s="356">
        <f t="shared" si="31"/>
        <v>488875</v>
      </c>
      <c r="Y32" s="234">
        <f t="shared" si="31"/>
        <v>528850</v>
      </c>
      <c r="Z32" s="364">
        <f>Y32-X32</f>
        <v>39975</v>
      </c>
      <c r="AA32" s="180">
        <f>387473+300</f>
        <v>387773</v>
      </c>
      <c r="AB32" s="78">
        <f>387473+300+1858+886+4122+2785+7255+1778</f>
        <v>406457</v>
      </c>
      <c r="AC32" s="235">
        <f>AB32-AA32</f>
        <v>18684</v>
      </c>
      <c r="AD32" s="180">
        <f>80880+750</f>
        <v>81630</v>
      </c>
      <c r="AE32" s="78">
        <f>80880+750+13132+8159</f>
        <v>102921</v>
      </c>
      <c r="AF32" s="235">
        <f>AE32-AD32</f>
        <v>21291</v>
      </c>
      <c r="AG32" s="180">
        <v>19472</v>
      </c>
      <c r="AH32" s="78">
        <v>19472</v>
      </c>
      <c r="AI32" s="235">
        <f>AH32-AG32</f>
        <v>0</v>
      </c>
      <c r="AJ32" s="36"/>
      <c r="AK32" s="374">
        <f t="shared" si="0"/>
        <v>39975</v>
      </c>
    </row>
    <row r="33" spans="2:37" s="19" customFormat="1" ht="18" customHeight="1">
      <c r="B33" s="328" t="s">
        <v>34</v>
      </c>
      <c r="C33" s="180"/>
      <c r="D33" s="78"/>
      <c r="E33" s="30">
        <f>D33-C33</f>
        <v>0</v>
      </c>
      <c r="F33" s="180"/>
      <c r="G33" s="78"/>
      <c r="H33" s="30">
        <f>G33-F33</f>
        <v>0</v>
      </c>
      <c r="I33" s="180"/>
      <c r="J33" s="78"/>
      <c r="K33" s="30">
        <f>J33-I33</f>
        <v>0</v>
      </c>
      <c r="L33" s="180"/>
      <c r="M33" s="78"/>
      <c r="N33" s="30">
        <f>M33-L33</f>
        <v>0</v>
      </c>
      <c r="O33" s="343">
        <f t="shared" si="29"/>
        <v>0</v>
      </c>
      <c r="P33" s="277">
        <f t="shared" si="29"/>
        <v>0</v>
      </c>
      <c r="Q33" s="278">
        <f>P33-O33</f>
        <v>0</v>
      </c>
      <c r="R33" s="180">
        <f>25800</f>
        <v>25800</v>
      </c>
      <c r="S33" s="78">
        <f>25800</f>
        <v>25800</v>
      </c>
      <c r="T33" s="30">
        <f>S33-R33</f>
        <v>0</v>
      </c>
      <c r="U33" s="349">
        <f t="shared" si="30"/>
        <v>25800</v>
      </c>
      <c r="V33" s="279">
        <f t="shared" si="30"/>
        <v>25800</v>
      </c>
      <c r="W33" s="280">
        <f>V33-U33</f>
        <v>0</v>
      </c>
      <c r="X33" s="356">
        <f t="shared" si="31"/>
        <v>25800</v>
      </c>
      <c r="Y33" s="234">
        <f t="shared" si="31"/>
        <v>25800</v>
      </c>
      <c r="Z33" s="364">
        <f>Y33-X33</f>
        <v>0</v>
      </c>
      <c r="AA33" s="180">
        <v>25800</v>
      </c>
      <c r="AB33" s="78">
        <v>25800</v>
      </c>
      <c r="AC33" s="235">
        <f>AB33-AA33</f>
        <v>0</v>
      </c>
      <c r="AD33" s="180"/>
      <c r="AE33" s="78"/>
      <c r="AF33" s="235">
        <f>AE33-AD33</f>
        <v>0</v>
      </c>
      <c r="AG33" s="180"/>
      <c r="AH33" s="78"/>
      <c r="AI33" s="235">
        <f>AH33-AG33</f>
        <v>0</v>
      </c>
      <c r="AJ33" s="36"/>
      <c r="AK33" s="374">
        <f t="shared" si="0"/>
        <v>0</v>
      </c>
    </row>
    <row r="34" spans="2:37" s="19" customFormat="1" ht="18" customHeight="1">
      <c r="B34" s="328" t="s">
        <v>141</v>
      </c>
      <c r="C34" s="180">
        <f aca="true" t="shared" si="32" ref="C34:AI34">SUM(C35:C38)</f>
        <v>0</v>
      </c>
      <c r="D34" s="78">
        <f t="shared" si="32"/>
        <v>0</v>
      </c>
      <c r="E34" s="30">
        <f t="shared" si="32"/>
        <v>0</v>
      </c>
      <c r="F34" s="180">
        <f t="shared" si="32"/>
        <v>0</v>
      </c>
      <c r="G34" s="78">
        <f t="shared" si="32"/>
        <v>0</v>
      </c>
      <c r="H34" s="30">
        <f t="shared" si="32"/>
        <v>0</v>
      </c>
      <c r="I34" s="180">
        <f t="shared" si="32"/>
        <v>0</v>
      </c>
      <c r="J34" s="78">
        <f t="shared" si="32"/>
        <v>0</v>
      </c>
      <c r="K34" s="30">
        <f t="shared" si="32"/>
        <v>0</v>
      </c>
      <c r="L34" s="180">
        <f t="shared" si="32"/>
        <v>0</v>
      </c>
      <c r="M34" s="78">
        <f t="shared" si="32"/>
        <v>798</v>
      </c>
      <c r="N34" s="30">
        <f t="shared" si="32"/>
        <v>798</v>
      </c>
      <c r="O34" s="341">
        <f t="shared" si="32"/>
        <v>0</v>
      </c>
      <c r="P34" s="277">
        <f t="shared" si="32"/>
        <v>798</v>
      </c>
      <c r="Q34" s="278">
        <f t="shared" si="32"/>
        <v>798</v>
      </c>
      <c r="R34" s="180">
        <f t="shared" si="32"/>
        <v>644391</v>
      </c>
      <c r="S34" s="78">
        <f t="shared" si="32"/>
        <v>653894</v>
      </c>
      <c r="T34" s="30">
        <f t="shared" si="32"/>
        <v>9503</v>
      </c>
      <c r="U34" s="349">
        <f t="shared" si="32"/>
        <v>644391</v>
      </c>
      <c r="V34" s="279">
        <f t="shared" si="32"/>
        <v>654692</v>
      </c>
      <c r="W34" s="280">
        <f t="shared" si="32"/>
        <v>10301</v>
      </c>
      <c r="X34" s="356">
        <f t="shared" si="32"/>
        <v>644391</v>
      </c>
      <c r="Y34" s="234">
        <f t="shared" si="32"/>
        <v>654692</v>
      </c>
      <c r="Z34" s="364">
        <f t="shared" si="32"/>
        <v>10301</v>
      </c>
      <c r="AA34" s="180">
        <f t="shared" si="32"/>
        <v>621389</v>
      </c>
      <c r="AB34" s="78">
        <f t="shared" si="32"/>
        <v>631160</v>
      </c>
      <c r="AC34" s="235">
        <f t="shared" si="32"/>
        <v>9771</v>
      </c>
      <c r="AD34" s="180">
        <f t="shared" si="32"/>
        <v>23002</v>
      </c>
      <c r="AE34" s="78">
        <f t="shared" si="32"/>
        <v>22841</v>
      </c>
      <c r="AF34" s="235">
        <f t="shared" si="32"/>
        <v>-161</v>
      </c>
      <c r="AG34" s="180">
        <f t="shared" si="32"/>
        <v>0</v>
      </c>
      <c r="AH34" s="78">
        <f t="shared" si="32"/>
        <v>0</v>
      </c>
      <c r="AI34" s="235">
        <f t="shared" si="32"/>
        <v>0</v>
      </c>
      <c r="AJ34" s="36"/>
      <c r="AK34" s="374">
        <f t="shared" si="0"/>
        <v>9610</v>
      </c>
    </row>
    <row r="35" spans="2:37" s="19" customFormat="1" ht="18" customHeight="1">
      <c r="B35" s="331" t="s">
        <v>133</v>
      </c>
      <c r="C35" s="179"/>
      <c r="D35" s="95"/>
      <c r="E35" s="93">
        <f>D35-C35</f>
        <v>0</v>
      </c>
      <c r="F35" s="179"/>
      <c r="G35" s="95"/>
      <c r="H35" s="93">
        <f>G35-F35</f>
        <v>0</v>
      </c>
      <c r="I35" s="179"/>
      <c r="J35" s="95"/>
      <c r="K35" s="93">
        <f>J35-I35</f>
        <v>0</v>
      </c>
      <c r="L35" s="179"/>
      <c r="M35" s="95"/>
      <c r="N35" s="93">
        <f>M35-L35</f>
        <v>0</v>
      </c>
      <c r="O35" s="341">
        <f aca="true" t="shared" si="33" ref="O35:P38">C35+F35+I35+L35</f>
        <v>0</v>
      </c>
      <c r="P35" s="277">
        <f t="shared" si="33"/>
        <v>0</v>
      </c>
      <c r="Q35" s="278">
        <f>P35-O35</f>
        <v>0</v>
      </c>
      <c r="R35" s="179">
        <v>113976</v>
      </c>
      <c r="S35" s="95">
        <v>115680</v>
      </c>
      <c r="T35" s="93">
        <f>S35-R35</f>
        <v>1704</v>
      </c>
      <c r="U35" s="349">
        <f aca="true" t="shared" si="34" ref="U35:V38">O35+R35</f>
        <v>113976</v>
      </c>
      <c r="V35" s="277">
        <f t="shared" si="34"/>
        <v>115680</v>
      </c>
      <c r="W35" s="278">
        <f>V35-U35</f>
        <v>1704</v>
      </c>
      <c r="X35" s="179">
        <f aca="true" t="shared" si="35" ref="X35:Y38">U35</f>
        <v>113976</v>
      </c>
      <c r="Y35" s="95">
        <f t="shared" si="35"/>
        <v>115680</v>
      </c>
      <c r="Z35" s="319">
        <f>Y35-X35</f>
        <v>1704</v>
      </c>
      <c r="AA35" s="179">
        <v>113976</v>
      </c>
      <c r="AB35" s="95">
        <f>113976+1704</f>
        <v>115680</v>
      </c>
      <c r="AC35" s="93">
        <f>AB35-AA35</f>
        <v>1704</v>
      </c>
      <c r="AD35" s="179"/>
      <c r="AE35" s="95"/>
      <c r="AF35" s="93">
        <f>AE35-AD35</f>
        <v>0</v>
      </c>
      <c r="AG35" s="179"/>
      <c r="AH35" s="95"/>
      <c r="AI35" s="93">
        <f>AH35-AG35</f>
        <v>0</v>
      </c>
      <c r="AJ35" s="36"/>
      <c r="AK35" s="374">
        <f t="shared" si="0"/>
        <v>1704</v>
      </c>
    </row>
    <row r="36" spans="2:37" s="19" customFormat="1" ht="18" customHeight="1">
      <c r="B36" s="331" t="s">
        <v>158</v>
      </c>
      <c r="C36" s="179"/>
      <c r="D36" s="95"/>
      <c r="E36" s="93">
        <f>D36-C36</f>
        <v>0</v>
      </c>
      <c r="F36" s="179"/>
      <c r="G36" s="95"/>
      <c r="H36" s="93">
        <f>G36-F36</f>
        <v>0</v>
      </c>
      <c r="I36" s="179"/>
      <c r="J36" s="95"/>
      <c r="K36" s="93">
        <f>J36-I36</f>
        <v>0</v>
      </c>
      <c r="L36" s="179"/>
      <c r="M36" s="95">
        <v>798</v>
      </c>
      <c r="N36" s="93">
        <f>M36-L36</f>
        <v>798</v>
      </c>
      <c r="O36" s="341">
        <f t="shared" si="33"/>
        <v>0</v>
      </c>
      <c r="P36" s="277">
        <f t="shared" si="33"/>
        <v>798</v>
      </c>
      <c r="Q36" s="278">
        <f>P36-O36</f>
        <v>798</v>
      </c>
      <c r="R36" s="179">
        <f>472271+1800</f>
        <v>474071</v>
      </c>
      <c r="S36" s="95">
        <f>490552</f>
        <v>490552</v>
      </c>
      <c r="T36" s="93">
        <f>S36-R36</f>
        <v>16481</v>
      </c>
      <c r="U36" s="349">
        <f t="shared" si="34"/>
        <v>474071</v>
      </c>
      <c r="V36" s="277">
        <f t="shared" si="34"/>
        <v>491350</v>
      </c>
      <c r="W36" s="278">
        <f>V36-U36</f>
        <v>17279</v>
      </c>
      <c r="X36" s="179">
        <f t="shared" si="35"/>
        <v>474071</v>
      </c>
      <c r="Y36" s="95">
        <f t="shared" si="35"/>
        <v>491350</v>
      </c>
      <c r="Z36" s="319">
        <f>Y36-X36</f>
        <v>17279</v>
      </c>
      <c r="AA36" s="179">
        <v>472271</v>
      </c>
      <c r="AB36" s="95">
        <f>472271+798+16481</f>
        <v>489550</v>
      </c>
      <c r="AC36" s="93">
        <f>AB36-AA36</f>
        <v>17279</v>
      </c>
      <c r="AD36" s="179">
        <v>1800</v>
      </c>
      <c r="AE36" s="95">
        <v>1800</v>
      </c>
      <c r="AF36" s="93">
        <f>AE36-AD36</f>
        <v>0</v>
      </c>
      <c r="AG36" s="179"/>
      <c r="AH36" s="95"/>
      <c r="AI36" s="93">
        <f>AH36-AG36</f>
        <v>0</v>
      </c>
      <c r="AJ36" s="36"/>
      <c r="AK36" s="374">
        <f t="shared" si="0"/>
        <v>17279</v>
      </c>
    </row>
    <row r="37" spans="2:37" s="19" customFormat="1" ht="18" customHeight="1">
      <c r="B37" s="331" t="s">
        <v>159</v>
      </c>
      <c r="C37" s="179"/>
      <c r="D37" s="95"/>
      <c r="E37" s="93">
        <f>D37-C37</f>
        <v>0</v>
      </c>
      <c r="F37" s="179"/>
      <c r="G37" s="95"/>
      <c r="H37" s="93">
        <f>G37-F37</f>
        <v>0</v>
      </c>
      <c r="I37" s="179"/>
      <c r="J37" s="95"/>
      <c r="K37" s="93">
        <f>J37-I37</f>
        <v>0</v>
      </c>
      <c r="L37" s="179"/>
      <c r="M37" s="95"/>
      <c r="N37" s="93">
        <f>M37-L37</f>
        <v>0</v>
      </c>
      <c r="O37" s="341">
        <f t="shared" si="33"/>
        <v>0</v>
      </c>
      <c r="P37" s="277">
        <f t="shared" si="33"/>
        <v>0</v>
      </c>
      <c r="Q37" s="278">
        <f>P37-O37</f>
        <v>0</v>
      </c>
      <c r="R37" s="179">
        <f>19501+13052+100</f>
        <v>32653</v>
      </c>
      <c r="S37" s="95">
        <v>32492</v>
      </c>
      <c r="T37" s="93">
        <f>S37-R37</f>
        <v>-161</v>
      </c>
      <c r="U37" s="349">
        <f t="shared" si="34"/>
        <v>32653</v>
      </c>
      <c r="V37" s="277">
        <f t="shared" si="34"/>
        <v>32492</v>
      </c>
      <c r="W37" s="278">
        <f>V37-U37</f>
        <v>-161</v>
      </c>
      <c r="X37" s="179">
        <f t="shared" si="35"/>
        <v>32653</v>
      </c>
      <c r="Y37" s="95">
        <f t="shared" si="35"/>
        <v>32492</v>
      </c>
      <c r="Z37" s="319">
        <f>Y37-X37</f>
        <v>-161</v>
      </c>
      <c r="AA37" s="179">
        <v>19501</v>
      </c>
      <c r="AB37" s="95">
        <v>19501</v>
      </c>
      <c r="AC37" s="93">
        <f>AB37-AA37</f>
        <v>0</v>
      </c>
      <c r="AD37" s="179">
        <f>13052+100</f>
        <v>13152</v>
      </c>
      <c r="AE37" s="95">
        <f>13052+100-161</f>
        <v>12991</v>
      </c>
      <c r="AF37" s="93">
        <f>AE37-AD37</f>
        <v>-161</v>
      </c>
      <c r="AG37" s="179"/>
      <c r="AH37" s="95"/>
      <c r="AI37" s="93">
        <f>AH37-AG37</f>
        <v>0</v>
      </c>
      <c r="AJ37" s="36"/>
      <c r="AK37" s="374">
        <f t="shared" si="0"/>
        <v>-161</v>
      </c>
    </row>
    <row r="38" spans="2:37" s="19" customFormat="1" ht="18" customHeight="1" thickBot="1">
      <c r="B38" s="331" t="s">
        <v>142</v>
      </c>
      <c r="C38" s="192"/>
      <c r="D38" s="193"/>
      <c r="E38" s="31">
        <f>D38-C38</f>
        <v>0</v>
      </c>
      <c r="F38" s="192"/>
      <c r="G38" s="193"/>
      <c r="H38" s="31">
        <f>G38-F38</f>
        <v>0</v>
      </c>
      <c r="I38" s="192"/>
      <c r="J38" s="193"/>
      <c r="K38" s="31">
        <f>J38-I38</f>
        <v>0</v>
      </c>
      <c r="L38" s="192"/>
      <c r="M38" s="193"/>
      <c r="N38" s="31">
        <f>M38-L38</f>
        <v>0</v>
      </c>
      <c r="O38" s="341">
        <f t="shared" si="33"/>
        <v>0</v>
      </c>
      <c r="P38" s="293">
        <f t="shared" si="33"/>
        <v>0</v>
      </c>
      <c r="Q38" s="294">
        <f>P38-O38</f>
        <v>0</v>
      </c>
      <c r="R38" s="192">
        <f>11362+8050-750-100-300+5429</f>
        <v>23691</v>
      </c>
      <c r="S38" s="193">
        <f>16256-1778+1+691</f>
        <v>15170</v>
      </c>
      <c r="T38" s="31">
        <f>S38-R38</f>
        <v>-8521</v>
      </c>
      <c r="U38" s="353">
        <f t="shared" si="34"/>
        <v>23691</v>
      </c>
      <c r="V38" s="295">
        <f t="shared" si="34"/>
        <v>15170</v>
      </c>
      <c r="W38" s="296">
        <f>V38-U38</f>
        <v>-8521</v>
      </c>
      <c r="X38" s="359">
        <f t="shared" si="35"/>
        <v>23691</v>
      </c>
      <c r="Y38" s="242">
        <f t="shared" si="35"/>
        <v>15170</v>
      </c>
      <c r="Z38" s="368">
        <f>Y38-X38</f>
        <v>-8521</v>
      </c>
      <c r="AA38" s="192">
        <f>11362-750-100-300+5429</f>
        <v>15641</v>
      </c>
      <c r="AB38" s="193">
        <f>11362-750-100-300+5429-7435-1778+1</f>
        <v>6429</v>
      </c>
      <c r="AC38" s="243">
        <f>AB38-AA38</f>
        <v>-9212</v>
      </c>
      <c r="AD38" s="192">
        <v>8050</v>
      </c>
      <c r="AE38" s="193">
        <v>8050</v>
      </c>
      <c r="AF38" s="243">
        <f>AE38-AD38</f>
        <v>0</v>
      </c>
      <c r="AG38" s="192"/>
      <c r="AH38" s="193"/>
      <c r="AI38" s="243">
        <f>AH38-AG38</f>
        <v>0</v>
      </c>
      <c r="AJ38" s="36"/>
      <c r="AK38" s="374">
        <f t="shared" si="0"/>
        <v>-9212</v>
      </c>
    </row>
    <row r="39" spans="2:37" s="19" customFormat="1" ht="18" customHeight="1" thickBot="1">
      <c r="B39" s="330" t="s">
        <v>134</v>
      </c>
      <c r="C39" s="182">
        <f aca="true" t="shared" si="36" ref="C39:AI39">C30+C31+C32+C33+C34</f>
        <v>34962</v>
      </c>
      <c r="D39" s="183">
        <f t="shared" si="36"/>
        <v>37325</v>
      </c>
      <c r="E39" s="32">
        <f t="shared" si="36"/>
        <v>2363</v>
      </c>
      <c r="F39" s="182">
        <f t="shared" si="36"/>
        <v>105857</v>
      </c>
      <c r="G39" s="183">
        <f t="shared" si="36"/>
        <v>120030</v>
      </c>
      <c r="H39" s="32">
        <f t="shared" si="36"/>
        <v>14173</v>
      </c>
      <c r="I39" s="182">
        <f t="shared" si="36"/>
        <v>38920</v>
      </c>
      <c r="J39" s="183">
        <f t="shared" si="36"/>
        <v>43240</v>
      </c>
      <c r="K39" s="32">
        <f t="shared" si="36"/>
        <v>4320</v>
      </c>
      <c r="L39" s="182">
        <f t="shared" si="36"/>
        <v>301855</v>
      </c>
      <c r="M39" s="183">
        <f t="shared" si="36"/>
        <v>306591</v>
      </c>
      <c r="N39" s="32">
        <f t="shared" si="36"/>
        <v>4736</v>
      </c>
      <c r="O39" s="342">
        <f t="shared" si="36"/>
        <v>481594</v>
      </c>
      <c r="P39" s="285">
        <f t="shared" si="36"/>
        <v>507186</v>
      </c>
      <c r="Q39" s="286">
        <f t="shared" si="36"/>
        <v>25592</v>
      </c>
      <c r="R39" s="182">
        <f t="shared" si="36"/>
        <v>1047286</v>
      </c>
      <c r="S39" s="183">
        <f t="shared" si="36"/>
        <v>1074921</v>
      </c>
      <c r="T39" s="32">
        <f t="shared" si="36"/>
        <v>27635</v>
      </c>
      <c r="U39" s="197">
        <f t="shared" si="36"/>
        <v>1528880</v>
      </c>
      <c r="V39" s="101">
        <f t="shared" si="36"/>
        <v>1582107</v>
      </c>
      <c r="W39" s="100">
        <f t="shared" si="36"/>
        <v>53227</v>
      </c>
      <c r="X39" s="182">
        <f t="shared" si="36"/>
        <v>1528880</v>
      </c>
      <c r="Y39" s="101">
        <f t="shared" si="36"/>
        <v>1582107</v>
      </c>
      <c r="Z39" s="323">
        <f t="shared" si="36"/>
        <v>53227</v>
      </c>
      <c r="AA39" s="182">
        <f t="shared" si="36"/>
        <v>1297035</v>
      </c>
      <c r="AB39" s="183">
        <f t="shared" si="36"/>
        <v>1327738</v>
      </c>
      <c r="AC39" s="100">
        <f t="shared" si="36"/>
        <v>30703</v>
      </c>
      <c r="AD39" s="182">
        <f t="shared" si="36"/>
        <v>140746</v>
      </c>
      <c r="AE39" s="183">
        <f t="shared" si="36"/>
        <v>162579</v>
      </c>
      <c r="AF39" s="100">
        <f t="shared" si="36"/>
        <v>21833</v>
      </c>
      <c r="AG39" s="182">
        <f t="shared" si="36"/>
        <v>91099</v>
      </c>
      <c r="AH39" s="183">
        <f t="shared" si="36"/>
        <v>91099</v>
      </c>
      <c r="AI39" s="100">
        <f t="shared" si="36"/>
        <v>0</v>
      </c>
      <c r="AJ39" s="36"/>
      <c r="AK39" s="374">
        <f t="shared" si="0"/>
        <v>52536</v>
      </c>
    </row>
    <row r="40" spans="2:37" s="19" customFormat="1" ht="18" customHeight="1">
      <c r="B40" s="326" t="s">
        <v>73</v>
      </c>
      <c r="C40" s="180"/>
      <c r="D40" s="78">
        <v>1191</v>
      </c>
      <c r="E40" s="30">
        <f>D40-C40</f>
        <v>1191</v>
      </c>
      <c r="F40" s="180">
        <v>1500</v>
      </c>
      <c r="G40" s="78">
        <v>1500</v>
      </c>
      <c r="H40" s="30">
        <f>G40-F40</f>
        <v>0</v>
      </c>
      <c r="I40" s="180"/>
      <c r="J40" s="78">
        <v>4110</v>
      </c>
      <c r="K40" s="30">
        <f>J40-I40</f>
        <v>4110</v>
      </c>
      <c r="L40" s="180">
        <v>2000</v>
      </c>
      <c r="M40" s="78">
        <v>3068</v>
      </c>
      <c r="N40" s="30">
        <f>M40-L40</f>
        <v>1068</v>
      </c>
      <c r="O40" s="341">
        <f aca="true" t="shared" si="37" ref="O40:P45">C40+F40+I40+L40</f>
        <v>3500</v>
      </c>
      <c r="P40" s="277">
        <f t="shared" si="37"/>
        <v>9869</v>
      </c>
      <c r="Q40" s="278">
        <f aca="true" t="shared" si="38" ref="Q40:Q45">P40-O40</f>
        <v>6369</v>
      </c>
      <c r="R40" s="180">
        <f>72500-3500</f>
        <v>69000</v>
      </c>
      <c r="S40" s="78">
        <f>61641-1</f>
        <v>61640</v>
      </c>
      <c r="T40" s="30">
        <f>S40-R40</f>
        <v>-7360</v>
      </c>
      <c r="U40" s="349">
        <f aca="true" t="shared" si="39" ref="U40:V45">O40+R40</f>
        <v>72500</v>
      </c>
      <c r="V40" s="279">
        <f t="shared" si="39"/>
        <v>71509</v>
      </c>
      <c r="W40" s="280">
        <f aca="true" t="shared" si="40" ref="W40:W45">V40-U40</f>
        <v>-991</v>
      </c>
      <c r="X40" s="356">
        <f>U40</f>
        <v>72500</v>
      </c>
      <c r="Y40" s="234">
        <f>V40</f>
        <v>71509</v>
      </c>
      <c r="Z40" s="364">
        <f aca="true" t="shared" si="41" ref="Z40:Z45">Y40-X40</f>
        <v>-991</v>
      </c>
      <c r="AA40" s="180">
        <v>72000</v>
      </c>
      <c r="AB40" s="78">
        <f>72000+1191+4110+1068-7360</f>
        <v>71009</v>
      </c>
      <c r="AC40" s="235">
        <f aca="true" t="shared" si="42" ref="AC40:AC45">AB40-AA40</f>
        <v>-991</v>
      </c>
      <c r="AD40" s="180">
        <v>500</v>
      </c>
      <c r="AE40" s="78">
        <v>500</v>
      </c>
      <c r="AF40" s="235">
        <f aca="true" t="shared" si="43" ref="AF40:AF45">AE40-AD40</f>
        <v>0</v>
      </c>
      <c r="AG40" s="180"/>
      <c r="AH40" s="78"/>
      <c r="AI40" s="235">
        <f aca="true" t="shared" si="44" ref="AI40:AI45">AH40-AG40</f>
        <v>0</v>
      </c>
      <c r="AJ40" s="36"/>
      <c r="AK40" s="374">
        <f t="shared" si="0"/>
        <v>-991</v>
      </c>
    </row>
    <row r="41" spans="2:37" s="19" customFormat="1" ht="18" customHeight="1">
      <c r="B41" s="338" t="s">
        <v>19</v>
      </c>
      <c r="C41" s="184"/>
      <c r="D41" s="185"/>
      <c r="E41" s="29">
        <f>D41-C41</f>
        <v>0</v>
      </c>
      <c r="F41" s="184"/>
      <c r="G41" s="185"/>
      <c r="H41" s="29">
        <f>G41-F41</f>
        <v>0</v>
      </c>
      <c r="I41" s="184"/>
      <c r="J41" s="185"/>
      <c r="K41" s="29">
        <f>J41-I41</f>
        <v>0</v>
      </c>
      <c r="L41" s="184"/>
      <c r="M41" s="185">
        <v>896</v>
      </c>
      <c r="N41" s="29">
        <f>M41-L41</f>
        <v>896</v>
      </c>
      <c r="O41" s="341">
        <f t="shared" si="37"/>
        <v>0</v>
      </c>
      <c r="P41" s="287">
        <f t="shared" si="37"/>
        <v>896</v>
      </c>
      <c r="Q41" s="288">
        <f t="shared" si="38"/>
        <v>896</v>
      </c>
      <c r="R41" s="184">
        <v>149418</v>
      </c>
      <c r="S41" s="185">
        <f>154523+1950-691</f>
        <v>155782</v>
      </c>
      <c r="T41" s="29">
        <f>S41-R41</f>
        <v>6364</v>
      </c>
      <c r="U41" s="351">
        <f t="shared" si="39"/>
        <v>149418</v>
      </c>
      <c r="V41" s="289">
        <f t="shared" si="39"/>
        <v>156678</v>
      </c>
      <c r="W41" s="290">
        <f t="shared" si="40"/>
        <v>7260</v>
      </c>
      <c r="X41" s="358">
        <f>U41</f>
        <v>149418</v>
      </c>
      <c r="Y41" s="238">
        <f>V41</f>
        <v>156678</v>
      </c>
      <c r="Z41" s="366">
        <f t="shared" si="41"/>
        <v>7260</v>
      </c>
      <c r="AA41" s="184">
        <v>149418</v>
      </c>
      <c r="AB41" s="185">
        <f>149418+896+7055</f>
        <v>157369</v>
      </c>
      <c r="AC41" s="239">
        <f t="shared" si="42"/>
        <v>7951</v>
      </c>
      <c r="AD41" s="184"/>
      <c r="AE41" s="185"/>
      <c r="AF41" s="239">
        <f t="shared" si="43"/>
        <v>0</v>
      </c>
      <c r="AG41" s="184"/>
      <c r="AH41" s="185"/>
      <c r="AI41" s="239">
        <f t="shared" si="44"/>
        <v>0</v>
      </c>
      <c r="AJ41" s="36"/>
      <c r="AK41" s="374">
        <f t="shared" si="0"/>
        <v>7951</v>
      </c>
    </row>
    <row r="42" spans="2:37" s="19" customFormat="1" ht="18" customHeight="1">
      <c r="B42" s="328" t="s">
        <v>117</v>
      </c>
      <c r="C42" s="180">
        <f aca="true" t="shared" si="45" ref="C42:N42">SUM(C43:C45)</f>
        <v>0</v>
      </c>
      <c r="D42" s="78">
        <f t="shared" si="45"/>
        <v>0</v>
      </c>
      <c r="E42" s="30">
        <f t="shared" si="45"/>
        <v>0</v>
      </c>
      <c r="F42" s="180">
        <f t="shared" si="45"/>
        <v>0</v>
      </c>
      <c r="G42" s="78">
        <f t="shared" si="45"/>
        <v>0</v>
      </c>
      <c r="H42" s="30">
        <f t="shared" si="45"/>
        <v>0</v>
      </c>
      <c r="I42" s="180">
        <f t="shared" si="45"/>
        <v>0</v>
      </c>
      <c r="J42" s="78">
        <f t="shared" si="45"/>
        <v>0</v>
      </c>
      <c r="K42" s="30">
        <f t="shared" si="45"/>
        <v>0</v>
      </c>
      <c r="L42" s="180">
        <f t="shared" si="45"/>
        <v>0</v>
      </c>
      <c r="M42" s="78">
        <f t="shared" si="45"/>
        <v>0</v>
      </c>
      <c r="N42" s="30">
        <f t="shared" si="45"/>
        <v>0</v>
      </c>
      <c r="O42" s="341">
        <f t="shared" si="37"/>
        <v>0</v>
      </c>
      <c r="P42" s="277">
        <f t="shared" si="37"/>
        <v>0</v>
      </c>
      <c r="Q42" s="278">
        <f t="shared" si="38"/>
        <v>0</v>
      </c>
      <c r="R42" s="180">
        <f>SUM(R43:R45)</f>
        <v>11611</v>
      </c>
      <c r="S42" s="78">
        <f>SUM(S43:S45)</f>
        <v>20511</v>
      </c>
      <c r="T42" s="30">
        <f>SUM(T43:T45)</f>
        <v>8900</v>
      </c>
      <c r="U42" s="349">
        <f t="shared" si="39"/>
        <v>11611</v>
      </c>
      <c r="V42" s="279">
        <f t="shared" si="39"/>
        <v>20511</v>
      </c>
      <c r="W42" s="280">
        <f t="shared" si="40"/>
        <v>8900</v>
      </c>
      <c r="X42" s="356">
        <f>SUM(X43:X45)</f>
        <v>11611</v>
      </c>
      <c r="Y42" s="234">
        <f>SUM(Y43:Y45)</f>
        <v>20511</v>
      </c>
      <c r="Z42" s="364">
        <f t="shared" si="41"/>
        <v>8900</v>
      </c>
      <c r="AA42" s="180">
        <f>SUM(AA43:AA45)</f>
        <v>10151</v>
      </c>
      <c r="AB42" s="78">
        <f>SUM(AB43:AB45)</f>
        <v>16251</v>
      </c>
      <c r="AC42" s="235">
        <f t="shared" si="42"/>
        <v>6100</v>
      </c>
      <c r="AD42" s="180">
        <f>SUM(AD43:AD45)</f>
        <v>1460</v>
      </c>
      <c r="AE42" s="78">
        <f>SUM(AE43:AE45)</f>
        <v>4260</v>
      </c>
      <c r="AF42" s="235">
        <f t="shared" si="43"/>
        <v>2800</v>
      </c>
      <c r="AG42" s="180">
        <f>SUM(AG43:AG45)</f>
        <v>0</v>
      </c>
      <c r="AH42" s="78">
        <f>SUM(AH43:AH45)</f>
        <v>0</v>
      </c>
      <c r="AI42" s="235">
        <f t="shared" si="44"/>
        <v>0</v>
      </c>
      <c r="AJ42" s="36"/>
      <c r="AK42" s="374">
        <f t="shared" si="0"/>
        <v>8900</v>
      </c>
    </row>
    <row r="43" spans="2:37" s="19" customFormat="1" ht="18" customHeight="1">
      <c r="B43" s="331" t="s">
        <v>203</v>
      </c>
      <c r="C43" s="179"/>
      <c r="D43" s="95"/>
      <c r="E43" s="93">
        <f>D43-C43</f>
        <v>0</v>
      </c>
      <c r="F43" s="179"/>
      <c r="G43" s="95"/>
      <c r="H43" s="93">
        <f>G43-F43</f>
        <v>0</v>
      </c>
      <c r="I43" s="179"/>
      <c r="J43" s="95"/>
      <c r="K43" s="93">
        <f>J43-I43</f>
        <v>0</v>
      </c>
      <c r="L43" s="179"/>
      <c r="M43" s="95"/>
      <c r="N43" s="93">
        <f>M43-L43</f>
        <v>0</v>
      </c>
      <c r="O43" s="341">
        <f t="shared" si="37"/>
        <v>0</v>
      </c>
      <c r="P43" s="277">
        <f t="shared" si="37"/>
        <v>0</v>
      </c>
      <c r="Q43" s="278">
        <f t="shared" si="38"/>
        <v>0</v>
      </c>
      <c r="R43" s="179">
        <v>1460</v>
      </c>
      <c r="S43" s="95">
        <v>1460</v>
      </c>
      <c r="T43" s="93">
        <f>S43-R43</f>
        <v>0</v>
      </c>
      <c r="U43" s="349">
        <f t="shared" si="39"/>
        <v>1460</v>
      </c>
      <c r="V43" s="277">
        <f t="shared" si="39"/>
        <v>1460</v>
      </c>
      <c r="W43" s="278">
        <f t="shared" si="40"/>
        <v>0</v>
      </c>
      <c r="X43" s="179">
        <f aca="true" t="shared" si="46" ref="X43:Y45">U43</f>
        <v>1460</v>
      </c>
      <c r="Y43" s="95">
        <f t="shared" si="46"/>
        <v>1460</v>
      </c>
      <c r="Z43" s="319">
        <f t="shared" si="41"/>
        <v>0</v>
      </c>
      <c r="AA43" s="179"/>
      <c r="AB43" s="95"/>
      <c r="AC43" s="93">
        <f t="shared" si="42"/>
        <v>0</v>
      </c>
      <c r="AD43" s="179">
        <v>1460</v>
      </c>
      <c r="AE43" s="95">
        <v>1460</v>
      </c>
      <c r="AF43" s="93">
        <f t="shared" si="43"/>
        <v>0</v>
      </c>
      <c r="AG43" s="179"/>
      <c r="AH43" s="95"/>
      <c r="AI43" s="93">
        <f t="shared" si="44"/>
        <v>0</v>
      </c>
      <c r="AJ43" s="36"/>
      <c r="AK43" s="374">
        <f t="shared" si="0"/>
        <v>0</v>
      </c>
    </row>
    <row r="44" spans="2:37" s="19" customFormat="1" ht="18" customHeight="1">
      <c r="B44" s="331" t="s">
        <v>204</v>
      </c>
      <c r="C44" s="179"/>
      <c r="D44" s="95"/>
      <c r="E44" s="93">
        <f>D44-C44</f>
        <v>0</v>
      </c>
      <c r="F44" s="179"/>
      <c r="G44" s="95"/>
      <c r="H44" s="93">
        <f>G44-F44</f>
        <v>0</v>
      </c>
      <c r="I44" s="179"/>
      <c r="J44" s="95"/>
      <c r="K44" s="93">
        <f>J44-I44</f>
        <v>0</v>
      </c>
      <c r="L44" s="179"/>
      <c r="M44" s="95"/>
      <c r="N44" s="93">
        <f>M44-L44</f>
        <v>0</v>
      </c>
      <c r="O44" s="341">
        <f t="shared" si="37"/>
        <v>0</v>
      </c>
      <c r="P44" s="277">
        <f t="shared" si="37"/>
        <v>0</v>
      </c>
      <c r="Q44" s="278">
        <f t="shared" si="38"/>
        <v>0</v>
      </c>
      <c r="R44" s="179">
        <v>10151</v>
      </c>
      <c r="S44" s="95">
        <v>11176</v>
      </c>
      <c r="T44" s="93">
        <f>S44-R44</f>
        <v>1025</v>
      </c>
      <c r="U44" s="349">
        <f t="shared" si="39"/>
        <v>10151</v>
      </c>
      <c r="V44" s="277">
        <f t="shared" si="39"/>
        <v>11176</v>
      </c>
      <c r="W44" s="278">
        <f t="shared" si="40"/>
        <v>1025</v>
      </c>
      <c r="X44" s="179">
        <f t="shared" si="46"/>
        <v>10151</v>
      </c>
      <c r="Y44" s="95">
        <f t="shared" si="46"/>
        <v>11176</v>
      </c>
      <c r="Z44" s="319">
        <f t="shared" si="41"/>
        <v>1025</v>
      </c>
      <c r="AA44" s="179">
        <v>10151</v>
      </c>
      <c r="AB44" s="95">
        <f>10151+1025</f>
        <v>11176</v>
      </c>
      <c r="AC44" s="93">
        <f t="shared" si="42"/>
        <v>1025</v>
      </c>
      <c r="AD44" s="179"/>
      <c r="AE44" s="95"/>
      <c r="AF44" s="93">
        <f t="shared" si="43"/>
        <v>0</v>
      </c>
      <c r="AG44" s="179"/>
      <c r="AH44" s="95"/>
      <c r="AI44" s="93">
        <f t="shared" si="44"/>
        <v>0</v>
      </c>
      <c r="AJ44" s="36"/>
      <c r="AK44" s="374">
        <f t="shared" si="0"/>
        <v>1025</v>
      </c>
    </row>
    <row r="45" spans="2:37" s="19" customFormat="1" ht="18" customHeight="1" thickBot="1">
      <c r="B45" s="331" t="s">
        <v>205</v>
      </c>
      <c r="C45" s="196"/>
      <c r="D45" s="97"/>
      <c r="E45" s="94">
        <f>D45-C45</f>
        <v>0</v>
      </c>
      <c r="F45" s="196"/>
      <c r="G45" s="97"/>
      <c r="H45" s="94">
        <f>G45-F45</f>
        <v>0</v>
      </c>
      <c r="I45" s="196"/>
      <c r="J45" s="97"/>
      <c r="K45" s="94">
        <f>J45-I45</f>
        <v>0</v>
      </c>
      <c r="L45" s="196"/>
      <c r="M45" s="97"/>
      <c r="N45" s="94">
        <f>M45-L45</f>
        <v>0</v>
      </c>
      <c r="O45" s="341">
        <f t="shared" si="37"/>
        <v>0</v>
      </c>
      <c r="P45" s="293">
        <f t="shared" si="37"/>
        <v>0</v>
      </c>
      <c r="Q45" s="294">
        <f t="shared" si="38"/>
        <v>0</v>
      </c>
      <c r="R45" s="196"/>
      <c r="S45" s="97">
        <v>7875</v>
      </c>
      <c r="T45" s="94">
        <f>S45-R45</f>
        <v>7875</v>
      </c>
      <c r="U45" s="353">
        <f t="shared" si="39"/>
        <v>0</v>
      </c>
      <c r="V45" s="293">
        <f t="shared" si="39"/>
        <v>7875</v>
      </c>
      <c r="W45" s="294">
        <f t="shared" si="40"/>
        <v>7875</v>
      </c>
      <c r="X45" s="196">
        <f t="shared" si="46"/>
        <v>0</v>
      </c>
      <c r="Y45" s="97">
        <f t="shared" si="46"/>
        <v>7875</v>
      </c>
      <c r="Z45" s="322">
        <f t="shared" si="41"/>
        <v>7875</v>
      </c>
      <c r="AA45" s="196"/>
      <c r="AB45" s="97">
        <v>5075</v>
      </c>
      <c r="AC45" s="94">
        <f t="shared" si="42"/>
        <v>5075</v>
      </c>
      <c r="AD45" s="196"/>
      <c r="AE45" s="97">
        <f>2200+600</f>
        <v>2800</v>
      </c>
      <c r="AF45" s="94">
        <f t="shared" si="43"/>
        <v>2800</v>
      </c>
      <c r="AG45" s="196"/>
      <c r="AH45" s="97"/>
      <c r="AI45" s="94">
        <f t="shared" si="44"/>
        <v>0</v>
      </c>
      <c r="AJ45" s="36"/>
      <c r="AK45" s="374">
        <f t="shared" si="0"/>
        <v>7875</v>
      </c>
    </row>
    <row r="46" spans="2:37" s="19" customFormat="1" ht="18" customHeight="1" thickBot="1">
      <c r="B46" s="330" t="s">
        <v>135</v>
      </c>
      <c r="C46" s="182">
        <f aca="true" t="shared" si="47" ref="C46:AI46">C40+C41+C42</f>
        <v>0</v>
      </c>
      <c r="D46" s="183">
        <f t="shared" si="47"/>
        <v>1191</v>
      </c>
      <c r="E46" s="32">
        <f t="shared" si="47"/>
        <v>1191</v>
      </c>
      <c r="F46" s="182">
        <f t="shared" si="47"/>
        <v>1500</v>
      </c>
      <c r="G46" s="183">
        <f t="shared" si="47"/>
        <v>1500</v>
      </c>
      <c r="H46" s="32">
        <f t="shared" si="47"/>
        <v>0</v>
      </c>
      <c r="I46" s="182">
        <f t="shared" si="47"/>
        <v>0</v>
      </c>
      <c r="J46" s="183">
        <f t="shared" si="47"/>
        <v>4110</v>
      </c>
      <c r="K46" s="32">
        <f t="shared" si="47"/>
        <v>4110</v>
      </c>
      <c r="L46" s="182">
        <f t="shared" si="47"/>
        <v>2000</v>
      </c>
      <c r="M46" s="183">
        <f t="shared" si="47"/>
        <v>3964</v>
      </c>
      <c r="N46" s="32">
        <f t="shared" si="47"/>
        <v>1964</v>
      </c>
      <c r="O46" s="342">
        <f t="shared" si="47"/>
        <v>3500</v>
      </c>
      <c r="P46" s="285">
        <f t="shared" si="47"/>
        <v>10765</v>
      </c>
      <c r="Q46" s="286">
        <f t="shared" si="47"/>
        <v>7265</v>
      </c>
      <c r="R46" s="182">
        <f t="shared" si="47"/>
        <v>230029</v>
      </c>
      <c r="S46" s="183">
        <f t="shared" si="47"/>
        <v>237933</v>
      </c>
      <c r="T46" s="32">
        <f t="shared" si="47"/>
        <v>7904</v>
      </c>
      <c r="U46" s="197">
        <f t="shared" si="47"/>
        <v>233529</v>
      </c>
      <c r="V46" s="101">
        <f t="shared" si="47"/>
        <v>248698</v>
      </c>
      <c r="W46" s="100">
        <f t="shared" si="47"/>
        <v>15169</v>
      </c>
      <c r="X46" s="182">
        <f t="shared" si="47"/>
        <v>233529</v>
      </c>
      <c r="Y46" s="101">
        <f t="shared" si="47"/>
        <v>248698</v>
      </c>
      <c r="Z46" s="323">
        <f t="shared" si="47"/>
        <v>15169</v>
      </c>
      <c r="AA46" s="182">
        <f t="shared" si="47"/>
        <v>231569</v>
      </c>
      <c r="AB46" s="183">
        <f t="shared" si="47"/>
        <v>244629</v>
      </c>
      <c r="AC46" s="100">
        <f t="shared" si="47"/>
        <v>13060</v>
      </c>
      <c r="AD46" s="182">
        <f t="shared" si="47"/>
        <v>1960</v>
      </c>
      <c r="AE46" s="183">
        <f t="shared" si="47"/>
        <v>4760</v>
      </c>
      <c r="AF46" s="100">
        <f t="shared" si="47"/>
        <v>2800</v>
      </c>
      <c r="AG46" s="182">
        <f t="shared" si="47"/>
        <v>0</v>
      </c>
      <c r="AH46" s="183">
        <f t="shared" si="47"/>
        <v>0</v>
      </c>
      <c r="AI46" s="100">
        <f t="shared" si="47"/>
        <v>0</v>
      </c>
      <c r="AJ46" s="36"/>
      <c r="AK46" s="374">
        <f t="shared" si="0"/>
        <v>15860</v>
      </c>
    </row>
    <row r="47" spans="2:37" s="21" customFormat="1" ht="18" customHeight="1" thickBot="1">
      <c r="B47" s="333" t="s">
        <v>136</v>
      </c>
      <c r="C47" s="190">
        <f aca="true" t="shared" si="48" ref="C47:AI47">C46+C39</f>
        <v>34962</v>
      </c>
      <c r="D47" s="191">
        <f t="shared" si="48"/>
        <v>38516</v>
      </c>
      <c r="E47" s="88">
        <f t="shared" si="48"/>
        <v>3554</v>
      </c>
      <c r="F47" s="190">
        <f t="shared" si="48"/>
        <v>107357</v>
      </c>
      <c r="G47" s="191">
        <f t="shared" si="48"/>
        <v>121530</v>
      </c>
      <c r="H47" s="88">
        <f t="shared" si="48"/>
        <v>14173</v>
      </c>
      <c r="I47" s="190">
        <f t="shared" si="48"/>
        <v>38920</v>
      </c>
      <c r="J47" s="191">
        <f t="shared" si="48"/>
        <v>47350</v>
      </c>
      <c r="K47" s="88">
        <f t="shared" si="48"/>
        <v>8430</v>
      </c>
      <c r="L47" s="190">
        <f t="shared" si="48"/>
        <v>303855</v>
      </c>
      <c r="M47" s="191">
        <f t="shared" si="48"/>
        <v>310555</v>
      </c>
      <c r="N47" s="88">
        <f t="shared" si="48"/>
        <v>6700</v>
      </c>
      <c r="O47" s="344">
        <f t="shared" si="48"/>
        <v>485094</v>
      </c>
      <c r="P47" s="291">
        <f t="shared" si="48"/>
        <v>517951</v>
      </c>
      <c r="Q47" s="292">
        <f t="shared" si="48"/>
        <v>32857</v>
      </c>
      <c r="R47" s="190">
        <f t="shared" si="48"/>
        <v>1277315</v>
      </c>
      <c r="S47" s="191">
        <f t="shared" si="48"/>
        <v>1312854</v>
      </c>
      <c r="T47" s="88">
        <f t="shared" si="48"/>
        <v>35539</v>
      </c>
      <c r="U47" s="352">
        <f t="shared" si="48"/>
        <v>1762409</v>
      </c>
      <c r="V47" s="240">
        <f t="shared" si="48"/>
        <v>1830805</v>
      </c>
      <c r="W47" s="241">
        <f t="shared" si="48"/>
        <v>68396</v>
      </c>
      <c r="X47" s="190">
        <f t="shared" si="48"/>
        <v>1762409</v>
      </c>
      <c r="Y47" s="240">
        <f t="shared" si="48"/>
        <v>1830805</v>
      </c>
      <c r="Z47" s="367">
        <f t="shared" si="48"/>
        <v>68396</v>
      </c>
      <c r="AA47" s="190">
        <f t="shared" si="48"/>
        <v>1528604</v>
      </c>
      <c r="AB47" s="191">
        <f t="shared" si="48"/>
        <v>1572367</v>
      </c>
      <c r="AC47" s="241">
        <f t="shared" si="48"/>
        <v>43763</v>
      </c>
      <c r="AD47" s="190">
        <f t="shared" si="48"/>
        <v>142706</v>
      </c>
      <c r="AE47" s="191">
        <f t="shared" si="48"/>
        <v>167339</v>
      </c>
      <c r="AF47" s="241">
        <f t="shared" si="48"/>
        <v>24633</v>
      </c>
      <c r="AG47" s="190">
        <f t="shared" si="48"/>
        <v>91099</v>
      </c>
      <c r="AH47" s="191">
        <f t="shared" si="48"/>
        <v>91099</v>
      </c>
      <c r="AI47" s="241">
        <f t="shared" si="48"/>
        <v>0</v>
      </c>
      <c r="AJ47" s="36"/>
      <c r="AK47" s="374">
        <f t="shared" si="0"/>
        <v>68396</v>
      </c>
    </row>
    <row r="48" spans="2:37" s="19" customFormat="1" ht="18" customHeight="1" thickBot="1">
      <c r="B48" s="339" t="s">
        <v>137</v>
      </c>
      <c r="C48" s="197">
        <v>0</v>
      </c>
      <c r="D48" s="101">
        <v>0</v>
      </c>
      <c r="E48" s="100">
        <f>D48-C48</f>
        <v>0</v>
      </c>
      <c r="F48" s="197">
        <v>0</v>
      </c>
      <c r="G48" s="101">
        <v>0</v>
      </c>
      <c r="H48" s="100">
        <f>G48-F48</f>
        <v>0</v>
      </c>
      <c r="I48" s="197">
        <v>0</v>
      </c>
      <c r="J48" s="101">
        <v>0</v>
      </c>
      <c r="K48" s="100">
        <f>J48-I48</f>
        <v>0</v>
      </c>
      <c r="L48" s="197">
        <v>0</v>
      </c>
      <c r="M48" s="101">
        <v>0</v>
      </c>
      <c r="N48" s="100">
        <f>M48-L48</f>
        <v>0</v>
      </c>
      <c r="O48" s="342">
        <f>C48+F48+I48+L48</f>
        <v>0</v>
      </c>
      <c r="P48" s="285">
        <f>D48+G48+J48+M48</f>
        <v>0</v>
      </c>
      <c r="Q48" s="286">
        <f>P48-O48</f>
        <v>0</v>
      </c>
      <c r="R48" s="197">
        <f>29478+O24</f>
        <v>421218</v>
      </c>
      <c r="S48" s="101">
        <f>29478+P24</f>
        <v>416496</v>
      </c>
      <c r="T48" s="100">
        <f>S48-R48</f>
        <v>-4722</v>
      </c>
      <c r="U48" s="197">
        <f>O48+R48</f>
        <v>421218</v>
      </c>
      <c r="V48" s="101">
        <f>P48+S48</f>
        <v>416496</v>
      </c>
      <c r="W48" s="100">
        <f>V48-U48</f>
        <v>-4722</v>
      </c>
      <c r="X48" s="360">
        <f>U48-O24</f>
        <v>29478</v>
      </c>
      <c r="Y48" s="246">
        <f>V48-P24</f>
        <v>29478</v>
      </c>
      <c r="Z48" s="370">
        <f>Y48-X48</f>
        <v>0</v>
      </c>
      <c r="AA48" s="197">
        <v>29478</v>
      </c>
      <c r="AB48" s="101">
        <v>29478</v>
      </c>
      <c r="AC48" s="247">
        <f>AB48-AA48</f>
        <v>0</v>
      </c>
      <c r="AD48" s="197"/>
      <c r="AE48" s="101"/>
      <c r="AF48" s="247">
        <f>AE48-AD48</f>
        <v>0</v>
      </c>
      <c r="AG48" s="197"/>
      <c r="AH48" s="101"/>
      <c r="AI48" s="247">
        <f>AH48-AG48</f>
        <v>0</v>
      </c>
      <c r="AJ48" s="36"/>
      <c r="AK48" s="374">
        <f t="shared" si="0"/>
        <v>0</v>
      </c>
    </row>
    <row r="49" spans="2:37" s="21" customFormat="1" ht="18" customHeight="1" thickBot="1">
      <c r="B49" s="337" t="s">
        <v>35</v>
      </c>
      <c r="C49" s="194">
        <f aca="true" t="shared" si="49" ref="C49:AI49">C48+C47</f>
        <v>34962</v>
      </c>
      <c r="D49" s="195">
        <f t="shared" si="49"/>
        <v>38516</v>
      </c>
      <c r="E49" s="33">
        <f t="shared" si="49"/>
        <v>3554</v>
      </c>
      <c r="F49" s="194">
        <f t="shared" si="49"/>
        <v>107357</v>
      </c>
      <c r="G49" s="195">
        <f t="shared" si="49"/>
        <v>121530</v>
      </c>
      <c r="H49" s="33">
        <f t="shared" si="49"/>
        <v>14173</v>
      </c>
      <c r="I49" s="194">
        <f t="shared" si="49"/>
        <v>38920</v>
      </c>
      <c r="J49" s="195">
        <f t="shared" si="49"/>
        <v>47350</v>
      </c>
      <c r="K49" s="33">
        <f t="shared" si="49"/>
        <v>8430</v>
      </c>
      <c r="L49" s="194">
        <f t="shared" si="49"/>
        <v>303855</v>
      </c>
      <c r="M49" s="195">
        <f t="shared" si="49"/>
        <v>310555</v>
      </c>
      <c r="N49" s="33">
        <f t="shared" si="49"/>
        <v>6700</v>
      </c>
      <c r="O49" s="347">
        <f t="shared" si="49"/>
        <v>485094</v>
      </c>
      <c r="P49" s="297">
        <f t="shared" si="49"/>
        <v>517951</v>
      </c>
      <c r="Q49" s="298">
        <f t="shared" si="49"/>
        <v>32857</v>
      </c>
      <c r="R49" s="194">
        <f t="shared" si="49"/>
        <v>1698533</v>
      </c>
      <c r="S49" s="195">
        <f t="shared" si="49"/>
        <v>1729350</v>
      </c>
      <c r="T49" s="33">
        <f t="shared" si="49"/>
        <v>30817</v>
      </c>
      <c r="U49" s="354">
        <f t="shared" si="49"/>
        <v>2183627</v>
      </c>
      <c r="V49" s="244">
        <f t="shared" si="49"/>
        <v>2247301</v>
      </c>
      <c r="W49" s="245">
        <f t="shared" si="49"/>
        <v>63674</v>
      </c>
      <c r="X49" s="182">
        <f t="shared" si="49"/>
        <v>1791887</v>
      </c>
      <c r="Y49" s="101">
        <f t="shared" si="49"/>
        <v>1860283</v>
      </c>
      <c r="Z49" s="323">
        <f t="shared" si="49"/>
        <v>68396</v>
      </c>
      <c r="AA49" s="194">
        <f t="shared" si="49"/>
        <v>1558082</v>
      </c>
      <c r="AB49" s="195">
        <f t="shared" si="49"/>
        <v>1601845</v>
      </c>
      <c r="AC49" s="100">
        <f t="shared" si="49"/>
        <v>43763</v>
      </c>
      <c r="AD49" s="194">
        <f t="shared" si="49"/>
        <v>142706</v>
      </c>
      <c r="AE49" s="195">
        <f t="shared" si="49"/>
        <v>167339</v>
      </c>
      <c r="AF49" s="100">
        <f t="shared" si="49"/>
        <v>24633</v>
      </c>
      <c r="AG49" s="194">
        <f t="shared" si="49"/>
        <v>91099</v>
      </c>
      <c r="AH49" s="195">
        <f t="shared" si="49"/>
        <v>91099</v>
      </c>
      <c r="AI49" s="100">
        <f t="shared" si="49"/>
        <v>0</v>
      </c>
      <c r="AJ49" s="36" t="s">
        <v>234</v>
      </c>
      <c r="AK49" s="374">
        <f t="shared" si="0"/>
        <v>68396</v>
      </c>
    </row>
    <row r="50" spans="15:35" s="231" customFormat="1" ht="18" customHeight="1" thickBot="1">
      <c r="O50" s="248"/>
      <c r="P50" s="248"/>
      <c r="Q50" s="248"/>
      <c r="U50" s="251"/>
      <c r="V50" s="251"/>
      <c r="W50" s="251"/>
      <c r="Y50" s="251"/>
      <c r="Z50" s="251"/>
      <c r="AB50" s="251"/>
      <c r="AC50" s="371"/>
      <c r="AD50" s="372"/>
      <c r="AE50" s="371"/>
      <c r="AF50" s="371"/>
      <c r="AG50" s="372"/>
      <c r="AH50" s="371"/>
      <c r="AI50" s="371"/>
    </row>
    <row r="51" spans="2:35" s="119" customFormat="1" ht="18" customHeight="1">
      <c r="B51" s="299" t="s">
        <v>216</v>
      </c>
      <c r="C51" s="300">
        <f>SUM(C52:C53)</f>
        <v>8</v>
      </c>
      <c r="D51" s="224">
        <f>SUM(D52:D53)</f>
        <v>8</v>
      </c>
      <c r="E51" s="253">
        <f>D51-C51</f>
        <v>0</v>
      </c>
      <c r="F51" s="300">
        <f>SUM(F52:F53)</f>
        <v>14</v>
      </c>
      <c r="G51" s="224">
        <f>SUM(G52:G53)</f>
        <v>14</v>
      </c>
      <c r="H51" s="303">
        <f>G51-F51</f>
        <v>0</v>
      </c>
      <c r="I51" s="198">
        <f>SUM(I52:I53)</f>
        <v>12</v>
      </c>
      <c r="J51" s="224">
        <f>SUM(J52:J53)</f>
        <v>12</v>
      </c>
      <c r="K51" s="224">
        <f>J51-I51</f>
        <v>0</v>
      </c>
      <c r="L51" s="300">
        <f>SUM(L52:L53)</f>
        <v>50</v>
      </c>
      <c r="M51" s="224">
        <f>SUM(M52:M53)</f>
        <v>50</v>
      </c>
      <c r="N51" s="224">
        <f>M51-L51</f>
        <v>0</v>
      </c>
      <c r="O51" s="301">
        <f aca="true" t="shared" si="50" ref="O51:P54">C51+F51+I51+L51</f>
        <v>84</v>
      </c>
      <c r="P51" s="302">
        <f t="shared" si="50"/>
        <v>84</v>
      </c>
      <c r="Q51" s="302">
        <f>P51-O51</f>
        <v>0</v>
      </c>
      <c r="R51" s="198">
        <f>SUM(R52:R53)</f>
        <v>3.25</v>
      </c>
      <c r="S51" s="224">
        <f>SUM(S52:S53)</f>
        <v>3.25</v>
      </c>
      <c r="T51" s="253">
        <f>S51-R51</f>
        <v>0</v>
      </c>
      <c r="U51" s="300">
        <f aca="true" t="shared" si="51" ref="U51:V54">O51+R51</f>
        <v>87.25</v>
      </c>
      <c r="V51" s="224">
        <f t="shared" si="51"/>
        <v>87.25</v>
      </c>
      <c r="W51" s="303">
        <f>V51-U51</f>
        <v>0</v>
      </c>
      <c r="X51" s="201"/>
      <c r="Y51" s="252"/>
      <c r="Z51" s="252"/>
      <c r="AA51" s="201"/>
      <c r="AB51" s="252"/>
      <c r="AC51" s="252"/>
      <c r="AE51" s="252"/>
      <c r="AF51" s="252"/>
      <c r="AH51" s="252"/>
      <c r="AI51" s="252"/>
    </row>
    <row r="52" spans="2:35" s="124" customFormat="1" ht="18" customHeight="1">
      <c r="B52" s="304" t="s">
        <v>210</v>
      </c>
      <c r="C52" s="305">
        <v>7</v>
      </c>
      <c r="D52" s="200">
        <v>7</v>
      </c>
      <c r="E52" s="203">
        <f>D52-C52</f>
        <v>0</v>
      </c>
      <c r="F52" s="305">
        <v>5</v>
      </c>
      <c r="G52" s="200">
        <v>5</v>
      </c>
      <c r="H52" s="318">
        <f>G52-F52</f>
        <v>0</v>
      </c>
      <c r="I52" s="204">
        <v>10.5</v>
      </c>
      <c r="J52" s="200">
        <v>10.5</v>
      </c>
      <c r="K52" s="200">
        <f>J52-I52</f>
        <v>0</v>
      </c>
      <c r="L52" s="200">
        <v>48</v>
      </c>
      <c r="M52" s="200">
        <v>48</v>
      </c>
      <c r="N52" s="200">
        <f>M52-L52</f>
        <v>0</v>
      </c>
      <c r="O52" s="306">
        <f t="shared" si="50"/>
        <v>70.5</v>
      </c>
      <c r="P52" s="307">
        <f t="shared" si="50"/>
        <v>70.5</v>
      </c>
      <c r="Q52" s="307">
        <f>P52-O52</f>
        <v>0</v>
      </c>
      <c r="R52" s="204">
        <v>2</v>
      </c>
      <c r="S52" s="200">
        <v>2</v>
      </c>
      <c r="T52" s="203">
        <f>S52-R52</f>
        <v>0</v>
      </c>
      <c r="U52" s="308">
        <f t="shared" si="51"/>
        <v>72.5</v>
      </c>
      <c r="V52" s="309">
        <f t="shared" si="51"/>
        <v>72.5</v>
      </c>
      <c r="W52" s="310">
        <f>V52-U52</f>
        <v>0</v>
      </c>
      <c r="X52" s="176"/>
      <c r="Y52" s="252"/>
      <c r="Z52" s="252"/>
      <c r="AA52" s="176"/>
      <c r="AB52" s="252"/>
      <c r="AC52" s="252"/>
      <c r="AD52" s="199"/>
      <c r="AE52" s="252"/>
      <c r="AF52" s="252"/>
      <c r="AH52" s="252"/>
      <c r="AI52" s="252"/>
    </row>
    <row r="53" spans="2:35" s="124" customFormat="1" ht="18" customHeight="1">
      <c r="B53" s="304" t="s">
        <v>211</v>
      </c>
      <c r="C53" s="305">
        <v>1</v>
      </c>
      <c r="D53" s="200">
        <v>1</v>
      </c>
      <c r="E53" s="203">
        <f>D53-C53</f>
        <v>0</v>
      </c>
      <c r="F53" s="305">
        <v>9</v>
      </c>
      <c r="G53" s="200">
        <v>9</v>
      </c>
      <c r="H53" s="318">
        <f>G53-F53</f>
        <v>0</v>
      </c>
      <c r="I53" s="204">
        <v>1.5</v>
      </c>
      <c r="J53" s="200">
        <v>1.5</v>
      </c>
      <c r="K53" s="200">
        <f>J53-I53</f>
        <v>0</v>
      </c>
      <c r="L53" s="200">
        <v>2</v>
      </c>
      <c r="M53" s="200">
        <v>2</v>
      </c>
      <c r="N53" s="200">
        <f>M53-L53</f>
        <v>0</v>
      </c>
      <c r="O53" s="306">
        <f t="shared" si="50"/>
        <v>13.5</v>
      </c>
      <c r="P53" s="307">
        <f t="shared" si="50"/>
        <v>13.5</v>
      </c>
      <c r="Q53" s="307">
        <f>P53-O53</f>
        <v>0</v>
      </c>
      <c r="R53" s="204">
        <v>1.25</v>
      </c>
      <c r="S53" s="200">
        <v>1.25</v>
      </c>
      <c r="T53" s="203">
        <f>S53-R53</f>
        <v>0</v>
      </c>
      <c r="U53" s="308">
        <f t="shared" si="51"/>
        <v>14.75</v>
      </c>
      <c r="V53" s="309">
        <f t="shared" si="51"/>
        <v>14.75</v>
      </c>
      <c r="W53" s="310">
        <f>V53-U53</f>
        <v>0</v>
      </c>
      <c r="X53" s="177"/>
      <c r="Y53" s="252"/>
      <c r="Z53" s="252"/>
      <c r="AA53" s="177"/>
      <c r="AB53" s="252"/>
      <c r="AC53" s="252"/>
      <c r="AE53" s="252"/>
      <c r="AF53" s="252"/>
      <c r="AH53" s="252"/>
      <c r="AI53" s="252"/>
    </row>
    <row r="54" spans="2:35" s="119" customFormat="1" ht="18" customHeight="1" thickBot="1">
      <c r="B54" s="311" t="s">
        <v>217</v>
      </c>
      <c r="C54" s="312"/>
      <c r="D54" s="205"/>
      <c r="E54" s="206"/>
      <c r="F54" s="312">
        <v>3</v>
      </c>
      <c r="G54" s="205">
        <v>3</v>
      </c>
      <c r="H54" s="315"/>
      <c r="I54" s="207"/>
      <c r="J54" s="205"/>
      <c r="K54" s="205"/>
      <c r="L54" s="205">
        <v>2</v>
      </c>
      <c r="M54" s="205">
        <v>2</v>
      </c>
      <c r="N54" s="205"/>
      <c r="O54" s="313">
        <f t="shared" si="50"/>
        <v>5</v>
      </c>
      <c r="P54" s="314">
        <f t="shared" si="50"/>
        <v>5</v>
      </c>
      <c r="Q54" s="314">
        <f>P54-O54</f>
        <v>0</v>
      </c>
      <c r="R54" s="207">
        <v>0</v>
      </c>
      <c r="S54" s="205">
        <v>0</v>
      </c>
      <c r="T54" s="206"/>
      <c r="U54" s="312">
        <f t="shared" si="51"/>
        <v>5</v>
      </c>
      <c r="V54" s="205">
        <f t="shared" si="51"/>
        <v>5</v>
      </c>
      <c r="W54" s="315">
        <f>V54-U54</f>
        <v>0</v>
      </c>
      <c r="X54" s="202"/>
      <c r="Y54" s="252"/>
      <c r="Z54" s="252"/>
      <c r="AA54" s="202"/>
      <c r="AB54" s="252"/>
      <c r="AC54" s="252"/>
      <c r="AE54" s="252"/>
      <c r="AF54" s="252"/>
      <c r="AH54" s="252"/>
      <c r="AI54" s="252"/>
    </row>
  </sheetData>
  <sheetProtection/>
  <mergeCells count="27">
    <mergeCell ref="C28:E28"/>
    <mergeCell ref="F28:H28"/>
    <mergeCell ref="F4:H4"/>
    <mergeCell ref="O28:Q28"/>
    <mergeCell ref="R4:T4"/>
    <mergeCell ref="R28:T28"/>
    <mergeCell ref="I4:K4"/>
    <mergeCell ref="I28:K28"/>
    <mergeCell ref="L4:N4"/>
    <mergeCell ref="L28:N28"/>
    <mergeCell ref="AD28:AF28"/>
    <mergeCell ref="AG4:AI4"/>
    <mergeCell ref="AG28:AI28"/>
    <mergeCell ref="U4:W4"/>
    <mergeCell ref="X28:Z28"/>
    <mergeCell ref="X4:Z4"/>
    <mergeCell ref="AA4:AC4"/>
    <mergeCell ref="AA28:AC28"/>
    <mergeCell ref="U28:W28"/>
    <mergeCell ref="U3:Z3"/>
    <mergeCell ref="AA3:AI3"/>
    <mergeCell ref="I3:N3"/>
    <mergeCell ref="C3:H3"/>
    <mergeCell ref="O3:T3"/>
    <mergeCell ref="AD4:AF4"/>
    <mergeCell ref="O4:Q4"/>
    <mergeCell ref="C4:E4"/>
  </mergeCells>
  <printOptions/>
  <pageMargins left="0.5118110236220472" right="0.3937007874015748" top="0.37" bottom="0.33" header="0.31" footer="0.31"/>
  <pageSetup fitToWidth="5" horizontalDpi="360" verticalDpi="360" orientation="portrait" paperSize="9" scale="70" r:id="rId1"/>
  <colBreaks count="4" manualBreakCount="4">
    <brk id="8" max="53" man="1"/>
    <brk id="14" max="53" man="1"/>
    <brk id="20" max="53" man="1"/>
    <brk id="26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46.625" style="27" customWidth="1"/>
    <col min="3" max="3" width="11.625" style="2" customWidth="1"/>
    <col min="4" max="4" width="11.875" style="2" customWidth="1"/>
    <col min="5" max="5" width="9.125" style="2" customWidth="1"/>
    <col min="6" max="6" width="9.375" style="2" customWidth="1"/>
    <col min="7" max="16384" width="9.125" style="2" customWidth="1"/>
  </cols>
  <sheetData>
    <row r="1" s="10" customFormat="1" ht="15.75">
      <c r="A1" s="116" t="s">
        <v>301</v>
      </c>
    </row>
    <row r="2" spans="1:20" s="10" customFormat="1" ht="15.75">
      <c r="A2" s="116" t="s">
        <v>254</v>
      </c>
      <c r="N2" s="120"/>
      <c r="O2" s="120"/>
      <c r="P2" s="120"/>
      <c r="T2" s="118"/>
    </row>
    <row r="3" spans="1:5" ht="16.5" customHeight="1">
      <c r="A3" s="404" t="s">
        <v>160</v>
      </c>
      <c r="B3" s="404"/>
      <c r="C3" s="404"/>
      <c r="D3" s="404"/>
      <c r="E3" s="404"/>
    </row>
    <row r="4" spans="1:5" ht="16.5" customHeight="1">
      <c r="A4" s="404" t="s">
        <v>4</v>
      </c>
      <c r="B4" s="404"/>
      <c r="C4" s="404"/>
      <c r="D4" s="1"/>
      <c r="E4" s="1"/>
    </row>
    <row r="5" spans="1:5" ht="25.5" customHeight="1">
      <c r="A5" s="1"/>
      <c r="B5" s="39"/>
      <c r="C5" s="259" t="s">
        <v>252</v>
      </c>
      <c r="D5" s="259" t="s">
        <v>253</v>
      </c>
      <c r="E5" s="259" t="s">
        <v>232</v>
      </c>
    </row>
    <row r="6" spans="1:5" s="169" customFormat="1" ht="16.5" customHeight="1">
      <c r="A6" s="168" t="s">
        <v>1</v>
      </c>
      <c r="B6" s="168" t="s">
        <v>109</v>
      </c>
      <c r="C6" s="168"/>
      <c r="D6" s="168"/>
      <c r="E6" s="168"/>
    </row>
    <row r="7" spans="1:5" s="127" customFormat="1" ht="16.5" customHeight="1">
      <c r="A7" s="38" t="s">
        <v>5</v>
      </c>
      <c r="B7" s="38" t="s">
        <v>76</v>
      </c>
      <c r="C7" s="133">
        <f>1080+35335</f>
        <v>36415</v>
      </c>
      <c r="D7" s="133">
        <f>1080+35335</f>
        <v>36415</v>
      </c>
      <c r="E7" s="133">
        <f>D7-C7</f>
        <v>0</v>
      </c>
    </row>
    <row r="8" spans="1:5" s="75" customFormat="1" ht="16.5" customHeight="1">
      <c r="A8" s="38" t="s">
        <v>6</v>
      </c>
      <c r="B8" s="38" t="s">
        <v>88</v>
      </c>
      <c r="C8" s="133">
        <v>20000</v>
      </c>
      <c r="D8" s="133">
        <v>20000</v>
      </c>
      <c r="E8" s="133">
        <f>D8-C8</f>
        <v>0</v>
      </c>
    </row>
    <row r="9" spans="1:5" s="75" customFormat="1" ht="16.5" customHeight="1">
      <c r="A9" s="38" t="s">
        <v>7</v>
      </c>
      <c r="B9" s="38" t="s">
        <v>110</v>
      </c>
      <c r="C9" s="133">
        <v>20000</v>
      </c>
      <c r="D9" s="133">
        <v>0</v>
      </c>
      <c r="E9" s="133">
        <f>D9-C9</f>
        <v>-20000</v>
      </c>
    </row>
    <row r="10" spans="2:5" s="74" customFormat="1" ht="16.5" customHeight="1">
      <c r="B10" s="74" t="s">
        <v>3</v>
      </c>
      <c r="C10" s="126">
        <f>SUM(C7:C9)</f>
        <v>76415</v>
      </c>
      <c r="D10" s="126">
        <f>SUM(D7:D9)</f>
        <v>56415</v>
      </c>
      <c r="E10" s="126">
        <f>SUM(E7:E9)</f>
        <v>-20000</v>
      </c>
    </row>
    <row r="11" spans="3:5" s="127" customFormat="1" ht="16.5" customHeight="1">
      <c r="C11" s="162"/>
      <c r="D11" s="162"/>
      <c r="E11" s="173"/>
    </row>
    <row r="12" spans="1:5" s="74" customFormat="1" ht="16.5" customHeight="1">
      <c r="A12" s="74" t="s">
        <v>10</v>
      </c>
      <c r="B12" s="168" t="s">
        <v>111</v>
      </c>
      <c r="C12" s="126"/>
      <c r="D12" s="126"/>
      <c r="E12" s="126"/>
    </row>
    <row r="13" spans="1:5" s="127" customFormat="1" ht="16.5" customHeight="1">
      <c r="A13" s="38" t="s">
        <v>5</v>
      </c>
      <c r="B13" s="38" t="s">
        <v>165</v>
      </c>
      <c r="C13" s="133">
        <v>100000</v>
      </c>
      <c r="D13" s="133">
        <v>100000</v>
      </c>
      <c r="E13" s="133">
        <f>D13-C13</f>
        <v>0</v>
      </c>
    </row>
    <row r="14" spans="1:5" s="127" customFormat="1" ht="16.5" customHeight="1">
      <c r="A14" s="38" t="s">
        <v>6</v>
      </c>
      <c r="B14" s="38" t="s">
        <v>256</v>
      </c>
      <c r="C14" s="133"/>
      <c r="D14" s="133">
        <v>75</v>
      </c>
      <c r="E14" s="133">
        <f>D14-C14</f>
        <v>75</v>
      </c>
    </row>
    <row r="15" spans="1:5" s="127" customFormat="1" ht="16.5" customHeight="1">
      <c r="A15" s="38" t="s">
        <v>7</v>
      </c>
      <c r="B15" s="38" t="s">
        <v>266</v>
      </c>
      <c r="C15" s="133"/>
      <c r="D15" s="133">
        <v>2370</v>
      </c>
      <c r="E15" s="133">
        <f>D15-C15</f>
        <v>2370</v>
      </c>
    </row>
    <row r="16" spans="2:5" s="74" customFormat="1" ht="16.5" customHeight="1">
      <c r="B16" s="74" t="s">
        <v>3</v>
      </c>
      <c r="C16" s="126">
        <f>SUM(C13:C15)</f>
        <v>100000</v>
      </c>
      <c r="D16" s="126">
        <f>SUM(D13:D15)</f>
        <v>102445</v>
      </c>
      <c r="E16" s="126">
        <f>SUM(E13:E15)</f>
        <v>2445</v>
      </c>
    </row>
    <row r="17" spans="2:5" s="127" customFormat="1" ht="16.5" customHeight="1">
      <c r="B17" s="169"/>
      <c r="C17" s="162"/>
      <c r="D17" s="162"/>
      <c r="E17" s="162">
        <f>D17-C17</f>
        <v>0</v>
      </c>
    </row>
    <row r="18" spans="1:5" s="74" customFormat="1" ht="16.5" customHeight="1">
      <c r="A18" s="74" t="s">
        <v>11</v>
      </c>
      <c r="B18" s="168" t="s">
        <v>74</v>
      </c>
      <c r="C18" s="126"/>
      <c r="D18" s="126"/>
      <c r="E18" s="126"/>
    </row>
    <row r="19" spans="1:5" s="74" customFormat="1" ht="16.5" customHeight="1">
      <c r="A19" s="75" t="s">
        <v>5</v>
      </c>
      <c r="B19" s="150" t="s">
        <v>113</v>
      </c>
      <c r="C19" s="126"/>
      <c r="D19" s="126"/>
      <c r="E19" s="126"/>
    </row>
    <row r="20" spans="1:5" s="127" customFormat="1" ht="16.5" customHeight="1">
      <c r="A20" s="38" t="s">
        <v>5</v>
      </c>
      <c r="B20" s="38" t="s">
        <v>75</v>
      </c>
      <c r="C20" s="133">
        <v>8133</v>
      </c>
      <c r="D20" s="133">
        <v>8133</v>
      </c>
      <c r="E20" s="133">
        <f>D20-C20</f>
        <v>0</v>
      </c>
    </row>
    <row r="21" spans="1:5" s="157" customFormat="1" ht="16.5" customHeight="1">
      <c r="A21" s="144" t="s">
        <v>6</v>
      </c>
      <c r="B21" s="144" t="s">
        <v>12</v>
      </c>
      <c r="C21" s="167">
        <f>343+125</f>
        <v>468</v>
      </c>
      <c r="D21" s="167">
        <f>343+125</f>
        <v>468</v>
      </c>
      <c r="E21" s="167">
        <f>D21-C21</f>
        <v>0</v>
      </c>
    </row>
    <row r="22" spans="1:5" s="127" customFormat="1" ht="16.5" customHeight="1">
      <c r="A22" s="144" t="s">
        <v>7</v>
      </c>
      <c r="B22" s="144" t="s">
        <v>13</v>
      </c>
      <c r="C22" s="167">
        <v>4469</v>
      </c>
      <c r="D22" s="167">
        <v>4469</v>
      </c>
      <c r="E22" s="167">
        <f>D22-C22</f>
        <v>0</v>
      </c>
    </row>
    <row r="23" spans="1:5" s="127" customFormat="1" ht="16.5" customHeight="1">
      <c r="A23" s="144" t="s">
        <v>8</v>
      </c>
      <c r="B23" s="144" t="s">
        <v>14</v>
      </c>
      <c r="C23" s="167">
        <v>1460</v>
      </c>
      <c r="D23" s="167">
        <v>1460</v>
      </c>
      <c r="E23" s="167">
        <f>D23-C23</f>
        <v>0</v>
      </c>
    </row>
    <row r="24" spans="2:5" s="74" customFormat="1" ht="16.5" customHeight="1">
      <c r="B24" s="150" t="s">
        <v>3</v>
      </c>
      <c r="C24" s="143">
        <f>SUM(C20:C23)</f>
        <v>14530</v>
      </c>
      <c r="D24" s="143">
        <f>SUM(D20:D23)</f>
        <v>14530</v>
      </c>
      <c r="E24" s="143">
        <f>SUM(E20:E23)</f>
        <v>0</v>
      </c>
    </row>
    <row r="25" spans="1:5" s="74" customFormat="1" ht="16.5" customHeight="1">
      <c r="A25" s="75" t="s">
        <v>6</v>
      </c>
      <c r="B25" s="150" t="s">
        <v>112</v>
      </c>
      <c r="C25" s="126"/>
      <c r="D25" s="126"/>
      <c r="E25" s="126"/>
    </row>
    <row r="26" spans="1:5" s="127" customFormat="1" ht="16.5" customHeight="1">
      <c r="A26" s="38" t="s">
        <v>5</v>
      </c>
      <c r="B26" s="38" t="s">
        <v>163</v>
      </c>
      <c r="C26" s="133">
        <v>2993</v>
      </c>
      <c r="D26" s="133">
        <f>2993-2370</f>
        <v>623</v>
      </c>
      <c r="E26" s="133">
        <f>D26-C26</f>
        <v>-2370</v>
      </c>
    </row>
    <row r="27" spans="1:5" s="127" customFormat="1" ht="16.5" customHeight="1">
      <c r="A27" s="38" t="s">
        <v>6</v>
      </c>
      <c r="B27" s="38" t="s">
        <v>164</v>
      </c>
      <c r="C27" s="133">
        <v>9441</v>
      </c>
      <c r="D27" s="133">
        <v>9441</v>
      </c>
      <c r="E27" s="133">
        <f>D27-C27</f>
        <v>0</v>
      </c>
    </row>
    <row r="28" spans="2:5" s="74" customFormat="1" ht="16.5" customHeight="1">
      <c r="B28" s="75" t="s">
        <v>3</v>
      </c>
      <c r="C28" s="143">
        <f>SUM(C26:C27)</f>
        <v>12434</v>
      </c>
      <c r="D28" s="143">
        <f>SUM(D26:D27)</f>
        <v>10064</v>
      </c>
      <c r="E28" s="162">
        <f>D28-C28</f>
        <v>-2370</v>
      </c>
    </row>
    <row r="29" spans="2:5" s="74" customFormat="1" ht="16.5" customHeight="1">
      <c r="B29" s="74" t="s">
        <v>3</v>
      </c>
      <c r="C29" s="126">
        <f>C24+C28</f>
        <v>26964</v>
      </c>
      <c r="D29" s="126">
        <f>D24+D28</f>
        <v>24594</v>
      </c>
      <c r="E29" s="126">
        <f>E24+E28</f>
        <v>-2370</v>
      </c>
    </row>
    <row r="30" spans="2:5" s="74" customFormat="1" ht="16.5" customHeight="1">
      <c r="B30" s="168"/>
      <c r="C30" s="126"/>
      <c r="D30" s="126"/>
      <c r="E30" s="126"/>
    </row>
    <row r="31" spans="2:5" s="74" customFormat="1" ht="28.5" customHeight="1">
      <c r="B31" s="125" t="s">
        <v>114</v>
      </c>
      <c r="C31" s="126">
        <f>C10+C16+C29</f>
        <v>203379</v>
      </c>
      <c r="D31" s="126">
        <f>D10+D16+D29</f>
        <v>183454</v>
      </c>
      <c r="E31" s="126">
        <f>E10+E16+E29</f>
        <v>-19925</v>
      </c>
    </row>
    <row r="32" spans="3:5" s="74" customFormat="1" ht="16.5" customHeight="1">
      <c r="C32" s="126"/>
      <c r="D32" s="126"/>
      <c r="E32" s="171"/>
    </row>
    <row r="33" spans="1:5" s="74" customFormat="1" ht="16.5" customHeight="1">
      <c r="A33" s="74" t="s">
        <v>15</v>
      </c>
      <c r="B33" s="168" t="s">
        <v>115</v>
      </c>
      <c r="C33" s="126"/>
      <c r="D33" s="126"/>
      <c r="E33" s="126"/>
    </row>
    <row r="34" spans="1:5" s="157" customFormat="1" ht="16.5" customHeight="1">
      <c r="A34" s="38" t="s">
        <v>5</v>
      </c>
      <c r="B34" s="38" t="s">
        <v>162</v>
      </c>
      <c r="C34" s="133">
        <v>30000</v>
      </c>
      <c r="D34" s="133">
        <v>30000</v>
      </c>
      <c r="E34" s="174">
        <f>D34-C34</f>
        <v>0</v>
      </c>
    </row>
    <row r="35" spans="1:5" s="157" customFormat="1" ht="16.5" customHeight="1">
      <c r="A35" s="38" t="s">
        <v>6</v>
      </c>
      <c r="B35" s="38" t="s">
        <v>171</v>
      </c>
      <c r="C35" s="133">
        <v>150</v>
      </c>
      <c r="D35" s="133">
        <v>150</v>
      </c>
      <c r="E35" s="174">
        <f>D35-C35</f>
        <v>0</v>
      </c>
    </row>
    <row r="36" spans="2:5" s="74" customFormat="1" ht="16.5" customHeight="1">
      <c r="B36" s="150" t="s">
        <v>3</v>
      </c>
      <c r="C36" s="143">
        <f>SUM(C34:C35)</f>
        <v>30150</v>
      </c>
      <c r="D36" s="143">
        <f>SUM(D34:D35)</f>
        <v>30150</v>
      </c>
      <c r="E36" s="143">
        <f>SUM(E34:E35)</f>
        <v>0</v>
      </c>
    </row>
    <row r="37" spans="3:5" s="127" customFormat="1" ht="16.5" customHeight="1">
      <c r="C37" s="173"/>
      <c r="D37" s="173"/>
      <c r="E37" s="173"/>
    </row>
    <row r="38" spans="2:5" s="74" customFormat="1" ht="16.5" customHeight="1">
      <c r="B38" s="168" t="s">
        <v>116</v>
      </c>
      <c r="C38" s="126">
        <f>C36</f>
        <v>30150</v>
      </c>
      <c r="D38" s="126">
        <f>D36</f>
        <v>30150</v>
      </c>
      <c r="E38" s="126">
        <f>E36</f>
        <v>0</v>
      </c>
    </row>
    <row r="39" spans="2:5" s="74" customFormat="1" ht="16.5" customHeight="1">
      <c r="B39" s="168"/>
      <c r="C39" s="126"/>
      <c r="D39" s="126"/>
      <c r="E39" s="126"/>
    </row>
    <row r="40" spans="2:5" s="127" customFormat="1" ht="16.5" customHeight="1">
      <c r="B40" s="74" t="s">
        <v>16</v>
      </c>
      <c r="C40" s="171">
        <f>C31+C38</f>
        <v>233529</v>
      </c>
      <c r="D40" s="171">
        <f>D31+D38</f>
        <v>213604</v>
      </c>
      <c r="E40" s="171">
        <f>E31+E38</f>
        <v>-19925</v>
      </c>
    </row>
    <row r="41" spans="2:5" s="127" customFormat="1" ht="16.5" customHeight="1">
      <c r="B41" s="74" t="s">
        <v>60</v>
      </c>
      <c r="C41" s="173"/>
      <c r="D41" s="173"/>
      <c r="E41" s="173"/>
    </row>
    <row r="42" spans="2:5" s="127" customFormat="1" ht="16.5" customHeight="1">
      <c r="B42" s="158" t="s">
        <v>61</v>
      </c>
      <c r="C42" s="174">
        <f>C40-C43</f>
        <v>227132</v>
      </c>
      <c r="D42" s="174">
        <f>D40-D43</f>
        <v>207207</v>
      </c>
      <c r="E42" s="174">
        <f>E40-E43</f>
        <v>-19925</v>
      </c>
    </row>
    <row r="43" spans="2:5" s="127" customFormat="1" ht="16.5" customHeight="1">
      <c r="B43" s="160" t="s">
        <v>59</v>
      </c>
      <c r="C43" s="175">
        <f>C23+C22+C21</f>
        <v>6397</v>
      </c>
      <c r="D43" s="175">
        <f>D23+D22+D21</f>
        <v>6397</v>
      </c>
      <c r="E43" s="175">
        <f>E23+E22+E21</f>
        <v>0</v>
      </c>
    </row>
    <row r="44" spans="3:5" s="127" customFormat="1" ht="12.75">
      <c r="C44" s="173"/>
      <c r="D44" s="172"/>
      <c r="E44" s="173"/>
    </row>
    <row r="45" spans="3:5" s="127" customFormat="1" ht="12.75">
      <c r="C45" s="173"/>
      <c r="D45" s="172"/>
      <c r="E45" s="173"/>
    </row>
    <row r="46" s="127" customFormat="1" ht="12.75"/>
    <row r="47" s="127" customFormat="1" ht="12.75"/>
    <row r="48" s="127" customFormat="1" ht="12.75"/>
    <row r="49" s="127" customFormat="1" ht="12.75"/>
    <row r="50" s="127" customFormat="1" ht="12.75"/>
    <row r="51" s="127" customFormat="1" ht="12.75"/>
    <row r="52" s="127" customFormat="1" ht="12.75"/>
    <row r="53" s="127" customFormat="1" ht="12.75"/>
    <row r="54" s="127" customFormat="1" ht="12.75"/>
    <row r="55" s="127" customFormat="1" ht="12.75"/>
    <row r="56" s="127" customFormat="1" ht="12.75"/>
    <row r="57" s="127" customFormat="1" ht="12.75"/>
    <row r="58" s="127" customFormat="1" ht="12.75"/>
    <row r="59" s="127" customFormat="1" ht="12.75"/>
    <row r="60" s="127" customFormat="1" ht="12.75"/>
    <row r="61" s="127" customFormat="1" ht="12.75"/>
    <row r="62" s="127" customFormat="1" ht="12.75"/>
    <row r="63" s="127" customFormat="1" ht="12.75"/>
    <row r="64" s="127" customFormat="1" ht="12.75"/>
    <row r="65" s="127" customFormat="1" ht="12.75"/>
    <row r="66" s="127" customFormat="1" ht="12.75"/>
    <row r="67" s="127" customFormat="1" ht="12.75"/>
    <row r="68" s="127" customFormat="1" ht="12.75"/>
    <row r="69" s="127" customFormat="1" ht="12.75"/>
    <row r="70" s="127" customFormat="1" ht="12.75"/>
    <row r="71" s="127" customFormat="1" ht="12.75"/>
    <row r="72" s="127" customFormat="1" ht="12.75"/>
    <row r="73" s="127" customFormat="1" ht="12.75"/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</sheetData>
  <sheetProtection/>
  <mergeCells count="2">
    <mergeCell ref="A4:C4"/>
    <mergeCell ref="A3:E3"/>
  </mergeCells>
  <printOptions/>
  <pageMargins left="0.75" right="0.75" top="0.9" bottom="0.68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63.00390625" style="12" customWidth="1"/>
    <col min="3" max="3" width="13.00390625" style="3" customWidth="1"/>
    <col min="4" max="4" width="11.375" style="2" customWidth="1"/>
    <col min="5" max="16384" width="9.125" style="2" customWidth="1"/>
  </cols>
  <sheetData>
    <row r="1" spans="1:3" ht="13.5" customHeight="1">
      <c r="A1" s="116" t="s">
        <v>302</v>
      </c>
      <c r="B1" s="106"/>
      <c r="C1" s="106"/>
    </row>
    <row r="2" spans="1:3" ht="13.5">
      <c r="A2" s="116" t="s">
        <v>255</v>
      </c>
      <c r="B2" s="219"/>
      <c r="C2" s="219"/>
    </row>
    <row r="3" spans="1:3" ht="13.5">
      <c r="A3" s="116"/>
      <c r="B3" s="219"/>
      <c r="C3" s="219"/>
    </row>
    <row r="4" spans="1:5" ht="15" customHeight="1">
      <c r="A4" s="404" t="s">
        <v>161</v>
      </c>
      <c r="B4" s="404"/>
      <c r="C4" s="404"/>
      <c r="D4" s="404"/>
      <c r="E4" s="404"/>
    </row>
    <row r="5" spans="1:5" ht="39.75" customHeight="1">
      <c r="A5" s="1"/>
      <c r="B5" s="1"/>
      <c r="C5" s="259" t="s">
        <v>252</v>
      </c>
      <c r="D5" s="259" t="s">
        <v>253</v>
      </c>
      <c r="E5" s="259" t="s">
        <v>232</v>
      </c>
    </row>
    <row r="6" spans="1:3" s="127" customFormat="1" ht="18" customHeight="1">
      <c r="A6" s="74" t="s">
        <v>1</v>
      </c>
      <c r="B6" s="125" t="s">
        <v>96</v>
      </c>
      <c r="C6" s="126"/>
    </row>
    <row r="7" spans="1:5" s="131" customFormat="1" ht="16.5" customHeight="1">
      <c r="A7" s="121" t="s">
        <v>5</v>
      </c>
      <c r="B7" s="128" t="s">
        <v>24</v>
      </c>
      <c r="C7" s="129">
        <v>5000</v>
      </c>
      <c r="D7" s="129">
        <v>3000</v>
      </c>
      <c r="E7" s="129">
        <f aca="true" t="shared" si="0" ref="E7:E35">D7-C7</f>
        <v>-2000</v>
      </c>
    </row>
    <row r="8" spans="1:5" s="131" customFormat="1" ht="16.5" customHeight="1">
      <c r="A8" s="121" t="s">
        <v>6</v>
      </c>
      <c r="B8" s="128" t="s">
        <v>22</v>
      </c>
      <c r="C8" s="129">
        <v>10000</v>
      </c>
      <c r="D8" s="129">
        <v>7000</v>
      </c>
      <c r="E8" s="129">
        <f t="shared" si="0"/>
        <v>-3000</v>
      </c>
    </row>
    <row r="9" spans="1:5" s="131" customFormat="1" ht="16.5" customHeight="1">
      <c r="A9" s="121" t="s">
        <v>7</v>
      </c>
      <c r="B9" s="128" t="s">
        <v>221</v>
      </c>
      <c r="C9" s="129">
        <v>28000</v>
      </c>
      <c r="D9" s="129">
        <v>28000</v>
      </c>
      <c r="E9" s="129">
        <f t="shared" si="0"/>
        <v>0</v>
      </c>
    </row>
    <row r="10" spans="1:5" s="130" customFormat="1" ht="16.5" customHeight="1">
      <c r="A10" s="121" t="s">
        <v>8</v>
      </c>
      <c r="B10" s="132" t="s">
        <v>83</v>
      </c>
      <c r="C10" s="133">
        <v>5000</v>
      </c>
      <c r="D10" s="133">
        <v>0</v>
      </c>
      <c r="E10" s="133">
        <f t="shared" si="0"/>
        <v>-5000</v>
      </c>
    </row>
    <row r="11" spans="1:5" s="130" customFormat="1" ht="16.5" customHeight="1">
      <c r="A11" s="121" t="s">
        <v>9</v>
      </c>
      <c r="B11" s="132" t="s">
        <v>84</v>
      </c>
      <c r="C11" s="133">
        <v>5000</v>
      </c>
      <c r="D11" s="133">
        <v>0</v>
      </c>
      <c r="E11" s="133">
        <f t="shared" si="0"/>
        <v>-5000</v>
      </c>
    </row>
    <row r="12" spans="1:5" s="130" customFormat="1" ht="16.5" customHeight="1">
      <c r="A12" s="121" t="s">
        <v>20</v>
      </c>
      <c r="B12" s="132" t="s">
        <v>179</v>
      </c>
      <c r="C12" s="133">
        <v>3500</v>
      </c>
      <c r="D12" s="133">
        <v>3500</v>
      </c>
      <c r="E12" s="133">
        <f t="shared" si="0"/>
        <v>0</v>
      </c>
    </row>
    <row r="13" spans="1:5" s="130" customFormat="1" ht="16.5" customHeight="1">
      <c r="A13" s="121" t="s">
        <v>21</v>
      </c>
      <c r="B13" s="132" t="s">
        <v>180</v>
      </c>
      <c r="C13" s="133">
        <v>500</v>
      </c>
      <c r="D13" s="133">
        <v>500</v>
      </c>
      <c r="E13" s="133">
        <f t="shared" si="0"/>
        <v>0</v>
      </c>
    </row>
    <row r="14" spans="1:5" s="130" customFormat="1" ht="16.5" customHeight="1">
      <c r="A14" s="121" t="s">
        <v>23</v>
      </c>
      <c r="B14" s="132" t="s">
        <v>181</v>
      </c>
      <c r="C14" s="133">
        <v>1000</v>
      </c>
      <c r="D14" s="133">
        <v>1000</v>
      </c>
      <c r="E14" s="133">
        <f t="shared" si="0"/>
        <v>0</v>
      </c>
    </row>
    <row r="15" spans="1:5" s="130" customFormat="1" ht="16.5" customHeight="1">
      <c r="A15" s="121" t="s">
        <v>53</v>
      </c>
      <c r="B15" s="132" t="s">
        <v>182</v>
      </c>
      <c r="C15" s="133">
        <v>4000</v>
      </c>
      <c r="D15" s="133">
        <v>4000</v>
      </c>
      <c r="E15" s="133">
        <f t="shared" si="0"/>
        <v>0</v>
      </c>
    </row>
    <row r="16" spans="1:5" s="130" customFormat="1" ht="16.5" customHeight="1">
      <c r="A16" s="121" t="s">
        <v>54</v>
      </c>
      <c r="B16" s="132" t="s">
        <v>82</v>
      </c>
      <c r="C16" s="133">
        <v>6500</v>
      </c>
      <c r="D16" s="133">
        <v>0</v>
      </c>
      <c r="E16" s="133">
        <f t="shared" si="0"/>
        <v>-6500</v>
      </c>
    </row>
    <row r="17" spans="1:5" s="130" customFormat="1" ht="16.5" customHeight="1">
      <c r="A17" s="121" t="s">
        <v>25</v>
      </c>
      <c r="B17" s="134" t="s">
        <v>260</v>
      </c>
      <c r="C17" s="135"/>
      <c r="D17" s="135">
        <v>248</v>
      </c>
      <c r="E17" s="135">
        <f t="shared" si="0"/>
        <v>248</v>
      </c>
    </row>
    <row r="18" spans="1:5" s="130" customFormat="1" ht="16.5" customHeight="1">
      <c r="A18" s="121" t="s">
        <v>26</v>
      </c>
      <c r="B18" s="134" t="s">
        <v>259</v>
      </c>
      <c r="C18" s="135"/>
      <c r="D18" s="135">
        <v>762</v>
      </c>
      <c r="E18" s="135">
        <f t="shared" si="0"/>
        <v>762</v>
      </c>
    </row>
    <row r="19" spans="1:5" s="130" customFormat="1" ht="25.5">
      <c r="A19" s="121" t="s">
        <v>213</v>
      </c>
      <c r="B19" s="134" t="s">
        <v>297</v>
      </c>
      <c r="C19" s="135"/>
      <c r="D19" s="135">
        <f>2921+5000</f>
        <v>7921</v>
      </c>
      <c r="E19" s="135">
        <f t="shared" si="0"/>
        <v>7921</v>
      </c>
    </row>
    <row r="20" spans="1:5" s="140" customFormat="1" ht="16.5" customHeight="1">
      <c r="A20" s="121" t="s">
        <v>46</v>
      </c>
      <c r="B20" s="134" t="s">
        <v>293</v>
      </c>
      <c r="C20" s="135"/>
      <c r="D20" s="135">
        <v>659</v>
      </c>
      <c r="E20" s="135">
        <f t="shared" si="0"/>
        <v>659</v>
      </c>
    </row>
    <row r="21" spans="1:5" s="140" customFormat="1" ht="16.5" customHeight="1">
      <c r="A21" s="121" t="s">
        <v>257</v>
      </c>
      <c r="B21" s="134" t="s">
        <v>265</v>
      </c>
      <c r="C21" s="373"/>
      <c r="D21" s="135">
        <v>600</v>
      </c>
      <c r="E21" s="135">
        <f t="shared" si="0"/>
        <v>600</v>
      </c>
    </row>
    <row r="22" spans="1:5" s="130" customFormat="1" ht="16.5" customHeight="1">
      <c r="A22" s="121" t="s">
        <v>258</v>
      </c>
      <c r="B22" s="141" t="s">
        <v>264</v>
      </c>
      <c r="C22" s="142"/>
      <c r="D22" s="142">
        <v>3950</v>
      </c>
      <c r="E22" s="142">
        <f t="shared" si="0"/>
        <v>3950</v>
      </c>
    </row>
    <row r="23" spans="1:5" s="130" customFormat="1" ht="16.5" customHeight="1">
      <c r="A23" s="121" t="s">
        <v>262</v>
      </c>
      <c r="B23" s="260" t="s">
        <v>85</v>
      </c>
      <c r="C23" s="261">
        <v>1000</v>
      </c>
      <c r="D23" s="261">
        <v>1000</v>
      </c>
      <c r="E23" s="261">
        <f t="shared" si="0"/>
        <v>0</v>
      </c>
    </row>
    <row r="24" spans="1:5" s="130" customFormat="1" ht="16.5" customHeight="1">
      <c r="A24" s="121" t="s">
        <v>263</v>
      </c>
      <c r="B24" s="141" t="s">
        <v>174</v>
      </c>
      <c r="C24" s="142">
        <v>500</v>
      </c>
      <c r="D24" s="142">
        <v>500</v>
      </c>
      <c r="E24" s="142">
        <f t="shared" si="0"/>
        <v>0</v>
      </c>
    </row>
    <row r="25" spans="1:5" s="130" customFormat="1" ht="25.5" customHeight="1">
      <c r="A25" s="262" t="s">
        <v>271</v>
      </c>
      <c r="B25" s="260" t="s">
        <v>270</v>
      </c>
      <c r="C25" s="261"/>
      <c r="D25" s="261">
        <v>605</v>
      </c>
      <c r="E25" s="261">
        <f t="shared" si="0"/>
        <v>605</v>
      </c>
    </row>
    <row r="26" spans="1:5" s="130" customFormat="1" ht="25.5" customHeight="1">
      <c r="A26" s="262" t="s">
        <v>272</v>
      </c>
      <c r="B26" s="134" t="s">
        <v>274</v>
      </c>
      <c r="C26" s="135"/>
      <c r="D26" s="135">
        <v>50</v>
      </c>
      <c r="E26" s="135">
        <f t="shared" si="0"/>
        <v>50</v>
      </c>
    </row>
    <row r="27" spans="1:5" s="130" customFormat="1" ht="25.5" customHeight="1">
      <c r="A27" s="262" t="s">
        <v>273</v>
      </c>
      <c r="B27" s="141" t="s">
        <v>276</v>
      </c>
      <c r="C27" s="142"/>
      <c r="D27" s="142">
        <v>536</v>
      </c>
      <c r="E27" s="142">
        <f t="shared" si="0"/>
        <v>536</v>
      </c>
    </row>
    <row r="28" spans="1:5" s="130" customFormat="1" ht="25.5" customHeight="1">
      <c r="A28" s="262" t="s">
        <v>275</v>
      </c>
      <c r="B28" s="260" t="s">
        <v>277</v>
      </c>
      <c r="C28" s="261"/>
      <c r="D28" s="261">
        <v>1000</v>
      </c>
      <c r="E28" s="261">
        <f t="shared" si="0"/>
        <v>1000</v>
      </c>
    </row>
    <row r="29" spans="1:5" s="130" customFormat="1" ht="25.5" customHeight="1">
      <c r="A29" s="262" t="s">
        <v>279</v>
      </c>
      <c r="B29" s="134" t="s">
        <v>283</v>
      </c>
      <c r="C29" s="135"/>
      <c r="D29" s="135">
        <v>2000</v>
      </c>
      <c r="E29" s="135">
        <f t="shared" si="0"/>
        <v>2000</v>
      </c>
    </row>
    <row r="30" spans="1:5" s="130" customFormat="1" ht="25.5" customHeight="1">
      <c r="A30" s="262" t="s">
        <v>280</v>
      </c>
      <c r="B30" s="134" t="s">
        <v>278</v>
      </c>
      <c r="C30" s="135"/>
      <c r="D30" s="135">
        <v>350</v>
      </c>
      <c r="E30" s="135">
        <f t="shared" si="0"/>
        <v>350</v>
      </c>
    </row>
    <row r="31" spans="1:5" s="130" customFormat="1" ht="42.75" customHeight="1">
      <c r="A31" s="262" t="s">
        <v>281</v>
      </c>
      <c r="B31" s="141" t="s">
        <v>284</v>
      </c>
      <c r="C31" s="142"/>
      <c r="D31" s="142">
        <v>760</v>
      </c>
      <c r="E31" s="142">
        <f t="shared" si="0"/>
        <v>760</v>
      </c>
    </row>
    <row r="32" spans="1:5" s="140" customFormat="1" ht="27" customHeight="1">
      <c r="A32" s="262" t="s">
        <v>282</v>
      </c>
      <c r="B32" s="134" t="s">
        <v>287</v>
      </c>
      <c r="C32" s="135"/>
      <c r="D32" s="135">
        <v>295</v>
      </c>
      <c r="E32" s="135">
        <f t="shared" si="0"/>
        <v>295</v>
      </c>
    </row>
    <row r="33" spans="1:5" s="140" customFormat="1" ht="21" customHeight="1">
      <c r="A33" s="262" t="s">
        <v>285</v>
      </c>
      <c r="B33" s="134" t="s">
        <v>86</v>
      </c>
      <c r="C33" s="135">
        <v>2000</v>
      </c>
      <c r="D33" s="135">
        <f>2000-295+68</f>
        <v>1773</v>
      </c>
      <c r="E33" s="135">
        <f t="shared" si="0"/>
        <v>-227</v>
      </c>
    </row>
    <row r="34" spans="1:5" s="130" customFormat="1" ht="36" customHeight="1">
      <c r="A34" s="262" t="s">
        <v>291</v>
      </c>
      <c r="B34" s="141" t="s">
        <v>286</v>
      </c>
      <c r="C34" s="142">
        <v>0</v>
      </c>
      <c r="D34" s="142">
        <v>1000</v>
      </c>
      <c r="E34" s="142">
        <f t="shared" si="0"/>
        <v>1000</v>
      </c>
    </row>
    <row r="35" spans="1:5" s="130" customFormat="1" ht="16.5" customHeight="1">
      <c r="A35" s="122" t="s">
        <v>292</v>
      </c>
      <c r="B35" s="137" t="s">
        <v>208</v>
      </c>
      <c r="C35" s="138">
        <v>500</v>
      </c>
      <c r="D35" s="138">
        <v>500</v>
      </c>
      <c r="E35" s="138">
        <f t="shared" si="0"/>
        <v>0</v>
      </c>
    </row>
    <row r="36" spans="1:5" s="127" customFormat="1" ht="16.5" customHeight="1">
      <c r="A36" s="40"/>
      <c r="B36" s="74" t="s">
        <v>3</v>
      </c>
      <c r="C36" s="139">
        <f>SUM(C7:C35)</f>
        <v>72500</v>
      </c>
      <c r="D36" s="139">
        <f>SUM(D7:D35)</f>
        <v>71509</v>
      </c>
      <c r="E36" s="139">
        <f>SUM(E7:E35)</f>
        <v>-991</v>
      </c>
    </row>
    <row r="37" spans="1:5" s="127" customFormat="1" ht="16.5" customHeight="1">
      <c r="A37" s="40"/>
      <c r="B37" s="74"/>
      <c r="C37" s="139"/>
      <c r="D37" s="139"/>
      <c r="E37" s="139"/>
    </row>
    <row r="38" spans="1:5" s="127" customFormat="1" ht="16.5" customHeight="1">
      <c r="A38" s="74" t="s">
        <v>2</v>
      </c>
      <c r="B38" s="74" t="s">
        <v>97</v>
      </c>
      <c r="C38" s="126"/>
      <c r="D38" s="126"/>
      <c r="E38" s="126"/>
    </row>
    <row r="39" spans="1:5" s="131" customFormat="1" ht="16.5" customHeight="1">
      <c r="A39" s="121" t="s">
        <v>5</v>
      </c>
      <c r="B39" s="128" t="s">
        <v>222</v>
      </c>
      <c r="C39" s="129">
        <v>35000</v>
      </c>
      <c r="D39" s="129">
        <f>35000+2471+1060</f>
        <v>38531</v>
      </c>
      <c r="E39" s="129">
        <f aca="true" t="shared" si="1" ref="E39:E54">D39-C39</f>
        <v>3531</v>
      </c>
    </row>
    <row r="40" spans="1:5" s="131" customFormat="1" ht="16.5" customHeight="1">
      <c r="A40" s="121" t="s">
        <v>6</v>
      </c>
      <c r="B40" s="128" t="s">
        <v>223</v>
      </c>
      <c r="C40" s="129">
        <v>37000</v>
      </c>
      <c r="D40" s="129">
        <v>37000</v>
      </c>
      <c r="E40" s="129">
        <f t="shared" si="1"/>
        <v>0</v>
      </c>
    </row>
    <row r="41" spans="1:5" s="131" customFormat="1" ht="16.5" customHeight="1">
      <c r="A41" s="121" t="s">
        <v>7</v>
      </c>
      <c r="B41" s="128" t="s">
        <v>209</v>
      </c>
      <c r="C41" s="129">
        <v>20000</v>
      </c>
      <c r="D41" s="129">
        <v>20000</v>
      </c>
      <c r="E41" s="129">
        <f t="shared" si="1"/>
        <v>0</v>
      </c>
    </row>
    <row r="42" spans="1:5" s="127" customFormat="1" ht="16.5" customHeight="1">
      <c r="A42" s="121" t="s">
        <v>8</v>
      </c>
      <c r="B42" s="132" t="s">
        <v>166</v>
      </c>
      <c r="C42" s="133">
        <v>15000</v>
      </c>
      <c r="D42" s="133">
        <v>15000</v>
      </c>
      <c r="E42" s="133">
        <f t="shared" si="1"/>
        <v>0</v>
      </c>
    </row>
    <row r="43" spans="1:5" s="130" customFormat="1" ht="16.5" customHeight="1">
      <c r="A43" s="121" t="s">
        <v>9</v>
      </c>
      <c r="B43" s="132" t="s">
        <v>81</v>
      </c>
      <c r="C43" s="133">
        <v>20000</v>
      </c>
      <c r="D43" s="133">
        <f>20000+2374</f>
        <v>22374</v>
      </c>
      <c r="E43" s="133">
        <f t="shared" si="1"/>
        <v>2374</v>
      </c>
    </row>
    <row r="44" spans="1:5" s="130" customFormat="1" ht="16.5" customHeight="1">
      <c r="A44" s="121" t="s">
        <v>20</v>
      </c>
      <c r="B44" s="132" t="s">
        <v>167</v>
      </c>
      <c r="C44" s="133">
        <v>4277</v>
      </c>
      <c r="D44" s="133">
        <v>4277</v>
      </c>
      <c r="E44" s="133">
        <f t="shared" si="1"/>
        <v>0</v>
      </c>
    </row>
    <row r="45" spans="1:5" s="130" customFormat="1" ht="16.5" customHeight="1">
      <c r="A45" s="121" t="s">
        <v>21</v>
      </c>
      <c r="B45" s="132" t="s">
        <v>168</v>
      </c>
      <c r="C45" s="133">
        <v>10491</v>
      </c>
      <c r="D45" s="133">
        <v>10491</v>
      </c>
      <c r="E45" s="133">
        <f t="shared" si="1"/>
        <v>0</v>
      </c>
    </row>
    <row r="46" spans="1:5" s="130" customFormat="1" ht="16.5" customHeight="1">
      <c r="A46" s="121" t="s">
        <v>23</v>
      </c>
      <c r="B46" s="132" t="s">
        <v>169</v>
      </c>
      <c r="C46" s="133">
        <v>2000</v>
      </c>
      <c r="D46" s="133">
        <v>0</v>
      </c>
      <c r="E46" s="133">
        <f t="shared" si="1"/>
        <v>-2000</v>
      </c>
    </row>
    <row r="47" spans="1:5" s="130" customFormat="1" ht="16.5" customHeight="1">
      <c r="A47" s="121" t="s">
        <v>53</v>
      </c>
      <c r="B47" s="132" t="s">
        <v>220</v>
      </c>
      <c r="C47" s="133">
        <v>2000</v>
      </c>
      <c r="D47" s="133">
        <v>2000</v>
      </c>
      <c r="E47" s="133">
        <f t="shared" si="1"/>
        <v>0</v>
      </c>
    </row>
    <row r="48" spans="1:5" s="140" customFormat="1" ht="16.5" customHeight="1">
      <c r="A48" s="121" t="s">
        <v>54</v>
      </c>
      <c r="B48" s="134" t="s">
        <v>170</v>
      </c>
      <c r="C48" s="135">
        <v>150</v>
      </c>
      <c r="D48" s="135">
        <v>150</v>
      </c>
      <c r="E48" s="135">
        <f t="shared" si="1"/>
        <v>0</v>
      </c>
    </row>
    <row r="49" spans="1:5" s="130" customFormat="1" ht="16.5" customHeight="1">
      <c r="A49" s="121" t="s">
        <v>25</v>
      </c>
      <c r="B49" s="132" t="s">
        <v>173</v>
      </c>
      <c r="C49" s="133">
        <v>1500</v>
      </c>
      <c r="D49" s="133">
        <v>1500</v>
      </c>
      <c r="E49" s="133">
        <f t="shared" si="1"/>
        <v>0</v>
      </c>
    </row>
    <row r="50" spans="1:5" s="130" customFormat="1" ht="16.5" customHeight="1">
      <c r="A50" s="121" t="s">
        <v>26</v>
      </c>
      <c r="B50" s="134" t="s">
        <v>175</v>
      </c>
      <c r="C50" s="135">
        <v>1000</v>
      </c>
      <c r="D50" s="135">
        <v>1000</v>
      </c>
      <c r="E50" s="135">
        <f t="shared" si="1"/>
        <v>0</v>
      </c>
    </row>
    <row r="51" spans="1:5" s="130" customFormat="1" ht="16.5" customHeight="1">
      <c r="A51" s="262" t="s">
        <v>213</v>
      </c>
      <c r="B51" s="134" t="s">
        <v>214</v>
      </c>
      <c r="C51" s="135">
        <v>1000</v>
      </c>
      <c r="D51" s="135">
        <v>1000</v>
      </c>
      <c r="E51" s="135">
        <f t="shared" si="1"/>
        <v>0</v>
      </c>
    </row>
    <row r="52" spans="1:5" s="130" customFormat="1" ht="16.5" customHeight="1">
      <c r="A52" s="262" t="s">
        <v>46</v>
      </c>
      <c r="B52" s="134" t="s">
        <v>261</v>
      </c>
      <c r="C52" s="135"/>
      <c r="D52" s="135">
        <v>1259</v>
      </c>
      <c r="E52" s="135">
        <f t="shared" si="1"/>
        <v>1259</v>
      </c>
    </row>
    <row r="53" spans="1:5" s="130" customFormat="1" ht="16.5" customHeight="1">
      <c r="A53" s="262" t="s">
        <v>257</v>
      </c>
      <c r="B53" s="141" t="s">
        <v>294</v>
      </c>
      <c r="C53" s="142"/>
      <c r="D53" s="142">
        <v>1200</v>
      </c>
      <c r="E53" s="142">
        <f t="shared" si="1"/>
        <v>1200</v>
      </c>
    </row>
    <row r="54" spans="1:5" s="130" customFormat="1" ht="36" customHeight="1">
      <c r="A54" s="262" t="s">
        <v>258</v>
      </c>
      <c r="B54" s="141" t="s">
        <v>288</v>
      </c>
      <c r="C54" s="142">
        <v>0</v>
      </c>
      <c r="D54" s="142">
        <f>551+149+154+42</f>
        <v>896</v>
      </c>
      <c r="E54" s="142">
        <f t="shared" si="1"/>
        <v>896</v>
      </c>
    </row>
    <row r="55" spans="1:5" s="74" customFormat="1" ht="16.5" customHeight="1">
      <c r="A55" s="127"/>
      <c r="B55" s="125" t="s">
        <v>3</v>
      </c>
      <c r="C55" s="139">
        <f>SUM(C39:C54)</f>
        <v>149418</v>
      </c>
      <c r="D55" s="139">
        <f>SUM(D39:D54)</f>
        <v>156678</v>
      </c>
      <c r="E55" s="139">
        <f>SUM(E39:E54)</f>
        <v>7260</v>
      </c>
    </row>
    <row r="56" spans="1:5" s="74" customFormat="1" ht="16.5" customHeight="1">
      <c r="A56" s="127"/>
      <c r="B56" s="125"/>
      <c r="C56" s="139"/>
      <c r="D56" s="139"/>
      <c r="E56" s="139"/>
    </row>
    <row r="57" spans="1:5" s="74" customFormat="1" ht="16.5" customHeight="1">
      <c r="A57" s="74" t="s">
        <v>11</v>
      </c>
      <c r="B57" s="74" t="s">
        <v>117</v>
      </c>
      <c r="C57" s="126"/>
      <c r="D57" s="126"/>
      <c r="E57" s="126"/>
    </row>
    <row r="58" spans="1:5" s="74" customFormat="1" ht="16.5" customHeight="1">
      <c r="A58" s="75" t="s">
        <v>5</v>
      </c>
      <c r="B58" s="75" t="s">
        <v>118</v>
      </c>
      <c r="C58" s="143"/>
      <c r="D58" s="143"/>
      <c r="E58" s="143"/>
    </row>
    <row r="59" spans="1:5" s="127" customFormat="1" ht="16.5" customHeight="1">
      <c r="A59" s="144" t="s">
        <v>5</v>
      </c>
      <c r="B59" s="145" t="s">
        <v>14</v>
      </c>
      <c r="C59" s="146">
        <v>1460</v>
      </c>
      <c r="D59" s="146">
        <v>1460</v>
      </c>
      <c r="E59" s="146">
        <f>D59-C59</f>
        <v>0</v>
      </c>
    </row>
    <row r="60" spans="1:5" s="127" customFormat="1" ht="16.5" customHeight="1">
      <c r="A60" s="144" t="s">
        <v>6</v>
      </c>
      <c r="B60" s="145" t="s">
        <v>56</v>
      </c>
      <c r="C60" s="146">
        <v>0</v>
      </c>
      <c r="D60" s="146">
        <v>0</v>
      </c>
      <c r="E60" s="146">
        <f>D60-C60</f>
        <v>0</v>
      </c>
    </row>
    <row r="61" spans="2:5" s="74" customFormat="1" ht="16.5" customHeight="1">
      <c r="B61" s="75" t="s">
        <v>3</v>
      </c>
      <c r="C61" s="143">
        <f>SUM(C59:C60)</f>
        <v>1460</v>
      </c>
      <c r="D61" s="143">
        <f>SUM(D59:D60)</f>
        <v>1460</v>
      </c>
      <c r="E61" s="143">
        <f>SUM(E59:E60)</f>
        <v>0</v>
      </c>
    </row>
    <row r="62" spans="1:5" s="74" customFormat="1" ht="16.5" customHeight="1">
      <c r="A62" s="75" t="s">
        <v>6</v>
      </c>
      <c r="B62" s="75" t="s">
        <v>119</v>
      </c>
      <c r="C62" s="126"/>
      <c r="D62" s="126"/>
      <c r="E62" s="126"/>
    </row>
    <row r="63" spans="1:5" s="127" customFormat="1" ht="16.5" customHeight="1">
      <c r="A63" s="38" t="s">
        <v>5</v>
      </c>
      <c r="B63" s="147" t="s">
        <v>40</v>
      </c>
      <c r="C63" s="148">
        <v>5802</v>
      </c>
      <c r="D63" s="148">
        <v>5802</v>
      </c>
      <c r="E63" s="148">
        <f aca="true" t="shared" si="2" ref="E63:E69">D63-C63</f>
        <v>0</v>
      </c>
    </row>
    <row r="64" spans="1:5" s="127" customFormat="1" ht="16.5" customHeight="1">
      <c r="A64" s="38" t="s">
        <v>6</v>
      </c>
      <c r="B64" s="147" t="s">
        <v>79</v>
      </c>
      <c r="C64" s="148">
        <v>0</v>
      </c>
      <c r="D64" s="148">
        <v>0</v>
      </c>
      <c r="E64" s="148">
        <f t="shared" si="2"/>
        <v>0</v>
      </c>
    </row>
    <row r="65" spans="1:5" s="127" customFormat="1" ht="16.5" customHeight="1">
      <c r="A65" s="38" t="s">
        <v>7</v>
      </c>
      <c r="B65" s="147" t="s">
        <v>78</v>
      </c>
      <c r="C65" s="148">
        <v>1187</v>
      </c>
      <c r="D65" s="148">
        <v>1187</v>
      </c>
      <c r="E65" s="148">
        <f t="shared" si="2"/>
        <v>0</v>
      </c>
    </row>
    <row r="66" spans="1:5" s="127" customFormat="1" ht="16.5" customHeight="1">
      <c r="A66" s="38" t="s">
        <v>8</v>
      </c>
      <c r="B66" s="147" t="s">
        <v>77</v>
      </c>
      <c r="C66" s="148">
        <v>518</v>
      </c>
      <c r="D66" s="148">
        <v>518</v>
      </c>
      <c r="E66" s="148">
        <f t="shared" si="2"/>
        <v>0</v>
      </c>
    </row>
    <row r="67" spans="1:5" s="127" customFormat="1" ht="16.5" customHeight="1">
      <c r="A67" s="38" t="s">
        <v>9</v>
      </c>
      <c r="B67" s="147" t="s">
        <v>55</v>
      </c>
      <c r="C67" s="148">
        <v>510</v>
      </c>
      <c r="D67" s="148">
        <v>510</v>
      </c>
      <c r="E67" s="148">
        <f t="shared" si="2"/>
        <v>0</v>
      </c>
    </row>
    <row r="68" spans="1:5" s="127" customFormat="1" ht="16.5" customHeight="1">
      <c r="A68" s="38" t="s">
        <v>20</v>
      </c>
      <c r="B68" s="147" t="s">
        <v>80</v>
      </c>
      <c r="C68" s="148">
        <v>400</v>
      </c>
      <c r="D68" s="148">
        <v>400</v>
      </c>
      <c r="E68" s="148">
        <f t="shared" si="2"/>
        <v>0</v>
      </c>
    </row>
    <row r="69" spans="1:5" s="127" customFormat="1" ht="16.5" customHeight="1">
      <c r="A69" s="38" t="s">
        <v>21</v>
      </c>
      <c r="B69" s="147" t="s">
        <v>57</v>
      </c>
      <c r="C69" s="148">
        <v>1734</v>
      </c>
      <c r="D69" s="148">
        <f>1734+1025</f>
        <v>2759</v>
      </c>
      <c r="E69" s="148">
        <f t="shared" si="2"/>
        <v>1025</v>
      </c>
    </row>
    <row r="70" spans="2:5" s="74" customFormat="1" ht="16.5" customHeight="1">
      <c r="B70" s="75" t="s">
        <v>3</v>
      </c>
      <c r="C70" s="143">
        <f>SUM(C63:C69)</f>
        <v>10151</v>
      </c>
      <c r="D70" s="143">
        <f>SUM(D63:D69)</f>
        <v>11176</v>
      </c>
      <c r="E70" s="143">
        <f>SUM(E63:E69)</f>
        <v>1025</v>
      </c>
    </row>
    <row r="71" spans="1:5" s="74" customFormat="1" ht="16.5" customHeight="1">
      <c r="A71" s="170" t="s">
        <v>7</v>
      </c>
      <c r="B71" s="75" t="s">
        <v>120</v>
      </c>
      <c r="C71" s="126"/>
      <c r="D71" s="126"/>
      <c r="E71" s="126"/>
    </row>
    <row r="72" spans="1:5" s="127" customFormat="1" ht="16.5" customHeight="1">
      <c r="A72" s="38" t="s">
        <v>5</v>
      </c>
      <c r="B72" s="147" t="s">
        <v>289</v>
      </c>
      <c r="C72" s="148"/>
      <c r="D72" s="148">
        <v>5000</v>
      </c>
      <c r="E72" s="148">
        <f>D72-C72</f>
        <v>5000</v>
      </c>
    </row>
    <row r="73" spans="1:5" s="127" customFormat="1" ht="16.5" customHeight="1">
      <c r="A73" s="38" t="s">
        <v>6</v>
      </c>
      <c r="B73" s="147" t="s">
        <v>296</v>
      </c>
      <c r="C73" s="148"/>
      <c r="D73" s="148">
        <v>600</v>
      </c>
      <c r="E73" s="148">
        <f>D73-C73</f>
        <v>600</v>
      </c>
    </row>
    <row r="74" spans="1:5" s="127" customFormat="1" ht="16.5" customHeight="1">
      <c r="A74" s="38" t="s">
        <v>7</v>
      </c>
      <c r="B74" s="147" t="s">
        <v>295</v>
      </c>
      <c r="C74" s="148"/>
      <c r="D74" s="148">
        <v>2200</v>
      </c>
      <c r="E74" s="148">
        <f>D74-C74</f>
        <v>2200</v>
      </c>
    </row>
    <row r="75" spans="1:5" s="127" customFormat="1" ht="16.5" customHeight="1">
      <c r="A75" s="38" t="s">
        <v>8</v>
      </c>
      <c r="B75" s="147" t="s">
        <v>290</v>
      </c>
      <c r="C75" s="148"/>
      <c r="D75" s="148">
        <v>75</v>
      </c>
      <c r="E75" s="148">
        <f>D75-C75</f>
        <v>75</v>
      </c>
    </row>
    <row r="76" spans="2:5" s="74" customFormat="1" ht="16.5" customHeight="1">
      <c r="B76" s="75" t="s">
        <v>3</v>
      </c>
      <c r="C76" s="143">
        <f>SUM(C75:C75)</f>
        <v>0</v>
      </c>
      <c r="D76" s="143">
        <f>SUM(D72:D75)</f>
        <v>7875</v>
      </c>
      <c r="E76" s="143">
        <f>SUM(E72:E75)</f>
        <v>7875</v>
      </c>
    </row>
    <row r="77" spans="1:5" s="127" customFormat="1" ht="16.5" customHeight="1">
      <c r="A77" s="149" t="s">
        <v>8</v>
      </c>
      <c r="B77" s="150" t="s">
        <v>121</v>
      </c>
      <c r="C77" s="151"/>
      <c r="D77" s="151"/>
      <c r="E77" s="151"/>
    </row>
    <row r="78" spans="1:5" s="131" customFormat="1" ht="16.5" customHeight="1">
      <c r="A78" s="123" t="s">
        <v>47</v>
      </c>
      <c r="B78" s="152" t="s">
        <v>58</v>
      </c>
      <c r="C78" s="153"/>
      <c r="D78" s="153"/>
      <c r="E78" s="153">
        <f>D78-C78</f>
        <v>0</v>
      </c>
    </row>
    <row r="79" spans="1:5" s="127" customFormat="1" ht="16.5" customHeight="1">
      <c r="A79" s="154"/>
      <c r="B79" s="150" t="s">
        <v>3</v>
      </c>
      <c r="C79" s="155">
        <f>SUM(C78:C78)</f>
        <v>0</v>
      </c>
      <c r="D79" s="155">
        <f>SUM(D78:D78)</f>
        <v>0</v>
      </c>
      <c r="E79" s="155">
        <f>SUM(E78:E78)</f>
        <v>0</v>
      </c>
    </row>
    <row r="80" spans="1:5" s="74" customFormat="1" ht="16.5" customHeight="1">
      <c r="A80" s="127"/>
      <c r="B80" s="125" t="s">
        <v>3</v>
      </c>
      <c r="C80" s="139">
        <f>C79+C76+C70+C61</f>
        <v>11611</v>
      </c>
      <c r="D80" s="139">
        <f>D79+D76+D70+D61</f>
        <v>20511</v>
      </c>
      <c r="E80" s="139">
        <f>E79+E76+E70+E61</f>
        <v>8900</v>
      </c>
    </row>
    <row r="81" spans="3:5" s="74" customFormat="1" ht="16.5" customHeight="1">
      <c r="C81" s="126"/>
      <c r="D81" s="126"/>
      <c r="E81" s="126"/>
    </row>
    <row r="82" spans="2:5" s="74" customFormat="1" ht="16.5" customHeight="1">
      <c r="B82" s="125" t="s">
        <v>122</v>
      </c>
      <c r="C82" s="126">
        <f>C80+C55+C36</f>
        <v>233529</v>
      </c>
      <c r="D82" s="126">
        <f>D80+D55+D36</f>
        <v>248698</v>
      </c>
      <c r="E82" s="126">
        <f>E80+E55+E36</f>
        <v>15169</v>
      </c>
    </row>
    <row r="83" spans="2:5" s="74" customFormat="1" ht="16.5" customHeight="1">
      <c r="B83" s="125"/>
      <c r="C83" s="126"/>
      <c r="D83" s="126"/>
      <c r="E83" s="126"/>
    </row>
    <row r="84" spans="1:5" s="74" customFormat="1" ht="16.5" customHeight="1">
      <c r="A84" s="74" t="s">
        <v>15</v>
      </c>
      <c r="B84" s="156" t="s">
        <v>125</v>
      </c>
      <c r="C84" s="126"/>
      <c r="D84" s="126"/>
      <c r="E84" s="126"/>
    </row>
    <row r="85" spans="1:5" s="157" customFormat="1" ht="16.5" customHeight="1">
      <c r="A85" s="38" t="s">
        <v>5</v>
      </c>
      <c r="B85" s="132" t="s">
        <v>124</v>
      </c>
      <c r="C85" s="133">
        <v>0</v>
      </c>
      <c r="D85" s="133">
        <v>0</v>
      </c>
      <c r="E85" s="133">
        <v>0</v>
      </c>
    </row>
    <row r="86" spans="2:5" s="74" customFormat="1" ht="16.5" customHeight="1">
      <c r="B86" s="156" t="s">
        <v>3</v>
      </c>
      <c r="C86" s="126">
        <f>SUM(C85:C85)</f>
        <v>0</v>
      </c>
      <c r="D86" s="126">
        <f>SUM(D85:D85)</f>
        <v>0</v>
      </c>
      <c r="E86" s="126">
        <f>SUM(E85:E85)</f>
        <v>0</v>
      </c>
    </row>
    <row r="87" spans="2:5" s="157" customFormat="1" ht="16.5" customHeight="1">
      <c r="B87" s="156" t="s">
        <v>123</v>
      </c>
      <c r="C87" s="126">
        <v>0</v>
      </c>
      <c r="D87" s="126">
        <v>0</v>
      </c>
      <c r="E87" s="126">
        <v>0</v>
      </c>
    </row>
    <row r="88" spans="1:5" s="74" customFormat="1" ht="16.5" customHeight="1">
      <c r="A88" s="127"/>
      <c r="C88" s="126"/>
      <c r="D88" s="126"/>
      <c r="E88" s="126"/>
    </row>
    <row r="89" spans="1:5" s="74" customFormat="1" ht="16.5" customHeight="1">
      <c r="A89" s="127"/>
      <c r="B89" s="74" t="s">
        <v>16</v>
      </c>
      <c r="C89" s="126">
        <f>C82+C87</f>
        <v>233529</v>
      </c>
      <c r="D89" s="126">
        <f>D82+D87</f>
        <v>248698</v>
      </c>
      <c r="E89" s="126">
        <f>E82+E87</f>
        <v>15169</v>
      </c>
    </row>
    <row r="90" spans="1:5" s="74" customFormat="1" ht="16.5" customHeight="1">
      <c r="A90" s="127"/>
      <c r="B90" s="74" t="s">
        <v>60</v>
      </c>
      <c r="C90" s="126"/>
      <c r="D90" s="126"/>
      <c r="E90" s="126"/>
    </row>
    <row r="91" spans="2:5" s="127" customFormat="1" ht="16.5" customHeight="1">
      <c r="B91" s="158" t="s">
        <v>61</v>
      </c>
      <c r="C91" s="159">
        <f>C89-C92</f>
        <v>231569</v>
      </c>
      <c r="D91" s="159">
        <f>D89-D92</f>
        <v>246738</v>
      </c>
      <c r="E91" s="159">
        <f>E89-E92</f>
        <v>15169</v>
      </c>
    </row>
    <row r="92" spans="2:5" s="127" customFormat="1" ht="16.5" customHeight="1">
      <c r="B92" s="160" t="s">
        <v>59</v>
      </c>
      <c r="C92" s="161">
        <f>C78+C60+C59+C35</f>
        <v>1960</v>
      </c>
      <c r="D92" s="161">
        <f>D78+D60+D59+D35</f>
        <v>1960</v>
      </c>
      <c r="E92" s="161">
        <f>E78+E60+E59+E35</f>
        <v>0</v>
      </c>
    </row>
    <row r="93" s="127" customFormat="1" ht="11.25" customHeight="1">
      <c r="C93" s="162"/>
    </row>
    <row r="94" spans="2:4" s="127" customFormat="1" ht="11.25" customHeight="1">
      <c r="B94" s="74" t="s">
        <v>89</v>
      </c>
      <c r="C94" s="126">
        <f>C89-'4. melléklet'!C40</f>
        <v>0</v>
      </c>
      <c r="D94" s="162"/>
    </row>
    <row r="95" s="127" customFormat="1" ht="11.25" customHeight="1">
      <c r="C95" s="162"/>
    </row>
    <row r="96" spans="1:3" s="127" customFormat="1" ht="13.5" customHeight="1">
      <c r="A96" s="127" t="s">
        <v>155</v>
      </c>
      <c r="B96" s="74" t="s">
        <v>87</v>
      </c>
      <c r="C96" s="162"/>
    </row>
    <row r="97" spans="1:3" s="165" customFormat="1" ht="12.75">
      <c r="A97" s="122" t="s">
        <v>5</v>
      </c>
      <c r="B97" s="163" t="s">
        <v>189</v>
      </c>
      <c r="C97" s="164">
        <v>20000</v>
      </c>
    </row>
    <row r="98" spans="1:3" s="165" customFormat="1" ht="12.75">
      <c r="A98" s="122" t="s">
        <v>6</v>
      </c>
      <c r="B98" s="163" t="s">
        <v>190</v>
      </c>
      <c r="C98" s="164">
        <v>15000</v>
      </c>
    </row>
    <row r="99" spans="1:4" s="130" customFormat="1" ht="12.75">
      <c r="A99" s="122" t="s">
        <v>7</v>
      </c>
      <c r="B99" s="166" t="s">
        <v>187</v>
      </c>
      <c r="C99" s="167">
        <v>1900</v>
      </c>
      <c r="D99" s="136"/>
    </row>
    <row r="100" spans="1:3" s="165" customFormat="1" ht="12.75">
      <c r="A100" s="122" t="s">
        <v>8</v>
      </c>
      <c r="B100" s="163" t="s">
        <v>191</v>
      </c>
      <c r="C100" s="164">
        <v>5000</v>
      </c>
    </row>
    <row r="101" spans="1:3" s="165" customFormat="1" ht="12.75">
      <c r="A101" s="122" t="s">
        <v>9</v>
      </c>
      <c r="B101" s="163" t="s">
        <v>192</v>
      </c>
      <c r="C101" s="164">
        <v>2513</v>
      </c>
    </row>
    <row r="102" spans="1:3" s="130" customFormat="1" ht="25.5">
      <c r="A102" s="122" t="s">
        <v>20</v>
      </c>
      <c r="B102" s="166" t="s">
        <v>178</v>
      </c>
      <c r="C102" s="167">
        <v>1000</v>
      </c>
    </row>
    <row r="103" spans="1:3" s="130" customFormat="1" ht="12.75">
      <c r="A103" s="122" t="s">
        <v>21</v>
      </c>
      <c r="B103" s="166" t="s">
        <v>177</v>
      </c>
      <c r="C103" s="167">
        <v>1000</v>
      </c>
    </row>
    <row r="104" spans="1:3" s="130" customFormat="1" ht="12.75">
      <c r="A104" s="122" t="s">
        <v>23</v>
      </c>
      <c r="B104" s="166" t="s">
        <v>186</v>
      </c>
      <c r="C104" s="167">
        <v>1700</v>
      </c>
    </row>
    <row r="105" spans="1:3" s="130" customFormat="1" ht="12.75">
      <c r="A105" s="122" t="s">
        <v>53</v>
      </c>
      <c r="B105" s="166" t="s">
        <v>184</v>
      </c>
      <c r="C105" s="167">
        <v>3500</v>
      </c>
    </row>
    <row r="106" spans="1:3" s="165" customFormat="1" ht="12.75">
      <c r="A106" s="122" t="s">
        <v>54</v>
      </c>
      <c r="B106" s="163" t="s">
        <v>188</v>
      </c>
      <c r="C106" s="164">
        <v>5000</v>
      </c>
    </row>
    <row r="107" spans="1:3" s="130" customFormat="1" ht="12.75">
      <c r="A107" s="122" t="s">
        <v>25</v>
      </c>
      <c r="B107" s="166" t="s">
        <v>183</v>
      </c>
      <c r="C107" s="167">
        <v>5000</v>
      </c>
    </row>
    <row r="108" spans="1:3" s="130" customFormat="1" ht="12.75">
      <c r="A108" s="122" t="s">
        <v>26</v>
      </c>
      <c r="B108" s="166" t="s">
        <v>176</v>
      </c>
      <c r="C108" s="167">
        <v>7500</v>
      </c>
    </row>
    <row r="109" spans="1:3" s="130" customFormat="1" ht="12.75">
      <c r="A109" s="122" t="s">
        <v>213</v>
      </c>
      <c r="B109" s="166" t="s">
        <v>172</v>
      </c>
      <c r="C109" s="167">
        <v>8500</v>
      </c>
    </row>
    <row r="110" spans="1:3" s="130" customFormat="1" ht="12.75">
      <c r="A110" s="121" t="s">
        <v>46</v>
      </c>
      <c r="B110" s="132" t="s">
        <v>185</v>
      </c>
      <c r="C110" s="133">
        <v>15000</v>
      </c>
    </row>
    <row r="111" spans="2:3" ht="12.75">
      <c r="B111" s="15" t="s">
        <v>3</v>
      </c>
      <c r="C111" s="35">
        <f>SUM(C97:C110)</f>
        <v>92613</v>
      </c>
    </row>
    <row r="113" spans="2:4" ht="39" customHeight="1">
      <c r="B113" s="405"/>
      <c r="C113" s="405"/>
      <c r="D113" s="405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spans="1:3" s="4" customFormat="1" ht="13.5">
      <c r="A138" s="2"/>
      <c r="B138" s="12"/>
      <c r="C138" s="13"/>
    </row>
    <row r="139" spans="1:3" s="5" customFormat="1" ht="12.75">
      <c r="A139" s="2"/>
      <c r="B139" s="12"/>
      <c r="C139" s="13"/>
    </row>
    <row r="140" spans="1:3" s="8" customFormat="1" ht="12.75">
      <c r="A140" s="2"/>
      <c r="B140" s="12"/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spans="1:3" ht="12.75">
      <c r="A148" s="14"/>
      <c r="C148" s="13"/>
    </row>
    <row r="149" spans="1:3" ht="12.75">
      <c r="A149" s="14"/>
      <c r="C149" s="13"/>
    </row>
    <row r="150" ht="12.75">
      <c r="C150" s="13"/>
    </row>
    <row r="151" ht="12.75">
      <c r="C151" s="13"/>
    </row>
    <row r="152" spans="1:3" ht="12.75">
      <c r="A152" s="5"/>
      <c r="B152" s="15"/>
      <c r="C152" s="6"/>
    </row>
    <row r="155" spans="2:3" s="5" customFormat="1" ht="12.75">
      <c r="B155" s="15"/>
      <c r="C155" s="7"/>
    </row>
    <row r="158" spans="2:3" s="5" customFormat="1" ht="12.75">
      <c r="B158" s="15"/>
      <c r="C158" s="3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spans="2:3" ht="12.75">
      <c r="B167" s="15"/>
      <c r="C167" s="7"/>
    </row>
    <row r="168" ht="12.75">
      <c r="B168" s="15"/>
    </row>
    <row r="169" ht="12.75">
      <c r="C169" s="7"/>
    </row>
    <row r="170" spans="1:2" ht="12.75">
      <c r="A170" s="5"/>
      <c r="B170" s="15"/>
    </row>
    <row r="172" ht="12.75">
      <c r="C172" s="7"/>
    </row>
    <row r="173" spans="1:3" ht="12.75">
      <c r="A173" s="5"/>
      <c r="B173" s="15"/>
      <c r="C173" s="7"/>
    </row>
    <row r="174" spans="1:2" ht="12.75">
      <c r="A174" s="5"/>
      <c r="B174" s="15"/>
    </row>
    <row r="175" ht="12.75">
      <c r="C175" s="7"/>
    </row>
    <row r="176" spans="1:3" ht="12.75">
      <c r="A176" s="5"/>
      <c r="B176" s="15"/>
      <c r="C176" s="9"/>
    </row>
    <row r="177" spans="2:3" ht="12.75">
      <c r="B177" s="14"/>
      <c r="C177" s="9"/>
    </row>
    <row r="178" spans="2:3" ht="12.75">
      <c r="B178" s="14"/>
      <c r="C178" s="9"/>
    </row>
    <row r="179" spans="2:3" ht="12.75">
      <c r="B179" s="14"/>
      <c r="C179" s="9"/>
    </row>
    <row r="180" spans="2:3" ht="12.75">
      <c r="B180" s="14"/>
      <c r="C180" s="9"/>
    </row>
    <row r="181" spans="2:3" ht="12.75">
      <c r="B181" s="14"/>
      <c r="C181" s="9"/>
    </row>
    <row r="182" spans="2:3" ht="12.75">
      <c r="B182" s="14"/>
      <c r="C182" s="9"/>
    </row>
    <row r="183" spans="2:3" ht="12.75">
      <c r="B183" s="14"/>
      <c r="C183" s="9"/>
    </row>
    <row r="184" spans="2:3" ht="12.75">
      <c r="B184" s="14"/>
      <c r="C184" s="9"/>
    </row>
    <row r="185" ht="12.75">
      <c r="B185" s="14"/>
    </row>
    <row r="192" ht="12.75">
      <c r="C192" s="7"/>
    </row>
    <row r="193" ht="12.75">
      <c r="B193" s="15"/>
    </row>
    <row r="194" ht="12.75">
      <c r="C194" s="7"/>
    </row>
    <row r="195" spans="1:2" ht="12.75">
      <c r="A195" s="5"/>
      <c r="B195" s="15"/>
    </row>
    <row r="198" ht="12.75">
      <c r="C198" s="7"/>
    </row>
    <row r="200" ht="12.75">
      <c r="C200" s="7"/>
    </row>
    <row r="201" spans="1:3" ht="12.75">
      <c r="A201" s="5"/>
      <c r="B201" s="15"/>
      <c r="C201" s="9"/>
    </row>
    <row r="202" ht="12.75">
      <c r="B202" s="14"/>
    </row>
    <row r="203" ht="12.75">
      <c r="C203" s="7"/>
    </row>
    <row r="204" spans="1:2" ht="12.75">
      <c r="A204" s="5"/>
      <c r="B204" s="15"/>
    </row>
    <row r="205" ht="12.75">
      <c r="C205" s="7"/>
    </row>
    <row r="206" spans="1:2" ht="12.75">
      <c r="A206" s="5"/>
      <c r="B206" s="15"/>
    </row>
  </sheetData>
  <sheetProtection/>
  <mergeCells count="2">
    <mergeCell ref="B113:D113"/>
    <mergeCell ref="A4:E4"/>
  </mergeCells>
  <printOptions/>
  <pageMargins left="0.66" right="0.44" top="0.85" bottom="0.89" header="0.7874015748031497" footer="0.84"/>
  <pageSetup horizontalDpi="300" verticalDpi="300" orientation="portrait" paperSize="9" scale="89" r:id="rId1"/>
  <rowBreaks count="2" manualBreakCount="2">
    <brk id="37" max="4" man="1"/>
    <brk id="8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125" style="105" customWidth="1"/>
    <col min="2" max="2" width="39.375" style="37" customWidth="1"/>
    <col min="3" max="3" width="14.00390625" style="17" customWidth="1"/>
    <col min="4" max="4" width="16.125" style="16" customWidth="1"/>
    <col min="5" max="16384" width="9.125" style="16" customWidth="1"/>
  </cols>
  <sheetData>
    <row r="1" spans="1:3" s="2" customFormat="1" ht="13.5" customHeight="1">
      <c r="A1" s="116" t="s">
        <v>303</v>
      </c>
      <c r="B1" s="106"/>
      <c r="C1" s="106"/>
    </row>
    <row r="2" spans="1:3" s="2" customFormat="1" ht="13.5">
      <c r="A2" s="116" t="s">
        <v>269</v>
      </c>
      <c r="B2" s="219"/>
      <c r="C2" s="219"/>
    </row>
    <row r="3" spans="2:4" ht="13.5">
      <c r="B3" s="408" t="s">
        <v>143</v>
      </c>
      <c r="C3" s="409"/>
      <c r="D3" s="409"/>
    </row>
    <row r="4" spans="1:5" ht="24.75" customHeight="1">
      <c r="A4" s="406" t="s">
        <v>195</v>
      </c>
      <c r="B4" s="407"/>
      <c r="C4" s="407"/>
      <c r="D4" s="407"/>
      <c r="E4" s="407"/>
    </row>
    <row r="5" spans="1:5" ht="12.75">
      <c r="A5" s="407"/>
      <c r="B5" s="407"/>
      <c r="C5" s="407"/>
      <c r="D5" s="407"/>
      <c r="E5" s="407"/>
    </row>
    <row r="6" spans="2:3" ht="13.5">
      <c r="B6" s="107"/>
      <c r="C6" s="108"/>
    </row>
    <row r="7" spans="1:4" ht="29.25" customHeight="1">
      <c r="A7" s="109" t="s">
        <v>144</v>
      </c>
      <c r="B7" s="410" t="s">
        <v>196</v>
      </c>
      <c r="C7" s="411"/>
      <c r="D7" s="411"/>
    </row>
    <row r="8" spans="1:4" ht="19.5" customHeight="1">
      <c r="A8" s="109"/>
      <c r="B8" s="110"/>
      <c r="C8" s="111"/>
      <c r="D8" s="111"/>
    </row>
    <row r="9" spans="2:4" ht="13.5">
      <c r="B9" s="114"/>
      <c r="C9" s="115"/>
      <c r="D9" s="17"/>
    </row>
    <row r="10" ht="13.5">
      <c r="L10" s="16" t="s">
        <v>152</v>
      </c>
    </row>
    <row r="11" spans="1:4" ht="13.5">
      <c r="A11" s="105" t="s">
        <v>8</v>
      </c>
      <c r="B11" s="112" t="s">
        <v>154</v>
      </c>
      <c r="C11" s="113" t="s">
        <v>197</v>
      </c>
      <c r="D11" s="113" t="s">
        <v>3</v>
      </c>
    </row>
    <row r="12" spans="2:4" ht="13.5">
      <c r="B12" s="114" t="s">
        <v>145</v>
      </c>
      <c r="C12" s="115"/>
      <c r="D12" s="17"/>
    </row>
    <row r="13" spans="2:4" ht="13.5">
      <c r="B13" s="16" t="s">
        <v>146</v>
      </c>
      <c r="C13" s="17">
        <v>2411</v>
      </c>
      <c r="D13" s="17">
        <f>SUM(C13:C13)</f>
        <v>2411</v>
      </c>
    </row>
    <row r="14" spans="2:4" ht="13.5">
      <c r="B14" s="16" t="s">
        <v>147</v>
      </c>
      <c r="D14" s="17">
        <f>SUM(C14:C14)</f>
        <v>0</v>
      </c>
    </row>
    <row r="15" spans="2:4" ht="13.5">
      <c r="B15" s="16" t="s">
        <v>148</v>
      </c>
      <c r="D15" s="17">
        <f>SUM(C15:C15)</f>
        <v>0</v>
      </c>
    </row>
    <row r="16" spans="2:4" ht="13.5">
      <c r="B16" s="16" t="s">
        <v>149</v>
      </c>
      <c r="C16" s="17">
        <f>C23-C13-C14-C15</f>
        <v>3664</v>
      </c>
      <c r="D16" s="17">
        <f>SUM(C16:C16)</f>
        <v>3664</v>
      </c>
    </row>
    <row r="17" spans="2:4" ht="13.5">
      <c r="B17" s="114" t="s">
        <v>3</v>
      </c>
      <c r="C17" s="115">
        <f>SUM(C13:C16)</f>
        <v>6075</v>
      </c>
      <c r="D17" s="115">
        <f>SUM(C17:C17)</f>
        <v>6075</v>
      </c>
    </row>
    <row r="18" spans="2:4" ht="9.75" customHeight="1">
      <c r="B18" s="16"/>
      <c r="D18" s="17"/>
    </row>
    <row r="19" spans="2:4" ht="13.5">
      <c r="B19" s="114" t="s">
        <v>150</v>
      </c>
      <c r="C19" s="115"/>
      <c r="D19" s="17"/>
    </row>
    <row r="20" spans="2:4" ht="13.5">
      <c r="B20" s="16" t="s">
        <v>19</v>
      </c>
      <c r="D20" s="17"/>
    </row>
    <row r="21" spans="2:4" ht="13.5">
      <c r="B21" s="16" t="s">
        <v>73</v>
      </c>
      <c r="D21" s="17">
        <f>SUM(C21:C21)</f>
        <v>0</v>
      </c>
    </row>
    <row r="22" spans="2:4" ht="13.5">
      <c r="B22" s="16" t="s">
        <v>151</v>
      </c>
      <c r="C22" s="17">
        <v>6075</v>
      </c>
      <c r="D22" s="17">
        <f>SUM(C22:C22)</f>
        <v>6075</v>
      </c>
    </row>
    <row r="23" spans="2:4" ht="13.5">
      <c r="B23" s="114" t="s">
        <v>3</v>
      </c>
      <c r="C23" s="115">
        <f>SUM(C20:C22)</f>
        <v>6075</v>
      </c>
      <c r="D23" s="17">
        <f>SUM(C23:C23)</f>
        <v>6075</v>
      </c>
    </row>
    <row r="24" spans="2:4" ht="13.5">
      <c r="B24" s="114"/>
      <c r="C24" s="115"/>
      <c r="D24" s="17"/>
    </row>
    <row r="26" spans="2:4" ht="13.5">
      <c r="B26" s="114"/>
      <c r="C26" s="115"/>
      <c r="D26" s="17"/>
    </row>
    <row r="27" spans="1:4" ht="13.5">
      <c r="A27" s="105" t="s">
        <v>20</v>
      </c>
      <c r="B27" s="112" t="s">
        <v>153</v>
      </c>
      <c r="C27" s="113" t="s">
        <v>197</v>
      </c>
      <c r="D27" s="113" t="s">
        <v>3</v>
      </c>
    </row>
    <row r="28" spans="2:4" ht="13.5">
      <c r="B28" s="114" t="s">
        <v>145</v>
      </c>
      <c r="C28" s="115"/>
      <c r="D28" s="17"/>
    </row>
    <row r="29" spans="2:4" ht="13.5">
      <c r="B29" s="16" t="s">
        <v>146</v>
      </c>
      <c r="D29" s="17">
        <f>SUM(C29:C29)</f>
        <v>0</v>
      </c>
    </row>
    <row r="30" spans="2:4" ht="13.5">
      <c r="B30" s="16" t="s">
        <v>147</v>
      </c>
      <c r="D30" s="17">
        <f>SUM(C30:C30)</f>
        <v>0</v>
      </c>
    </row>
    <row r="31" spans="2:4" ht="13.5">
      <c r="B31" s="16" t="s">
        <v>148</v>
      </c>
      <c r="C31" s="17">
        <v>7921</v>
      </c>
      <c r="D31" s="17">
        <f>SUM(C31:C31)</f>
        <v>7921</v>
      </c>
    </row>
    <row r="32" spans="2:4" ht="13.5">
      <c r="B32" s="16" t="s">
        <v>149</v>
      </c>
      <c r="C32" s="17">
        <f>C39-C29-C30-C31</f>
        <v>-7921</v>
      </c>
      <c r="D32" s="17">
        <f>SUM(C32:C32)</f>
        <v>-7921</v>
      </c>
    </row>
    <row r="33" spans="2:4" ht="13.5">
      <c r="B33" s="114" t="s">
        <v>3</v>
      </c>
      <c r="C33" s="115">
        <f>SUM(C29:C32)</f>
        <v>0</v>
      </c>
      <c r="D33" s="115">
        <f>SUM(C33:C33)</f>
        <v>0</v>
      </c>
    </row>
    <row r="34" spans="2:4" ht="9.75" customHeight="1">
      <c r="B34" s="16"/>
      <c r="D34" s="17"/>
    </row>
    <row r="35" spans="2:4" ht="13.5">
      <c r="B35" s="114" t="s">
        <v>150</v>
      </c>
      <c r="C35" s="115"/>
      <c r="D35" s="17"/>
    </row>
    <row r="36" spans="2:4" ht="13.5">
      <c r="B36" s="16" t="s">
        <v>19</v>
      </c>
      <c r="D36" s="17"/>
    </row>
    <row r="37" spans="2:4" ht="13.5">
      <c r="B37" s="16" t="s">
        <v>73</v>
      </c>
      <c r="D37" s="17">
        <f>SUM(C37:C37)</f>
        <v>0</v>
      </c>
    </row>
    <row r="38" spans="2:4" ht="13.5">
      <c r="B38" s="16" t="s">
        <v>151</v>
      </c>
      <c r="C38" s="17">
        <v>0</v>
      </c>
      <c r="D38" s="17">
        <f>SUM(C38:C38)</f>
        <v>0</v>
      </c>
    </row>
    <row r="39" spans="2:4" ht="13.5">
      <c r="B39" s="114" t="s">
        <v>3</v>
      </c>
      <c r="C39" s="115">
        <f>SUM(C36:C38)</f>
        <v>0</v>
      </c>
      <c r="D39" s="17">
        <f>SUM(C39:C39)</f>
        <v>0</v>
      </c>
    </row>
    <row r="40" spans="2:4" ht="13.5">
      <c r="B40" s="114"/>
      <c r="C40" s="115"/>
      <c r="D40" s="17"/>
    </row>
  </sheetData>
  <sheetProtection/>
  <mergeCells count="3">
    <mergeCell ref="A4:E5"/>
    <mergeCell ref="B3:D3"/>
    <mergeCell ref="B7:D7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2016-08-19T07:18:02Z</cp:lastPrinted>
  <dcterms:created xsi:type="dcterms:W3CDTF">2007-11-15T07:32:30Z</dcterms:created>
  <dcterms:modified xsi:type="dcterms:W3CDTF">2016-12-01T10:35:42Z</dcterms:modified>
  <cp:category/>
  <cp:version/>
  <cp:contentType/>
  <cp:contentStatus/>
</cp:coreProperties>
</file>