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ati\Előirányzat módosítások\2015\2015.06.30\Végleges\"/>
    </mc:Choice>
  </mc:AlternateContent>
  <bookViews>
    <workbookView xWindow="-15" yWindow="-15" windowWidth="11535" windowHeight="9690" tabRatio="852" firstSheet="4" activeTab="7"/>
  </bookViews>
  <sheets>
    <sheet name="10.1.-10.5." sheetId="64" r:id="rId1"/>
    <sheet name="10.6-10.7" sheetId="70" r:id="rId2"/>
    <sheet name="10.8.-10.10. " sheetId="65" r:id="rId3"/>
    <sheet name="11.1.-11.6. " sheetId="66" r:id="rId4"/>
    <sheet name="12.1.-12.9. mell." sheetId="67" r:id="rId5"/>
    <sheet name="13.1 melléklet ÖNK" sheetId="71" r:id="rId6"/>
    <sheet name="13.2 melléklet Ph" sheetId="73" r:id="rId7"/>
    <sheet name="13.3 mell." sheetId="76" r:id="rId8"/>
    <sheet name="14.1 melléklet ÖNK" sheetId="72" r:id="rId9"/>
    <sheet name="14.2 mell." sheetId="77" r:id="rId10"/>
    <sheet name="15. mell." sheetId="27" r:id="rId11"/>
    <sheet name="16. melléklet" sheetId="28" r:id="rId12"/>
    <sheet name="17-18. mell." sheetId="46" r:id="rId13"/>
    <sheet name="19. mell. " sheetId="30" r:id="rId14"/>
    <sheet name="20. mell." sheetId="31" r:id="rId15"/>
    <sheet name="20.1." sheetId="41" r:id="rId16"/>
    <sheet name="20. 2." sheetId="42" r:id="rId17"/>
    <sheet name="20. 3" sheetId="56" r:id="rId18"/>
    <sheet name="20. 4." sheetId="57" r:id="rId19"/>
    <sheet name="20.5." sheetId="58" r:id="rId20"/>
    <sheet name="20. 6." sheetId="59" r:id="rId21"/>
    <sheet name="20.7." sheetId="60" r:id="rId22"/>
    <sheet name="20. 8." sheetId="40" r:id="rId23"/>
    <sheet name="21. mell." sheetId="1" r:id="rId24"/>
    <sheet name="22. mell." sheetId="19" r:id="rId25"/>
    <sheet name="23.-25. mell." sheetId="21" r:id="rId26"/>
    <sheet name="26. mell." sheetId="11" r:id="rId27"/>
    <sheet name="27.mell. " sheetId="75" r:id="rId28"/>
    <sheet name="28. mell." sheetId="8" r:id="rId29"/>
    <sheet name="29. mell." sheetId="10" r:id="rId30"/>
    <sheet name="30.mell" sheetId="45" r:id="rId31"/>
    <sheet name="31.mell" sheetId="43" r:id="rId32"/>
    <sheet name="Munka1" sheetId="69" r:id="rId33"/>
  </sheets>
  <definedNames>
    <definedName name="_xlnm._FilterDatabase" localSheetId="5" hidden="1">'13.1 melléklet ÖNK'!$A$1:$R$253</definedName>
    <definedName name="_xlnm._FilterDatabase" localSheetId="6" hidden="1">'13.2 melléklet Ph'!$A$1:$R$41</definedName>
    <definedName name="_xlnm._FilterDatabase" localSheetId="8" hidden="1">'14.1 melléklet ÖNK'!$A$1:$G$23</definedName>
    <definedName name="_xlnm._FilterDatabase" localSheetId="30" hidden="1">'30.mell'!#REF!</definedName>
    <definedName name="_xlnm._FilterDatabase" localSheetId="31" hidden="1">'31.mell'!#REF!</definedName>
    <definedName name="_xlnm.Print_Titles" localSheetId="5">'13.1 melléklet ÖNK'!$1:$3</definedName>
    <definedName name="_xlnm.Print_Titles" localSheetId="7">'13.3 mell.'!$1:$3</definedName>
    <definedName name="_xlnm.Print_Titles" localSheetId="8">'14.1 melléklet ÖNK'!$1:$3</definedName>
    <definedName name="_xlnm.Print_Titles" localSheetId="31">'31.mell'!#REF!</definedName>
    <definedName name="_xlnm.Print_Area" localSheetId="5">'13.1 melléklet ÖNK'!$A$1:$R$253</definedName>
    <definedName name="_xlnm.Print_Area" localSheetId="6">'13.2 melléklet Ph'!$A$1:$R$41</definedName>
    <definedName name="_xlnm.Print_Area" localSheetId="7">'13.3 mell.'!$A$1:$N$44</definedName>
    <definedName name="_xlnm.Print_Area" localSheetId="8">'14.1 melléklet ÖNK'!$A$1:$R$23</definedName>
    <definedName name="_xlnm.Print_Area" localSheetId="22">'20. 8.'!$A$1:$K$44</definedName>
  </definedNames>
  <calcPr calcId="152511"/>
</workbook>
</file>

<file path=xl/calcChain.xml><?xml version="1.0" encoding="utf-8"?>
<calcChain xmlns="http://schemas.openxmlformats.org/spreadsheetml/2006/main">
  <c r="J15" i="77" l="1"/>
  <c r="I15" i="77"/>
  <c r="H15" i="77"/>
  <c r="G15" i="77"/>
  <c r="F15" i="77"/>
  <c r="E15" i="77"/>
  <c r="D15" i="77"/>
  <c r="C15" i="77"/>
  <c r="N44" i="76"/>
  <c r="M44" i="76"/>
  <c r="L44" i="76"/>
  <c r="J44" i="76"/>
  <c r="I44" i="76"/>
  <c r="H44" i="76"/>
  <c r="G44" i="76"/>
  <c r="F44" i="76"/>
  <c r="E44" i="76"/>
  <c r="D44" i="76"/>
  <c r="C44" i="76"/>
  <c r="K44" i="76"/>
  <c r="L15" i="77"/>
  <c r="M15" i="77"/>
  <c r="N15" i="77"/>
  <c r="K15" i="77"/>
  <c r="N43" i="76"/>
  <c r="M43" i="76"/>
  <c r="L43" i="76"/>
  <c r="K43" i="76"/>
  <c r="K14" i="77"/>
  <c r="L14" i="77"/>
  <c r="M14" i="77"/>
  <c r="N14" i="77"/>
  <c r="D4" i="77"/>
  <c r="L4" i="77" s="1"/>
  <c r="E4" i="77"/>
  <c r="K4" i="77"/>
  <c r="M4" i="77"/>
  <c r="N4" i="77"/>
  <c r="E5" i="77"/>
  <c r="D5" i="77" s="1"/>
  <c r="D6" i="77"/>
  <c r="H7" i="77"/>
  <c r="H8" i="77"/>
  <c r="H9" i="77"/>
  <c r="H10" i="77"/>
  <c r="L10" i="77" s="1"/>
  <c r="K10" i="77"/>
  <c r="M10" i="77"/>
  <c r="N10" i="77"/>
  <c r="H11" i="77"/>
  <c r="L11" i="77" s="1"/>
  <c r="N11" i="77"/>
  <c r="G12" i="77"/>
  <c r="K11" i="77" s="1"/>
  <c r="I12" i="77"/>
  <c r="H12" i="77" s="1"/>
  <c r="H13" i="77"/>
  <c r="L13" i="77" s="1"/>
  <c r="K13" i="77"/>
  <c r="M13" i="77"/>
  <c r="N13" i="77"/>
  <c r="D4" i="76"/>
  <c r="H4" i="76"/>
  <c r="K4" i="76"/>
  <c r="M4" i="76"/>
  <c r="N4" i="76"/>
  <c r="H5" i="76"/>
  <c r="H6" i="76"/>
  <c r="H7" i="76"/>
  <c r="H8" i="76"/>
  <c r="H9" i="76"/>
  <c r="H10" i="76"/>
  <c r="D11" i="76"/>
  <c r="D12" i="76"/>
  <c r="D13" i="76"/>
  <c r="D14" i="76"/>
  <c r="D15" i="76"/>
  <c r="D16" i="76"/>
  <c r="D17" i="76"/>
  <c r="D18" i="76"/>
  <c r="D19" i="76"/>
  <c r="D20" i="76"/>
  <c r="D21" i="76"/>
  <c r="D22" i="76"/>
  <c r="C23" i="76"/>
  <c r="D23" i="76" s="1"/>
  <c r="D24" i="76"/>
  <c r="D25" i="76"/>
  <c r="D26" i="76"/>
  <c r="I27" i="76"/>
  <c r="H27" i="76" s="1"/>
  <c r="L27" i="76" s="1"/>
  <c r="K27" i="76"/>
  <c r="N27" i="76"/>
  <c r="H28" i="76"/>
  <c r="I28" i="76"/>
  <c r="H29" i="76"/>
  <c r="H30" i="76"/>
  <c r="I30" i="76"/>
  <c r="H31" i="76"/>
  <c r="K31" i="76"/>
  <c r="L31" i="76"/>
  <c r="M31" i="76"/>
  <c r="N31" i="76"/>
  <c r="H32" i="76"/>
  <c r="H33" i="76"/>
  <c r="K33" i="76"/>
  <c r="N33" i="76"/>
  <c r="H34" i="76"/>
  <c r="I35" i="76"/>
  <c r="H35" i="76" s="1"/>
  <c r="H36" i="76"/>
  <c r="I36" i="76"/>
  <c r="K36" i="76"/>
  <c r="M36" i="76"/>
  <c r="N36" i="76"/>
  <c r="I37" i="76"/>
  <c r="H37" i="76" s="1"/>
  <c r="H38" i="76"/>
  <c r="I38" i="76"/>
  <c r="D39" i="76"/>
  <c r="K39" i="76"/>
  <c r="M39" i="76"/>
  <c r="N39" i="76"/>
  <c r="D40" i="76"/>
  <c r="D41" i="76"/>
  <c r="L39" i="76" s="1"/>
  <c r="D42" i="76"/>
  <c r="L36" i="76" l="1"/>
  <c r="L33" i="76"/>
  <c r="L4" i="76"/>
  <c r="M11" i="77"/>
  <c r="M33" i="76"/>
  <c r="M27" i="76"/>
  <c r="K17" i="43" l="1"/>
  <c r="K18" i="43"/>
  <c r="K19" i="43"/>
  <c r="K20" i="43"/>
  <c r="K22" i="43"/>
  <c r="K23" i="43"/>
  <c r="P14" i="11"/>
  <c r="O14" i="11"/>
  <c r="N14" i="11"/>
  <c r="R99" i="71" l="1"/>
  <c r="J34" i="70"/>
  <c r="I34" i="70"/>
  <c r="H34" i="70"/>
  <c r="G34" i="70"/>
  <c r="F34" i="70"/>
  <c r="E34" i="70"/>
  <c r="D34" i="70"/>
  <c r="C34" i="70"/>
  <c r="B34" i="70"/>
  <c r="N37" i="10"/>
  <c r="L37" i="10"/>
  <c r="K37" i="10"/>
  <c r="J37" i="10"/>
  <c r="I37" i="10"/>
  <c r="H37" i="10"/>
  <c r="G37" i="10"/>
  <c r="F37" i="10"/>
  <c r="E37" i="10"/>
  <c r="D37" i="10"/>
  <c r="M35" i="10"/>
  <c r="M37" i="10" s="1"/>
  <c r="J39" i="67"/>
  <c r="I39" i="67"/>
  <c r="H39" i="67"/>
  <c r="G39" i="67"/>
  <c r="F39" i="67"/>
  <c r="E39" i="67"/>
  <c r="D39" i="67"/>
  <c r="C39" i="67"/>
  <c r="B39" i="67"/>
  <c r="M38" i="67"/>
  <c r="L38" i="67"/>
  <c r="K38" i="67"/>
  <c r="M37" i="67"/>
  <c r="L37" i="67"/>
  <c r="K37" i="67"/>
  <c r="M36" i="67"/>
  <c r="L36" i="67"/>
  <c r="K36" i="67"/>
  <c r="M35" i="67"/>
  <c r="L35" i="67"/>
  <c r="K35" i="67"/>
  <c r="M34" i="67"/>
  <c r="L34" i="67"/>
  <c r="K34" i="67"/>
  <c r="J29" i="65"/>
  <c r="I29" i="65"/>
  <c r="H29" i="65"/>
  <c r="G29" i="65"/>
  <c r="F29" i="65"/>
  <c r="E29" i="65"/>
  <c r="D29" i="65"/>
  <c r="C29" i="65"/>
  <c r="B29" i="65"/>
  <c r="J6" i="65"/>
  <c r="I6" i="65"/>
  <c r="H6" i="65"/>
  <c r="G6" i="65"/>
  <c r="F6" i="65"/>
  <c r="E6" i="65"/>
  <c r="D6" i="65"/>
  <c r="C6" i="65"/>
  <c r="B6" i="65"/>
  <c r="J23" i="65"/>
  <c r="I23" i="65"/>
  <c r="H23" i="65"/>
  <c r="G23" i="65"/>
  <c r="F23" i="65"/>
  <c r="E23" i="65"/>
  <c r="D23" i="65"/>
  <c r="C23" i="65"/>
  <c r="B23" i="65"/>
  <c r="J17" i="65"/>
  <c r="I17" i="65"/>
  <c r="H17" i="65"/>
  <c r="G17" i="65"/>
  <c r="F17" i="65"/>
  <c r="E17" i="65"/>
  <c r="D17" i="65"/>
  <c r="C17" i="65"/>
  <c r="B17" i="65"/>
  <c r="J10" i="65"/>
  <c r="I10" i="65"/>
  <c r="H10" i="65"/>
  <c r="G10" i="65"/>
  <c r="F10" i="65"/>
  <c r="E10" i="65"/>
  <c r="D10" i="65"/>
  <c r="C10" i="65"/>
  <c r="B10" i="65"/>
  <c r="E448" i="75"/>
  <c r="AE446" i="75"/>
  <c r="AO445" i="75"/>
  <c r="AN445" i="75"/>
  <c r="AL445" i="75"/>
  <c r="AK445" i="75"/>
  <c r="AI445" i="75"/>
  <c r="AH445" i="75"/>
  <c r="AH39" i="75" s="1"/>
  <c r="AF445" i="75"/>
  <c r="AE445" i="75"/>
  <c r="AC445" i="75"/>
  <c r="AB445" i="75"/>
  <c r="Z445" i="75"/>
  <c r="Y445" i="75"/>
  <c r="W445" i="75"/>
  <c r="V445" i="75"/>
  <c r="V39" i="75" s="1"/>
  <c r="T445" i="75"/>
  <c r="S445" i="75"/>
  <c r="Q445" i="75"/>
  <c r="P445" i="75"/>
  <c r="N445" i="75"/>
  <c r="M445" i="75"/>
  <c r="K445" i="75"/>
  <c r="J445" i="75"/>
  <c r="J39" i="75" s="1"/>
  <c r="H445" i="75"/>
  <c r="E445" i="75" s="1"/>
  <c r="G445" i="75"/>
  <c r="C445" i="75"/>
  <c r="E444" i="75"/>
  <c r="D444" i="75"/>
  <c r="C444" i="75"/>
  <c r="AO443" i="75"/>
  <c r="AN443" i="75"/>
  <c r="AN446" i="75" s="1"/>
  <c r="AM443" i="75"/>
  <c r="AM446" i="75" s="1"/>
  <c r="AL443" i="75"/>
  <c r="AK443" i="75"/>
  <c r="AK446" i="75" s="1"/>
  <c r="AJ443" i="75"/>
  <c r="AI443" i="75"/>
  <c r="AH443" i="75"/>
  <c r="AG443" i="75"/>
  <c r="AG446" i="75" s="1"/>
  <c r="AF443" i="75"/>
  <c r="AF446" i="75" s="1"/>
  <c r="AE443" i="75"/>
  <c r="AD443" i="75"/>
  <c r="AD446" i="75" s="1"/>
  <c r="AC443" i="75"/>
  <c r="AB443" i="75"/>
  <c r="AB446" i="75" s="1"/>
  <c r="AA443" i="75"/>
  <c r="AA446" i="75" s="1"/>
  <c r="Z443" i="75"/>
  <c r="Y443" i="75"/>
  <c r="Y446" i="75" s="1"/>
  <c r="X443" i="75"/>
  <c r="W443" i="75"/>
  <c r="V443" i="75"/>
  <c r="U443" i="75"/>
  <c r="U446" i="75" s="1"/>
  <c r="T443" i="75"/>
  <c r="T446" i="75" s="1"/>
  <c r="S443" i="75"/>
  <c r="S446" i="75" s="1"/>
  <c r="R443" i="75"/>
  <c r="R446" i="75" s="1"/>
  <c r="Q443" i="75"/>
  <c r="P443" i="75"/>
  <c r="O443" i="75"/>
  <c r="O446" i="75" s="1"/>
  <c r="N443" i="75"/>
  <c r="M443" i="75"/>
  <c r="M446" i="75" s="1"/>
  <c r="L443" i="75"/>
  <c r="K443" i="75"/>
  <c r="J443" i="75"/>
  <c r="I443" i="75"/>
  <c r="I446" i="75" s="1"/>
  <c r="H443" i="75"/>
  <c r="G443" i="75"/>
  <c r="G446" i="75" s="1"/>
  <c r="F443" i="75"/>
  <c r="F446" i="75" s="1"/>
  <c r="E442" i="75"/>
  <c r="D442" i="75"/>
  <c r="C442" i="75"/>
  <c r="E441" i="75"/>
  <c r="D441" i="75"/>
  <c r="C441" i="75"/>
  <c r="E440" i="75"/>
  <c r="D440" i="75"/>
  <c r="C440" i="75"/>
  <c r="AI439" i="75"/>
  <c r="E438" i="75"/>
  <c r="D438" i="75"/>
  <c r="C438" i="75"/>
  <c r="AO437" i="75"/>
  <c r="AO439" i="75" s="1"/>
  <c r="AN437" i="75"/>
  <c r="AN439" i="75" s="1"/>
  <c r="AM437" i="75"/>
  <c r="AM439" i="75" s="1"/>
  <c r="AM447" i="75" s="1"/>
  <c r="AL437" i="75"/>
  <c r="AL439" i="75" s="1"/>
  <c r="AK437" i="75"/>
  <c r="AK439" i="75" s="1"/>
  <c r="AJ437" i="75"/>
  <c r="AJ439" i="75" s="1"/>
  <c r="AI437" i="75"/>
  <c r="AH437" i="75"/>
  <c r="AH439" i="75" s="1"/>
  <c r="AG437" i="75"/>
  <c r="AG439" i="75" s="1"/>
  <c r="AF437" i="75"/>
  <c r="AF439" i="75" s="1"/>
  <c r="AE437" i="75"/>
  <c r="AE439" i="75" s="1"/>
  <c r="AD437" i="75"/>
  <c r="AD439" i="75" s="1"/>
  <c r="AC437" i="75"/>
  <c r="AC439" i="75" s="1"/>
  <c r="AB437" i="75"/>
  <c r="AB439" i="75" s="1"/>
  <c r="AA437" i="75"/>
  <c r="AA439" i="75" s="1"/>
  <c r="AA447" i="75" s="1"/>
  <c r="Z437" i="75"/>
  <c r="Z439" i="75" s="1"/>
  <c r="Y437" i="75"/>
  <c r="Y439" i="75" s="1"/>
  <c r="X437" i="75"/>
  <c r="X439" i="75" s="1"/>
  <c r="W437" i="75"/>
  <c r="W439" i="75" s="1"/>
  <c r="V437" i="75"/>
  <c r="V439" i="75" s="1"/>
  <c r="U437" i="75"/>
  <c r="U439" i="75" s="1"/>
  <c r="T437" i="75"/>
  <c r="T439" i="75" s="1"/>
  <c r="S437" i="75"/>
  <c r="S439" i="75" s="1"/>
  <c r="S447" i="75" s="1"/>
  <c r="R437" i="75"/>
  <c r="R439" i="75" s="1"/>
  <c r="Q437" i="75"/>
  <c r="Q439" i="75" s="1"/>
  <c r="P437" i="75"/>
  <c r="P439" i="75" s="1"/>
  <c r="O437" i="75"/>
  <c r="O439" i="75" s="1"/>
  <c r="O447" i="75" s="1"/>
  <c r="N437" i="75"/>
  <c r="M437" i="75"/>
  <c r="M439" i="75" s="1"/>
  <c r="L437" i="75"/>
  <c r="L439" i="75" s="1"/>
  <c r="K437" i="75"/>
  <c r="K439" i="75" s="1"/>
  <c r="J437" i="75"/>
  <c r="J439" i="75" s="1"/>
  <c r="I437" i="75"/>
  <c r="I439" i="75" s="1"/>
  <c r="H437" i="75"/>
  <c r="H439" i="75" s="1"/>
  <c r="G437" i="75"/>
  <c r="G439" i="75" s="1"/>
  <c r="G447" i="75" s="1"/>
  <c r="F437" i="75"/>
  <c r="E436" i="75"/>
  <c r="D436" i="75"/>
  <c r="C436" i="75"/>
  <c r="E435" i="75"/>
  <c r="D435" i="75"/>
  <c r="C435" i="75"/>
  <c r="E434" i="75"/>
  <c r="D434" i="75"/>
  <c r="C434" i="75"/>
  <c r="E433" i="75"/>
  <c r="D433" i="75"/>
  <c r="C433" i="75"/>
  <c r="E432" i="75"/>
  <c r="D432" i="75"/>
  <c r="C432" i="75"/>
  <c r="E431" i="75"/>
  <c r="D431" i="75"/>
  <c r="C431" i="75"/>
  <c r="E430" i="75"/>
  <c r="D430" i="75"/>
  <c r="C430" i="75"/>
  <c r="E427" i="75"/>
  <c r="E424" i="75"/>
  <c r="D424" i="75"/>
  <c r="C424" i="75"/>
  <c r="AM423" i="75"/>
  <c r="AD423" i="75"/>
  <c r="U423" i="75"/>
  <c r="O423" i="75"/>
  <c r="I423" i="75"/>
  <c r="E423" i="75"/>
  <c r="D423" i="75"/>
  <c r="AO422" i="75"/>
  <c r="AO425" i="75" s="1"/>
  <c r="AN422" i="75"/>
  <c r="AN425" i="75" s="1"/>
  <c r="AM422" i="75"/>
  <c r="AM425" i="75" s="1"/>
  <c r="AL422" i="75"/>
  <c r="AL425" i="75" s="1"/>
  <c r="AK422" i="75"/>
  <c r="AK425" i="75" s="1"/>
  <c r="AJ422" i="75"/>
  <c r="AI422" i="75"/>
  <c r="AI425" i="75" s="1"/>
  <c r="AH422" i="75"/>
  <c r="AH425" i="75" s="1"/>
  <c r="AG422" i="75"/>
  <c r="AG425" i="75" s="1"/>
  <c r="AF422" i="75"/>
  <c r="AF425" i="75" s="1"/>
  <c r="AE422" i="75"/>
  <c r="AE425" i="75" s="1"/>
  <c r="AD422" i="75"/>
  <c r="AC422" i="75"/>
  <c r="AC425" i="75" s="1"/>
  <c r="AB422" i="75"/>
  <c r="AB425" i="75" s="1"/>
  <c r="AA422" i="75"/>
  <c r="AA425" i="75" s="1"/>
  <c r="Z422" i="75"/>
  <c r="Z425" i="75" s="1"/>
  <c r="Y422" i="75"/>
  <c r="Y425" i="75" s="1"/>
  <c r="X422" i="75"/>
  <c r="W422" i="75"/>
  <c r="W425" i="75" s="1"/>
  <c r="V422" i="75"/>
  <c r="V425" i="75" s="1"/>
  <c r="U422" i="75"/>
  <c r="U425" i="75" s="1"/>
  <c r="T422" i="75"/>
  <c r="T425" i="75" s="1"/>
  <c r="S422" i="75"/>
  <c r="S425" i="75" s="1"/>
  <c r="R422" i="75"/>
  <c r="R425" i="75" s="1"/>
  <c r="Q422" i="75"/>
  <c r="Q425" i="75" s="1"/>
  <c r="P422" i="75"/>
  <c r="P425" i="75" s="1"/>
  <c r="O422" i="75"/>
  <c r="N422" i="75"/>
  <c r="N425" i="75" s="1"/>
  <c r="M422" i="75"/>
  <c r="M425" i="75" s="1"/>
  <c r="L422" i="75"/>
  <c r="L425" i="75" s="1"/>
  <c r="K422" i="75"/>
  <c r="K425" i="75" s="1"/>
  <c r="J422" i="75"/>
  <c r="J425" i="75" s="1"/>
  <c r="I422" i="75"/>
  <c r="H422" i="75"/>
  <c r="H425" i="75" s="1"/>
  <c r="G422" i="75"/>
  <c r="F422" i="75"/>
  <c r="F425" i="75" s="1"/>
  <c r="E421" i="75"/>
  <c r="D421" i="75"/>
  <c r="C421" i="75"/>
  <c r="E420" i="75"/>
  <c r="D420" i="75"/>
  <c r="C420" i="75"/>
  <c r="E419" i="75"/>
  <c r="D419" i="75"/>
  <c r="C419" i="75"/>
  <c r="AA418" i="75"/>
  <c r="E417" i="75"/>
  <c r="D417" i="75"/>
  <c r="C417" i="75"/>
  <c r="Y416" i="75"/>
  <c r="D416" i="75" s="1"/>
  <c r="F416" i="75"/>
  <c r="C416" i="75" s="1"/>
  <c r="E416" i="75"/>
  <c r="AO415" i="75"/>
  <c r="AO418" i="75" s="1"/>
  <c r="AN415" i="75"/>
  <c r="AN418" i="75" s="1"/>
  <c r="AM415" i="75"/>
  <c r="AM418" i="75" s="1"/>
  <c r="AM426" i="75" s="1"/>
  <c r="AL415" i="75"/>
  <c r="AL418" i="75" s="1"/>
  <c r="AK415" i="75"/>
  <c r="AK418" i="75" s="1"/>
  <c r="AJ415" i="75"/>
  <c r="AJ418" i="75" s="1"/>
  <c r="AI415" i="75"/>
  <c r="AI418" i="75" s="1"/>
  <c r="AH415" i="75"/>
  <c r="AH418" i="75" s="1"/>
  <c r="AG415" i="75"/>
  <c r="AG418" i="75" s="1"/>
  <c r="AG426" i="75" s="1"/>
  <c r="AF415" i="75"/>
  <c r="AF418" i="75" s="1"/>
  <c r="AE415" i="75"/>
  <c r="AE418" i="75" s="1"/>
  <c r="AD415" i="75"/>
  <c r="AD418" i="75" s="1"/>
  <c r="AC415" i="75"/>
  <c r="AC418" i="75" s="1"/>
  <c r="AB415" i="75"/>
  <c r="AB418" i="75" s="1"/>
  <c r="AA415" i="75"/>
  <c r="Z415" i="75"/>
  <c r="Z418" i="75" s="1"/>
  <c r="Y415" i="75"/>
  <c r="X415" i="75"/>
  <c r="X418" i="75" s="1"/>
  <c r="W415" i="75"/>
  <c r="W418" i="75" s="1"/>
  <c r="V415" i="75"/>
  <c r="V418" i="75" s="1"/>
  <c r="U415" i="75"/>
  <c r="U418" i="75" s="1"/>
  <c r="U426" i="75" s="1"/>
  <c r="T415" i="75"/>
  <c r="T418" i="75" s="1"/>
  <c r="S415" i="75"/>
  <c r="S418" i="75" s="1"/>
  <c r="R415" i="75"/>
  <c r="R418" i="75" s="1"/>
  <c r="Q415" i="75"/>
  <c r="Q418" i="75" s="1"/>
  <c r="P415" i="75"/>
  <c r="P418" i="75" s="1"/>
  <c r="O415" i="75"/>
  <c r="O418" i="75" s="1"/>
  <c r="N415" i="75"/>
  <c r="N418" i="75" s="1"/>
  <c r="M415" i="75"/>
  <c r="M418" i="75" s="1"/>
  <c r="L415" i="75"/>
  <c r="L418" i="75" s="1"/>
  <c r="K415" i="75"/>
  <c r="K418" i="75" s="1"/>
  <c r="J415" i="75"/>
  <c r="J418" i="75" s="1"/>
  <c r="I415" i="75"/>
  <c r="I418" i="75" s="1"/>
  <c r="H415" i="75"/>
  <c r="G415" i="75"/>
  <c r="G418" i="75" s="1"/>
  <c r="F415" i="75"/>
  <c r="E414" i="75"/>
  <c r="D414" i="75"/>
  <c r="C414" i="75"/>
  <c r="E413" i="75"/>
  <c r="D413" i="75"/>
  <c r="C413" i="75"/>
  <c r="E412" i="75"/>
  <c r="D412" i="75"/>
  <c r="C412" i="75"/>
  <c r="E411" i="75"/>
  <c r="D411" i="75"/>
  <c r="C411" i="75"/>
  <c r="E403" i="75"/>
  <c r="E400" i="75"/>
  <c r="D400" i="75"/>
  <c r="C400" i="75"/>
  <c r="E399" i="75"/>
  <c r="D399" i="75"/>
  <c r="C399" i="75"/>
  <c r="AO398" i="75"/>
  <c r="AO401" i="75" s="1"/>
  <c r="AN398" i="75"/>
  <c r="AN401" i="75" s="1"/>
  <c r="AM398" i="75"/>
  <c r="AM401" i="75" s="1"/>
  <c r="AL398" i="75"/>
  <c r="AL401" i="75" s="1"/>
  <c r="AK398" i="75"/>
  <c r="AK401" i="75" s="1"/>
  <c r="AJ398" i="75"/>
  <c r="AI398" i="75"/>
  <c r="AI401" i="75" s="1"/>
  <c r="AH398" i="75"/>
  <c r="AH401" i="75" s="1"/>
  <c r="AG398" i="75"/>
  <c r="AG401" i="75" s="1"/>
  <c r="AF398" i="75"/>
  <c r="AF401" i="75" s="1"/>
  <c r="AE398" i="75"/>
  <c r="AE401" i="75" s="1"/>
  <c r="AD398" i="75"/>
  <c r="AC398" i="75"/>
  <c r="AC401" i="75" s="1"/>
  <c r="AB398" i="75"/>
  <c r="AB401" i="75" s="1"/>
  <c r="AA398" i="75"/>
  <c r="AA401" i="75" s="1"/>
  <c r="Z398" i="75"/>
  <c r="Z401" i="75" s="1"/>
  <c r="Y398" i="75"/>
  <c r="Y401" i="75" s="1"/>
  <c r="X398" i="75"/>
  <c r="W398" i="75"/>
  <c r="W401" i="75" s="1"/>
  <c r="V398" i="75"/>
  <c r="V401" i="75" s="1"/>
  <c r="U398" i="75"/>
  <c r="U401" i="75" s="1"/>
  <c r="T398" i="75"/>
  <c r="T401" i="75" s="1"/>
  <c r="S398" i="75"/>
  <c r="S401" i="75" s="1"/>
  <c r="R398" i="75"/>
  <c r="Q398" i="75"/>
  <c r="Q401" i="75" s="1"/>
  <c r="P398" i="75"/>
  <c r="O398" i="75"/>
  <c r="O401" i="75" s="1"/>
  <c r="N398" i="75"/>
  <c r="N401" i="75" s="1"/>
  <c r="M398" i="75"/>
  <c r="M401" i="75" s="1"/>
  <c r="L398" i="75"/>
  <c r="K398" i="75"/>
  <c r="K401" i="75" s="1"/>
  <c r="J398" i="75"/>
  <c r="J401" i="75" s="1"/>
  <c r="I398" i="75"/>
  <c r="I401" i="75" s="1"/>
  <c r="H398" i="75"/>
  <c r="G398" i="75"/>
  <c r="G401" i="75" s="1"/>
  <c r="F398" i="75"/>
  <c r="E397" i="75"/>
  <c r="D397" i="75"/>
  <c r="C397" i="75"/>
  <c r="E396" i="75"/>
  <c r="D396" i="75"/>
  <c r="C396" i="75"/>
  <c r="E395" i="75"/>
  <c r="D395" i="75"/>
  <c r="C395" i="75"/>
  <c r="E393" i="75"/>
  <c r="D393" i="75"/>
  <c r="C393" i="75"/>
  <c r="AO392" i="75"/>
  <c r="AO394" i="75" s="1"/>
  <c r="AN392" i="75"/>
  <c r="AN394" i="75" s="1"/>
  <c r="AN402" i="75" s="1"/>
  <c r="AM392" i="75"/>
  <c r="AM394" i="75" s="1"/>
  <c r="AM402" i="75" s="1"/>
  <c r="AL392" i="75"/>
  <c r="AL394" i="75" s="1"/>
  <c r="AK392" i="75"/>
  <c r="AK394" i="75" s="1"/>
  <c r="AJ392" i="75"/>
  <c r="AJ394" i="75" s="1"/>
  <c r="AI392" i="75"/>
  <c r="AI394" i="75" s="1"/>
  <c r="AI402" i="75" s="1"/>
  <c r="AI404" i="75" s="1"/>
  <c r="AH392" i="75"/>
  <c r="AH394" i="75" s="1"/>
  <c r="AG392" i="75"/>
  <c r="AG394" i="75" s="1"/>
  <c r="AF392" i="75"/>
  <c r="AF394" i="75" s="1"/>
  <c r="AF402" i="75" s="1"/>
  <c r="AF404" i="75" s="1"/>
  <c r="AE392" i="75"/>
  <c r="AE394" i="75" s="1"/>
  <c r="AE402" i="75" s="1"/>
  <c r="AD392" i="75"/>
  <c r="AD394" i="75" s="1"/>
  <c r="AC392" i="75"/>
  <c r="AC394" i="75" s="1"/>
  <c r="AB392" i="75"/>
  <c r="AB394" i="75" s="1"/>
  <c r="AB402" i="75" s="1"/>
  <c r="AA392" i="75"/>
  <c r="AA394" i="75" s="1"/>
  <c r="AA402" i="75" s="1"/>
  <c r="Z392" i="75"/>
  <c r="Z394" i="75" s="1"/>
  <c r="Y392" i="75"/>
  <c r="Y394" i="75" s="1"/>
  <c r="X392" i="75"/>
  <c r="X394" i="75" s="1"/>
  <c r="W392" i="75"/>
  <c r="W394" i="75" s="1"/>
  <c r="W402" i="75" s="1"/>
  <c r="W404" i="75" s="1"/>
  <c r="V392" i="75"/>
  <c r="V394" i="75" s="1"/>
  <c r="U392" i="75"/>
  <c r="U394" i="75" s="1"/>
  <c r="T392" i="75"/>
  <c r="T394" i="75" s="1"/>
  <c r="T402" i="75" s="1"/>
  <c r="T404" i="75" s="1"/>
  <c r="S392" i="75"/>
  <c r="S394" i="75" s="1"/>
  <c r="S402" i="75" s="1"/>
  <c r="R392" i="75"/>
  <c r="R394" i="75" s="1"/>
  <c r="Q392" i="75"/>
  <c r="Q394" i="75" s="1"/>
  <c r="P392" i="75"/>
  <c r="P394" i="75" s="1"/>
  <c r="O392" i="75"/>
  <c r="O394" i="75" s="1"/>
  <c r="O402" i="75" s="1"/>
  <c r="N392" i="75"/>
  <c r="M392" i="75"/>
  <c r="M394" i="75" s="1"/>
  <c r="L392" i="75"/>
  <c r="L394" i="75" s="1"/>
  <c r="K392" i="75"/>
  <c r="K394" i="75" s="1"/>
  <c r="K402" i="75" s="1"/>
  <c r="K404" i="75" s="1"/>
  <c r="J392" i="75"/>
  <c r="J394" i="75" s="1"/>
  <c r="I392" i="75"/>
  <c r="I394" i="75" s="1"/>
  <c r="H392" i="75"/>
  <c r="H394" i="75" s="1"/>
  <c r="G392" i="75"/>
  <c r="G394" i="75" s="1"/>
  <c r="G402" i="75" s="1"/>
  <c r="F392" i="75"/>
  <c r="E391" i="75"/>
  <c r="D391" i="75"/>
  <c r="C391" i="75"/>
  <c r="E390" i="75"/>
  <c r="D390" i="75"/>
  <c r="C390" i="75"/>
  <c r="E389" i="75"/>
  <c r="D389" i="75"/>
  <c r="C389" i="75"/>
  <c r="E388" i="75"/>
  <c r="D388" i="75"/>
  <c r="C388" i="75"/>
  <c r="E387" i="75"/>
  <c r="D387" i="75"/>
  <c r="C387" i="75"/>
  <c r="E386" i="75"/>
  <c r="D386" i="75"/>
  <c r="C386" i="75"/>
  <c r="E385" i="75"/>
  <c r="D385" i="75"/>
  <c r="C385" i="75"/>
  <c r="E382" i="75"/>
  <c r="Z380" i="75"/>
  <c r="E379" i="75"/>
  <c r="D379" i="75"/>
  <c r="C379" i="75"/>
  <c r="AM378" i="75"/>
  <c r="AG378" i="75"/>
  <c r="AA378" i="75"/>
  <c r="U378" i="75"/>
  <c r="O378" i="75"/>
  <c r="I378" i="75"/>
  <c r="E378" i="75"/>
  <c r="D378" i="75"/>
  <c r="AO377" i="75"/>
  <c r="AO380" i="75" s="1"/>
  <c r="AN377" i="75"/>
  <c r="AN380" i="75" s="1"/>
  <c r="AM377" i="75"/>
  <c r="AM380" i="75" s="1"/>
  <c r="AL377" i="75"/>
  <c r="AL380" i="75" s="1"/>
  <c r="AK377" i="75"/>
  <c r="AK380" i="75" s="1"/>
  <c r="AJ377" i="75"/>
  <c r="AI377" i="75"/>
  <c r="AI380" i="75" s="1"/>
  <c r="AH377" i="75"/>
  <c r="AH380" i="75" s="1"/>
  <c r="AG377" i="75"/>
  <c r="AG380" i="75" s="1"/>
  <c r="AF377" i="75"/>
  <c r="AF380" i="75" s="1"/>
  <c r="AE377" i="75"/>
  <c r="AE380" i="75" s="1"/>
  <c r="AD377" i="75"/>
  <c r="AC377" i="75"/>
  <c r="AC380" i="75" s="1"/>
  <c r="AB377" i="75"/>
  <c r="AB380" i="75" s="1"/>
  <c r="AA377" i="75"/>
  <c r="Z377" i="75"/>
  <c r="Y377" i="75"/>
  <c r="Y380" i="75" s="1"/>
  <c r="X377" i="75"/>
  <c r="W377" i="75"/>
  <c r="W380" i="75" s="1"/>
  <c r="V377" i="75"/>
  <c r="V380" i="75" s="1"/>
  <c r="U377" i="75"/>
  <c r="U380" i="75" s="1"/>
  <c r="T377" i="75"/>
  <c r="T380" i="75" s="1"/>
  <c r="S377" i="75"/>
  <c r="S380" i="75" s="1"/>
  <c r="R377" i="75"/>
  <c r="Q377" i="75"/>
  <c r="Q380" i="75" s="1"/>
  <c r="P377" i="75"/>
  <c r="P380" i="75" s="1"/>
  <c r="O377" i="75"/>
  <c r="O380" i="75" s="1"/>
  <c r="N377" i="75"/>
  <c r="N380" i="75" s="1"/>
  <c r="M377" i="75"/>
  <c r="M380" i="75" s="1"/>
  <c r="L377" i="75"/>
  <c r="K377" i="75"/>
  <c r="K380" i="75" s="1"/>
  <c r="J377" i="75"/>
  <c r="J380" i="75" s="1"/>
  <c r="I377" i="75"/>
  <c r="I380" i="75" s="1"/>
  <c r="H377" i="75"/>
  <c r="G377" i="75"/>
  <c r="F377" i="75"/>
  <c r="E376" i="75"/>
  <c r="D376" i="75"/>
  <c r="C376" i="75"/>
  <c r="E375" i="75"/>
  <c r="D375" i="75"/>
  <c r="C375" i="75"/>
  <c r="E374" i="75"/>
  <c r="D374" i="75"/>
  <c r="C374" i="75"/>
  <c r="O373" i="75"/>
  <c r="O381" i="75" s="1"/>
  <c r="E372" i="75"/>
  <c r="D372" i="75"/>
  <c r="C372" i="75"/>
  <c r="E371" i="75"/>
  <c r="D371" i="75"/>
  <c r="C371" i="75"/>
  <c r="AO370" i="75"/>
  <c r="AO373" i="75" s="1"/>
  <c r="AN370" i="75"/>
  <c r="AN373" i="75" s="1"/>
  <c r="AM370" i="75"/>
  <c r="AM373" i="75" s="1"/>
  <c r="AL370" i="75"/>
  <c r="AL373" i="75" s="1"/>
  <c r="AK370" i="75"/>
  <c r="AK373" i="75" s="1"/>
  <c r="AJ370" i="75"/>
  <c r="AJ373" i="75" s="1"/>
  <c r="AI370" i="75"/>
  <c r="AI373" i="75" s="1"/>
  <c r="AH370" i="75"/>
  <c r="AH373" i="75" s="1"/>
  <c r="AG370" i="75"/>
  <c r="AG373" i="75" s="1"/>
  <c r="AG381" i="75" s="1"/>
  <c r="AF370" i="75"/>
  <c r="AF373" i="75" s="1"/>
  <c r="AE370" i="75"/>
  <c r="AE373" i="75" s="1"/>
  <c r="AD370" i="75"/>
  <c r="AD373" i="75" s="1"/>
  <c r="AC370" i="75"/>
  <c r="AC373" i="75" s="1"/>
  <c r="AB370" i="75"/>
  <c r="AB373" i="75" s="1"/>
  <c r="AA370" i="75"/>
  <c r="AA373" i="75" s="1"/>
  <c r="Z370" i="75"/>
  <c r="Z373" i="75" s="1"/>
  <c r="Y370" i="75"/>
  <c r="Y373" i="75" s="1"/>
  <c r="X370" i="75"/>
  <c r="X373" i="75" s="1"/>
  <c r="W370" i="75"/>
  <c r="W373" i="75" s="1"/>
  <c r="V370" i="75"/>
  <c r="V373" i="75" s="1"/>
  <c r="U370" i="75"/>
  <c r="U373" i="75" s="1"/>
  <c r="U381" i="75" s="1"/>
  <c r="T370" i="75"/>
  <c r="T373" i="75" s="1"/>
  <c r="S370" i="75"/>
  <c r="S373" i="75" s="1"/>
  <c r="R370" i="75"/>
  <c r="R373" i="75" s="1"/>
  <c r="Q370" i="75"/>
  <c r="Q373" i="75" s="1"/>
  <c r="P370" i="75"/>
  <c r="P373" i="75" s="1"/>
  <c r="O370" i="75"/>
  <c r="N370" i="75"/>
  <c r="N373" i="75" s="1"/>
  <c r="M370" i="75"/>
  <c r="M373" i="75" s="1"/>
  <c r="L370" i="75"/>
  <c r="L373" i="75" s="1"/>
  <c r="K370" i="75"/>
  <c r="K373" i="75" s="1"/>
  <c r="J370" i="75"/>
  <c r="J373" i="75" s="1"/>
  <c r="I370" i="75"/>
  <c r="H370" i="75"/>
  <c r="H373" i="75" s="1"/>
  <c r="G370" i="75"/>
  <c r="G373" i="75" s="1"/>
  <c r="F370" i="75"/>
  <c r="F373" i="75" s="1"/>
  <c r="E370" i="75"/>
  <c r="E369" i="75"/>
  <c r="D369" i="75"/>
  <c r="C369" i="75"/>
  <c r="E368" i="75"/>
  <c r="D368" i="75"/>
  <c r="C368" i="75"/>
  <c r="E367" i="75"/>
  <c r="D367" i="75"/>
  <c r="C367" i="75"/>
  <c r="E366" i="75"/>
  <c r="D366" i="75"/>
  <c r="C366" i="75"/>
  <c r="E358" i="75"/>
  <c r="Y356" i="75"/>
  <c r="E355" i="75"/>
  <c r="D355" i="75"/>
  <c r="C355" i="75"/>
  <c r="E354" i="75"/>
  <c r="D354" i="75"/>
  <c r="C354" i="75"/>
  <c r="AO353" i="75"/>
  <c r="AO356" i="75" s="1"/>
  <c r="AN353" i="75"/>
  <c r="AN356" i="75" s="1"/>
  <c r="AM353" i="75"/>
  <c r="AL353" i="75"/>
  <c r="AL356" i="75" s="1"/>
  <c r="AK353" i="75"/>
  <c r="AK356" i="75" s="1"/>
  <c r="AJ353" i="75"/>
  <c r="AJ356" i="75" s="1"/>
  <c r="AI353" i="75"/>
  <c r="AI356" i="75" s="1"/>
  <c r="AH353" i="75"/>
  <c r="AH356" i="75" s="1"/>
  <c r="AG353" i="75"/>
  <c r="AG356" i="75" s="1"/>
  <c r="AF353" i="75"/>
  <c r="AF356" i="75" s="1"/>
  <c r="AE353" i="75"/>
  <c r="AE356" i="75" s="1"/>
  <c r="AD353" i="75"/>
  <c r="AC353" i="75"/>
  <c r="AC356" i="75" s="1"/>
  <c r="AB353" i="75"/>
  <c r="AB356" i="75" s="1"/>
  <c r="AA353" i="75"/>
  <c r="Z353" i="75"/>
  <c r="Z356" i="75" s="1"/>
  <c r="Y353" i="75"/>
  <c r="X353" i="75"/>
  <c r="X356" i="75" s="1"/>
  <c r="W353" i="75"/>
  <c r="W356" i="75" s="1"/>
  <c r="V353" i="75"/>
  <c r="V356" i="75" s="1"/>
  <c r="U353" i="75"/>
  <c r="T353" i="75"/>
  <c r="T356" i="75" s="1"/>
  <c r="S353" i="75"/>
  <c r="S356" i="75" s="1"/>
  <c r="R353" i="75"/>
  <c r="Q353" i="75"/>
  <c r="Q356" i="75" s="1"/>
  <c r="P353" i="75"/>
  <c r="P356" i="75" s="1"/>
  <c r="O353" i="75"/>
  <c r="N353" i="75"/>
  <c r="N356" i="75" s="1"/>
  <c r="M353" i="75"/>
  <c r="M356" i="75" s="1"/>
  <c r="L353" i="75"/>
  <c r="L356" i="75" s="1"/>
  <c r="K353" i="75"/>
  <c r="K356" i="75" s="1"/>
  <c r="J353" i="75"/>
  <c r="J356" i="75" s="1"/>
  <c r="I353" i="75"/>
  <c r="H353" i="75"/>
  <c r="H356" i="75" s="1"/>
  <c r="G353" i="75"/>
  <c r="F353" i="75"/>
  <c r="E352" i="75"/>
  <c r="D352" i="75"/>
  <c r="C352" i="75"/>
  <c r="E351" i="75"/>
  <c r="D351" i="75"/>
  <c r="C351" i="75"/>
  <c r="E350" i="75"/>
  <c r="D350" i="75"/>
  <c r="C350" i="75"/>
  <c r="F349" i="75"/>
  <c r="E348" i="75"/>
  <c r="D348" i="75"/>
  <c r="C348" i="75"/>
  <c r="AO347" i="75"/>
  <c r="AO349" i="75" s="1"/>
  <c r="AO357" i="75" s="1"/>
  <c r="AO359" i="75" s="1"/>
  <c r="AN347" i="75"/>
  <c r="AN349" i="75" s="1"/>
  <c r="AM347" i="75"/>
  <c r="AM349" i="75" s="1"/>
  <c r="AL347" i="75"/>
  <c r="AL349" i="75" s="1"/>
  <c r="AK347" i="75"/>
  <c r="AK349" i="75" s="1"/>
  <c r="AK357" i="75" s="1"/>
  <c r="AJ347" i="75"/>
  <c r="AJ349" i="75" s="1"/>
  <c r="AI347" i="75"/>
  <c r="AI349" i="75" s="1"/>
  <c r="AI357" i="75" s="1"/>
  <c r="AI359" i="75" s="1"/>
  <c r="AH347" i="75"/>
  <c r="AH349" i="75" s="1"/>
  <c r="AG347" i="75"/>
  <c r="AG349" i="75" s="1"/>
  <c r="AG357" i="75" s="1"/>
  <c r="AF347" i="75"/>
  <c r="AF349" i="75" s="1"/>
  <c r="AE347" i="75"/>
  <c r="AE349" i="75" s="1"/>
  <c r="AE357" i="75" s="1"/>
  <c r="AD347" i="75"/>
  <c r="AD349" i="75" s="1"/>
  <c r="AC347" i="75"/>
  <c r="AC349" i="75" s="1"/>
  <c r="AC357" i="75" s="1"/>
  <c r="AC359" i="75" s="1"/>
  <c r="AB347" i="75"/>
  <c r="AB349" i="75" s="1"/>
  <c r="AA347" i="75"/>
  <c r="AA349" i="75" s="1"/>
  <c r="Z347" i="75"/>
  <c r="Z349" i="75" s="1"/>
  <c r="Y347" i="75"/>
  <c r="Y349" i="75" s="1"/>
  <c r="Y357" i="75" s="1"/>
  <c r="X347" i="75"/>
  <c r="X349" i="75" s="1"/>
  <c r="W347" i="75"/>
  <c r="U347" i="75"/>
  <c r="U349" i="75" s="1"/>
  <c r="T347" i="75"/>
  <c r="T349" i="75" s="1"/>
  <c r="R347" i="75"/>
  <c r="R349" i="75" s="1"/>
  <c r="Q347" i="75"/>
  <c r="Q349" i="75" s="1"/>
  <c r="O347" i="75"/>
  <c r="O349" i="75" s="1"/>
  <c r="N347" i="75"/>
  <c r="N349" i="75" s="1"/>
  <c r="L347" i="75"/>
  <c r="L349" i="75" s="1"/>
  <c r="K347" i="75"/>
  <c r="K349" i="75" s="1"/>
  <c r="K357" i="75" s="1"/>
  <c r="I347" i="75"/>
  <c r="I349" i="75" s="1"/>
  <c r="H347" i="75"/>
  <c r="H349" i="75" s="1"/>
  <c r="F347" i="75"/>
  <c r="E346" i="75"/>
  <c r="D346" i="75"/>
  <c r="C346" i="75"/>
  <c r="E345" i="75"/>
  <c r="D345" i="75"/>
  <c r="C345" i="75"/>
  <c r="E344" i="75"/>
  <c r="D344" i="75"/>
  <c r="C344" i="75"/>
  <c r="E343" i="75"/>
  <c r="D343" i="75"/>
  <c r="C343" i="75"/>
  <c r="E342" i="75"/>
  <c r="D342" i="75"/>
  <c r="C342" i="75"/>
  <c r="J341" i="75"/>
  <c r="D341" i="75" s="1"/>
  <c r="G341" i="75"/>
  <c r="E341" i="75"/>
  <c r="C341" i="75"/>
  <c r="V340" i="75"/>
  <c r="V347" i="75" s="1"/>
  <c r="V349" i="75" s="1"/>
  <c r="S340" i="75"/>
  <c r="S347" i="75" s="1"/>
  <c r="S349" i="75" s="1"/>
  <c r="S357" i="75" s="1"/>
  <c r="P340" i="75"/>
  <c r="P347" i="75" s="1"/>
  <c r="P349" i="75" s="1"/>
  <c r="M340" i="75"/>
  <c r="M347" i="75" s="1"/>
  <c r="M349" i="75" s="1"/>
  <c r="J340" i="75"/>
  <c r="G340" i="75"/>
  <c r="E340" i="75"/>
  <c r="C340" i="75"/>
  <c r="E337" i="75"/>
  <c r="P335" i="75"/>
  <c r="E334" i="75"/>
  <c r="D334" i="75"/>
  <c r="C334" i="75"/>
  <c r="AJ333" i="75"/>
  <c r="AG333" i="75"/>
  <c r="X333" i="75"/>
  <c r="L333" i="75"/>
  <c r="E333" i="75"/>
  <c r="D333" i="75"/>
  <c r="AO332" i="75"/>
  <c r="AO335" i="75" s="1"/>
  <c r="AN332" i="75"/>
  <c r="AN335" i="75" s="1"/>
  <c r="AM332" i="75"/>
  <c r="AL332" i="75"/>
  <c r="AL335" i="75" s="1"/>
  <c r="AK332" i="75"/>
  <c r="AK335" i="75" s="1"/>
  <c r="AJ332" i="75"/>
  <c r="AI332" i="75"/>
  <c r="AI335" i="75" s="1"/>
  <c r="AH332" i="75"/>
  <c r="AH335" i="75" s="1"/>
  <c r="AG332" i="75"/>
  <c r="AF332" i="75"/>
  <c r="AF335" i="75" s="1"/>
  <c r="AE332" i="75"/>
  <c r="AE335" i="75" s="1"/>
  <c r="AD332" i="75"/>
  <c r="AC332" i="75"/>
  <c r="AC335" i="75" s="1"/>
  <c r="AB332" i="75"/>
  <c r="AB335" i="75" s="1"/>
  <c r="AB336" i="75" s="1"/>
  <c r="AA332" i="75"/>
  <c r="Z332" i="75"/>
  <c r="Z335" i="75" s="1"/>
  <c r="Y332" i="75"/>
  <c r="Y335" i="75" s="1"/>
  <c r="X332" i="75"/>
  <c r="X335" i="75" s="1"/>
  <c r="W332" i="75"/>
  <c r="W335" i="75" s="1"/>
  <c r="V332" i="75"/>
  <c r="V335" i="75" s="1"/>
  <c r="U332" i="75"/>
  <c r="T332" i="75"/>
  <c r="T335" i="75" s="1"/>
  <c r="S332" i="75"/>
  <c r="S335" i="75" s="1"/>
  <c r="R332" i="75"/>
  <c r="Q332" i="75"/>
  <c r="Q335" i="75" s="1"/>
  <c r="P332" i="75"/>
  <c r="O332" i="75"/>
  <c r="N332" i="75"/>
  <c r="N335" i="75" s="1"/>
  <c r="M332" i="75"/>
  <c r="M335" i="75" s="1"/>
  <c r="L332" i="75"/>
  <c r="K332" i="75"/>
  <c r="J332" i="75"/>
  <c r="J335" i="75" s="1"/>
  <c r="I332" i="75"/>
  <c r="H332" i="75"/>
  <c r="H335" i="75" s="1"/>
  <c r="G332" i="75"/>
  <c r="F332" i="75"/>
  <c r="E331" i="75"/>
  <c r="D331" i="75"/>
  <c r="C331" i="75"/>
  <c r="E330" i="75"/>
  <c r="D330" i="75"/>
  <c r="C330" i="75"/>
  <c r="E329" i="75"/>
  <c r="D329" i="75"/>
  <c r="C329" i="75"/>
  <c r="E327" i="75"/>
  <c r="D327" i="75"/>
  <c r="C327" i="75"/>
  <c r="E326" i="75"/>
  <c r="D326" i="75"/>
  <c r="C326" i="75"/>
  <c r="AO325" i="75"/>
  <c r="AO328" i="75" s="1"/>
  <c r="AN325" i="75"/>
  <c r="AN328" i="75" s="1"/>
  <c r="AM325" i="75"/>
  <c r="AM328" i="75" s="1"/>
  <c r="AL325" i="75"/>
  <c r="AL328" i="75" s="1"/>
  <c r="AK325" i="75"/>
  <c r="AK328" i="75" s="1"/>
  <c r="AJ325" i="75"/>
  <c r="AJ328" i="75" s="1"/>
  <c r="AI325" i="75"/>
  <c r="AI328" i="75" s="1"/>
  <c r="AH325" i="75"/>
  <c r="AH328" i="75" s="1"/>
  <c r="AG325" i="75"/>
  <c r="AG328" i="75" s="1"/>
  <c r="AF325" i="75"/>
  <c r="AF328" i="75" s="1"/>
  <c r="AE325" i="75"/>
  <c r="AE328" i="75" s="1"/>
  <c r="AD325" i="75"/>
  <c r="AD328" i="75" s="1"/>
  <c r="AC325" i="75"/>
  <c r="AC328" i="75" s="1"/>
  <c r="AB325" i="75"/>
  <c r="AB328" i="75" s="1"/>
  <c r="AA325" i="75"/>
  <c r="AA328" i="75" s="1"/>
  <c r="Z325" i="75"/>
  <c r="Z328" i="75" s="1"/>
  <c r="Y325" i="75"/>
  <c r="Y328" i="75" s="1"/>
  <c r="X325" i="75"/>
  <c r="X328" i="75" s="1"/>
  <c r="W325" i="75"/>
  <c r="W328" i="75" s="1"/>
  <c r="V325" i="75"/>
  <c r="V328" i="75" s="1"/>
  <c r="U325" i="75"/>
  <c r="U328" i="75" s="1"/>
  <c r="T325" i="75"/>
  <c r="T328" i="75" s="1"/>
  <c r="S325" i="75"/>
  <c r="S328" i="75" s="1"/>
  <c r="R325" i="75"/>
  <c r="R328" i="75" s="1"/>
  <c r="Q325" i="75"/>
  <c r="Q328" i="75" s="1"/>
  <c r="P325" i="75"/>
  <c r="P328" i="75" s="1"/>
  <c r="O325" i="75"/>
  <c r="O328" i="75" s="1"/>
  <c r="N325" i="75"/>
  <c r="N328" i="75" s="1"/>
  <c r="M325" i="75"/>
  <c r="M328" i="75" s="1"/>
  <c r="M336" i="75" s="1"/>
  <c r="L325" i="75"/>
  <c r="L328" i="75" s="1"/>
  <c r="K325" i="75"/>
  <c r="K328" i="75" s="1"/>
  <c r="J325" i="75"/>
  <c r="J328" i="75" s="1"/>
  <c r="I325" i="75"/>
  <c r="I328" i="75" s="1"/>
  <c r="H325" i="75"/>
  <c r="G325" i="75"/>
  <c r="F325" i="75"/>
  <c r="F328" i="75" s="1"/>
  <c r="E324" i="75"/>
  <c r="D324" i="75"/>
  <c r="C324" i="75"/>
  <c r="E323" i="75"/>
  <c r="D323" i="75"/>
  <c r="C323" i="75"/>
  <c r="E322" i="75"/>
  <c r="D322" i="75"/>
  <c r="C322" i="75"/>
  <c r="E321" i="75"/>
  <c r="D321" i="75"/>
  <c r="C321" i="75"/>
  <c r="E313" i="75"/>
  <c r="E310" i="75"/>
  <c r="D310" i="75"/>
  <c r="C310" i="75"/>
  <c r="E309" i="75"/>
  <c r="D309" i="75"/>
  <c r="C309" i="75"/>
  <c r="AO308" i="75"/>
  <c r="AO311" i="75" s="1"/>
  <c r="AN308" i="75"/>
  <c r="AN311" i="75" s="1"/>
  <c r="AM308" i="75"/>
  <c r="AM311" i="75" s="1"/>
  <c r="AL308" i="75"/>
  <c r="AL311" i="75" s="1"/>
  <c r="AK308" i="75"/>
  <c r="AK311" i="75" s="1"/>
  <c r="AJ308" i="75"/>
  <c r="AI308" i="75"/>
  <c r="AI311" i="75" s="1"/>
  <c r="AH308" i="75"/>
  <c r="AH311" i="75" s="1"/>
  <c r="AG308" i="75"/>
  <c r="AG311" i="75" s="1"/>
  <c r="AF308" i="75"/>
  <c r="AF311" i="75" s="1"/>
  <c r="AE308" i="75"/>
  <c r="AE311" i="75" s="1"/>
  <c r="AD308" i="75"/>
  <c r="AC308" i="75"/>
  <c r="AC311" i="75" s="1"/>
  <c r="AB308" i="75"/>
  <c r="AB311" i="75" s="1"/>
  <c r="Z308" i="75"/>
  <c r="Z311" i="75" s="1"/>
  <c r="Y308" i="75"/>
  <c r="Y311" i="75" s="1"/>
  <c r="X308" i="75"/>
  <c r="X311" i="75" s="1"/>
  <c r="W308" i="75"/>
  <c r="W311" i="75" s="1"/>
  <c r="V308" i="75"/>
  <c r="V311" i="75" s="1"/>
  <c r="U308" i="75"/>
  <c r="U288" i="75" s="1"/>
  <c r="T308" i="75"/>
  <c r="T311" i="75" s="1"/>
  <c r="S308" i="75"/>
  <c r="S311" i="75" s="1"/>
  <c r="Q308" i="75"/>
  <c r="Q311" i="75" s="1"/>
  <c r="P308" i="75"/>
  <c r="P311" i="75" s="1"/>
  <c r="O308" i="75"/>
  <c r="O311" i="75" s="1"/>
  <c r="N308" i="75"/>
  <c r="N311" i="75" s="1"/>
  <c r="M308" i="75"/>
  <c r="M311" i="75" s="1"/>
  <c r="K308" i="75"/>
  <c r="J308" i="75"/>
  <c r="J311" i="75" s="1"/>
  <c r="I308" i="75"/>
  <c r="H308" i="75"/>
  <c r="H311" i="75" s="1"/>
  <c r="G308" i="75"/>
  <c r="G311" i="75" s="1"/>
  <c r="F308" i="75"/>
  <c r="E307" i="75"/>
  <c r="D307" i="75"/>
  <c r="C307" i="75"/>
  <c r="E306" i="75"/>
  <c r="D306" i="75"/>
  <c r="C306" i="75"/>
  <c r="AA305" i="75"/>
  <c r="AA308" i="75" s="1"/>
  <c r="AA288" i="75" s="1"/>
  <c r="R305" i="75"/>
  <c r="R308" i="75" s="1"/>
  <c r="L305" i="75"/>
  <c r="E305" i="75"/>
  <c r="D305" i="75"/>
  <c r="H304" i="75"/>
  <c r="E303" i="75"/>
  <c r="D303" i="75"/>
  <c r="C303" i="75"/>
  <c r="AO302" i="75"/>
  <c r="AO304" i="75" s="1"/>
  <c r="AN302" i="75"/>
  <c r="AN304" i="75" s="1"/>
  <c r="AM302" i="75"/>
  <c r="AM304" i="75" s="1"/>
  <c r="AM312" i="75" s="1"/>
  <c r="AL302" i="75"/>
  <c r="AL304" i="75" s="1"/>
  <c r="AL312" i="75" s="1"/>
  <c r="AL314" i="75" s="1"/>
  <c r="AK302" i="75"/>
  <c r="AK304" i="75" s="1"/>
  <c r="AJ302" i="75"/>
  <c r="AJ304" i="75" s="1"/>
  <c r="AI302" i="75"/>
  <c r="AI304" i="75" s="1"/>
  <c r="AH302" i="75"/>
  <c r="AH304" i="75" s="1"/>
  <c r="AG302" i="75"/>
  <c r="AG304" i="75" s="1"/>
  <c r="AF302" i="75"/>
  <c r="AF304" i="75" s="1"/>
  <c r="AE302" i="75"/>
  <c r="AE304" i="75" s="1"/>
  <c r="AE312" i="75" s="1"/>
  <c r="AD302" i="75"/>
  <c r="AD304" i="75" s="1"/>
  <c r="AC302" i="75"/>
  <c r="AC304" i="75" s="1"/>
  <c r="AB302" i="75"/>
  <c r="AB304" i="75" s="1"/>
  <c r="AB312" i="75" s="1"/>
  <c r="AA302" i="75"/>
  <c r="AA304" i="75" s="1"/>
  <c r="Z302" i="75"/>
  <c r="Z304" i="75" s="1"/>
  <c r="Z312" i="75" s="1"/>
  <c r="Z314" i="75" s="1"/>
  <c r="Y302" i="75"/>
  <c r="Y304" i="75" s="1"/>
  <c r="X302" i="75"/>
  <c r="X304" i="75" s="1"/>
  <c r="W302" i="75"/>
  <c r="W304" i="75" s="1"/>
  <c r="W312" i="75" s="1"/>
  <c r="W314" i="75" s="1"/>
  <c r="U302" i="75"/>
  <c r="U304" i="75" s="1"/>
  <c r="T302" i="75"/>
  <c r="T304" i="75" s="1"/>
  <c r="T312" i="75" s="1"/>
  <c r="T314" i="75" s="1"/>
  <c r="R302" i="75"/>
  <c r="R304" i="75" s="1"/>
  <c r="Q302" i="75"/>
  <c r="Q304" i="75" s="1"/>
  <c r="Q312" i="75" s="1"/>
  <c r="Q314" i="75" s="1"/>
  <c r="O302" i="75"/>
  <c r="O304" i="75" s="1"/>
  <c r="N302" i="75"/>
  <c r="N304" i="75" s="1"/>
  <c r="N312" i="75" s="1"/>
  <c r="N314" i="75" s="1"/>
  <c r="L302" i="75"/>
  <c r="L304" i="75" s="1"/>
  <c r="K302" i="75"/>
  <c r="K304" i="75" s="1"/>
  <c r="H302" i="75"/>
  <c r="E301" i="75"/>
  <c r="D301" i="75"/>
  <c r="C301" i="75"/>
  <c r="E300" i="75"/>
  <c r="D300" i="75"/>
  <c r="C300" i="75"/>
  <c r="E299" i="75"/>
  <c r="D299" i="75"/>
  <c r="C299" i="75"/>
  <c r="E298" i="75"/>
  <c r="D298" i="75"/>
  <c r="C298" i="75"/>
  <c r="I297" i="75"/>
  <c r="E297" i="75"/>
  <c r="D297" i="75"/>
  <c r="F296" i="75"/>
  <c r="C296" i="75" s="1"/>
  <c r="E296" i="75"/>
  <c r="D296" i="75"/>
  <c r="V295" i="75"/>
  <c r="V302" i="75" s="1"/>
  <c r="V304" i="75" s="1"/>
  <c r="V312" i="75" s="1"/>
  <c r="S295" i="75"/>
  <c r="S302" i="75" s="1"/>
  <c r="S304" i="75" s="1"/>
  <c r="P295" i="75"/>
  <c r="M295" i="75"/>
  <c r="M302" i="75" s="1"/>
  <c r="M304" i="75" s="1"/>
  <c r="J295" i="75"/>
  <c r="J302" i="75" s="1"/>
  <c r="J304" i="75" s="1"/>
  <c r="J312" i="75" s="1"/>
  <c r="G295" i="75"/>
  <c r="G302" i="75" s="1"/>
  <c r="G304" i="75" s="1"/>
  <c r="F295" i="75"/>
  <c r="E295" i="75"/>
  <c r="E292" i="75"/>
  <c r="AH290" i="75"/>
  <c r="E289" i="75"/>
  <c r="D289" i="75"/>
  <c r="C289" i="75"/>
  <c r="AM288" i="75"/>
  <c r="X288" i="75"/>
  <c r="O288" i="75"/>
  <c r="F288" i="75"/>
  <c r="E288" i="75"/>
  <c r="D288" i="75"/>
  <c r="AO287" i="75"/>
  <c r="AO290" i="75" s="1"/>
  <c r="AN287" i="75"/>
  <c r="AN290" i="75" s="1"/>
  <c r="AM287" i="75"/>
  <c r="AL287" i="75"/>
  <c r="AL290" i="75" s="1"/>
  <c r="AK287" i="75"/>
  <c r="AK290" i="75" s="1"/>
  <c r="AJ287" i="75"/>
  <c r="AI287" i="75"/>
  <c r="AI290" i="75" s="1"/>
  <c r="AH287" i="75"/>
  <c r="AG287" i="75"/>
  <c r="AF287" i="75"/>
  <c r="AF290" i="75" s="1"/>
  <c r="AE287" i="75"/>
  <c r="AE290" i="75" s="1"/>
  <c r="AD287" i="75"/>
  <c r="AC287" i="75"/>
  <c r="AC290" i="75" s="1"/>
  <c r="AB287" i="75"/>
  <c r="AB290" i="75" s="1"/>
  <c r="AA287" i="75"/>
  <c r="Z287" i="75"/>
  <c r="Z290" i="75" s="1"/>
  <c r="Y287" i="75"/>
  <c r="Y290" i="75" s="1"/>
  <c r="X287" i="75"/>
  <c r="W287" i="75"/>
  <c r="W290" i="75" s="1"/>
  <c r="V287" i="75"/>
  <c r="V290" i="75" s="1"/>
  <c r="U287" i="75"/>
  <c r="T287" i="75"/>
  <c r="T290" i="75" s="1"/>
  <c r="S287" i="75"/>
  <c r="S290" i="75" s="1"/>
  <c r="R287" i="75"/>
  <c r="Q287" i="75"/>
  <c r="Q290" i="75" s="1"/>
  <c r="P287" i="75"/>
  <c r="P290" i="75" s="1"/>
  <c r="O287" i="75"/>
  <c r="O290" i="75" s="1"/>
  <c r="N287" i="75"/>
  <c r="N290" i="75" s="1"/>
  <c r="M287" i="75"/>
  <c r="M290" i="75" s="1"/>
  <c r="L287" i="75"/>
  <c r="K287" i="75"/>
  <c r="J287" i="75"/>
  <c r="J290" i="75" s="1"/>
  <c r="I287" i="75"/>
  <c r="H287" i="75"/>
  <c r="H290" i="75" s="1"/>
  <c r="G287" i="75"/>
  <c r="F287" i="75"/>
  <c r="E286" i="75"/>
  <c r="D286" i="75"/>
  <c r="C286" i="75"/>
  <c r="E285" i="75"/>
  <c r="D285" i="75"/>
  <c r="C285" i="75"/>
  <c r="E284" i="75"/>
  <c r="D284" i="75"/>
  <c r="C284" i="75"/>
  <c r="AI283" i="75"/>
  <c r="L283" i="75"/>
  <c r="E282" i="75"/>
  <c r="D282" i="75"/>
  <c r="C282" i="75"/>
  <c r="E281" i="75"/>
  <c r="D281" i="75"/>
  <c r="C281" i="75"/>
  <c r="AO280" i="75"/>
  <c r="AO283" i="75" s="1"/>
  <c r="AN280" i="75"/>
  <c r="AN283" i="75" s="1"/>
  <c r="AM280" i="75"/>
  <c r="AM283" i="75" s="1"/>
  <c r="AL280" i="75"/>
  <c r="AL283" i="75" s="1"/>
  <c r="AK280" i="75"/>
  <c r="AK283" i="75" s="1"/>
  <c r="AJ280" i="75"/>
  <c r="AJ283" i="75" s="1"/>
  <c r="AI280" i="75"/>
  <c r="AH280" i="75"/>
  <c r="AH283" i="75" s="1"/>
  <c r="AG280" i="75"/>
  <c r="AG283" i="75" s="1"/>
  <c r="AF280" i="75"/>
  <c r="AF283" i="75" s="1"/>
  <c r="AE280" i="75"/>
  <c r="AE283" i="75" s="1"/>
  <c r="AC280" i="75"/>
  <c r="AC283" i="75" s="1"/>
  <c r="AB280" i="75"/>
  <c r="AB283" i="75" s="1"/>
  <c r="AA280" i="75"/>
  <c r="AA283" i="75" s="1"/>
  <c r="Z280" i="75"/>
  <c r="Z283" i="75" s="1"/>
  <c r="Y280" i="75"/>
  <c r="Y283" i="75" s="1"/>
  <c r="Y291" i="75" s="1"/>
  <c r="X280" i="75"/>
  <c r="X283" i="75" s="1"/>
  <c r="W280" i="75"/>
  <c r="W283" i="75" s="1"/>
  <c r="V280" i="75"/>
  <c r="V283" i="75" s="1"/>
  <c r="U280" i="75"/>
  <c r="U283" i="75" s="1"/>
  <c r="T280" i="75"/>
  <c r="T283" i="75" s="1"/>
  <c r="S280" i="75"/>
  <c r="S283" i="75" s="1"/>
  <c r="S291" i="75" s="1"/>
  <c r="Q280" i="75"/>
  <c r="Q283" i="75" s="1"/>
  <c r="P280" i="75"/>
  <c r="P283" i="75" s="1"/>
  <c r="O280" i="75"/>
  <c r="O283" i="75" s="1"/>
  <c r="O291" i="75" s="1"/>
  <c r="N280" i="75"/>
  <c r="N283" i="75" s="1"/>
  <c r="M280" i="75"/>
  <c r="M283" i="75" s="1"/>
  <c r="L280" i="75"/>
  <c r="K280" i="75"/>
  <c r="K283" i="75" s="1"/>
  <c r="J280" i="75"/>
  <c r="I280" i="75"/>
  <c r="I283" i="75" s="1"/>
  <c r="H280" i="75"/>
  <c r="H283" i="75" s="1"/>
  <c r="G280" i="75"/>
  <c r="G283" i="75" s="1"/>
  <c r="F280" i="75"/>
  <c r="E279" i="75"/>
  <c r="D279" i="75"/>
  <c r="C279" i="75"/>
  <c r="AD278" i="75"/>
  <c r="AD280" i="75" s="1"/>
  <c r="AD283" i="75" s="1"/>
  <c r="R278" i="75"/>
  <c r="R280" i="75" s="1"/>
  <c r="R283" i="75" s="1"/>
  <c r="I278" i="75"/>
  <c r="E278" i="75"/>
  <c r="D278" i="75"/>
  <c r="E277" i="75"/>
  <c r="D277" i="75"/>
  <c r="C277" i="75"/>
  <c r="E276" i="75"/>
  <c r="D276" i="75"/>
  <c r="C276" i="75"/>
  <c r="E268" i="75"/>
  <c r="AC266" i="75"/>
  <c r="E265" i="75"/>
  <c r="D265" i="75"/>
  <c r="C265" i="75"/>
  <c r="E264" i="75"/>
  <c r="D264" i="75"/>
  <c r="C264" i="75"/>
  <c r="AO263" i="75"/>
  <c r="AO266" i="75" s="1"/>
  <c r="AN263" i="75"/>
  <c r="AN266" i="75" s="1"/>
  <c r="AM263" i="75"/>
  <c r="AL263" i="75"/>
  <c r="AL266" i="75" s="1"/>
  <c r="AK263" i="75"/>
  <c r="AK266" i="75" s="1"/>
  <c r="AJ263" i="75"/>
  <c r="AJ266" i="75" s="1"/>
  <c r="AI263" i="75"/>
  <c r="AI266" i="75" s="1"/>
  <c r="AH263" i="75"/>
  <c r="AH266" i="75" s="1"/>
  <c r="AG263" i="75"/>
  <c r="AG266" i="75" s="1"/>
  <c r="AG267" i="75" s="1"/>
  <c r="AF263" i="75"/>
  <c r="AF266" i="75" s="1"/>
  <c r="AE263" i="75"/>
  <c r="AE266" i="75" s="1"/>
  <c r="AD263" i="75"/>
  <c r="AC263" i="75"/>
  <c r="AB263" i="75"/>
  <c r="AB266" i="75" s="1"/>
  <c r="AA263" i="75"/>
  <c r="Z263" i="75"/>
  <c r="Z266" i="75" s="1"/>
  <c r="Y263" i="75"/>
  <c r="Y266" i="75" s="1"/>
  <c r="X263" i="75"/>
  <c r="W263" i="75"/>
  <c r="W266" i="75" s="1"/>
  <c r="V263" i="75"/>
  <c r="V266" i="75" s="1"/>
  <c r="U263" i="75"/>
  <c r="U266" i="75" s="1"/>
  <c r="T263" i="75"/>
  <c r="T266" i="75" s="1"/>
  <c r="S263" i="75"/>
  <c r="S266" i="75" s="1"/>
  <c r="R263" i="75"/>
  <c r="R243" i="75" s="1"/>
  <c r="Q263" i="75"/>
  <c r="Q266" i="75" s="1"/>
  <c r="P263" i="75"/>
  <c r="P266" i="75" s="1"/>
  <c r="O263" i="75"/>
  <c r="N263" i="75"/>
  <c r="N266" i="75" s="1"/>
  <c r="M263" i="75"/>
  <c r="M266" i="75" s="1"/>
  <c r="L263" i="75"/>
  <c r="L266" i="75" s="1"/>
  <c r="K263" i="75"/>
  <c r="J263" i="75"/>
  <c r="J266" i="75" s="1"/>
  <c r="I263" i="75"/>
  <c r="I266" i="75" s="1"/>
  <c r="H263" i="75"/>
  <c r="H266" i="75" s="1"/>
  <c r="G263" i="75"/>
  <c r="F263" i="75"/>
  <c r="E262" i="75"/>
  <c r="D262" i="75"/>
  <c r="C262" i="75"/>
  <c r="E261" i="75"/>
  <c r="D261" i="75"/>
  <c r="C261" i="75"/>
  <c r="E260" i="75"/>
  <c r="D260" i="75"/>
  <c r="C260" i="75"/>
  <c r="AA259" i="75"/>
  <c r="E258" i="75"/>
  <c r="D258" i="75"/>
  <c r="C258" i="75"/>
  <c r="AO257" i="75"/>
  <c r="AO259" i="75" s="1"/>
  <c r="AM257" i="75"/>
  <c r="AM259" i="75" s="1"/>
  <c r="AL257" i="75"/>
  <c r="AL259" i="75" s="1"/>
  <c r="AJ257" i="75"/>
  <c r="AJ259" i="75" s="1"/>
  <c r="AI257" i="75"/>
  <c r="AI259" i="75" s="1"/>
  <c r="AG257" i="75"/>
  <c r="AG259" i="75" s="1"/>
  <c r="AF257" i="75"/>
  <c r="AF259" i="75" s="1"/>
  <c r="AD257" i="75"/>
  <c r="AD259" i="75" s="1"/>
  <c r="AC257" i="75"/>
  <c r="AC259" i="75" s="1"/>
  <c r="AA257" i="75"/>
  <c r="Z257" i="75"/>
  <c r="Z259" i="75" s="1"/>
  <c r="X257" i="75"/>
  <c r="X259" i="75" s="1"/>
  <c r="W257" i="75"/>
  <c r="W259" i="75" s="1"/>
  <c r="U257" i="75"/>
  <c r="U259" i="75" s="1"/>
  <c r="U267" i="75" s="1"/>
  <c r="T257" i="75"/>
  <c r="R257" i="75"/>
  <c r="R259" i="75" s="1"/>
  <c r="Q257" i="75"/>
  <c r="Q259" i="75" s="1"/>
  <c r="O257" i="75"/>
  <c r="O259" i="75" s="1"/>
  <c r="N257" i="75"/>
  <c r="N259" i="75" s="1"/>
  <c r="L257" i="75"/>
  <c r="L259" i="75" s="1"/>
  <c r="K257" i="75"/>
  <c r="K259" i="75" s="1"/>
  <c r="I257" i="75"/>
  <c r="I259" i="75" s="1"/>
  <c r="H257" i="75"/>
  <c r="H259" i="75" s="1"/>
  <c r="E256" i="75"/>
  <c r="D256" i="75"/>
  <c r="C256" i="75"/>
  <c r="E255" i="75"/>
  <c r="D255" i="75"/>
  <c r="C255" i="75"/>
  <c r="E254" i="75"/>
  <c r="D254" i="75"/>
  <c r="C254" i="75"/>
  <c r="E253" i="75"/>
  <c r="D253" i="75"/>
  <c r="C253" i="75"/>
  <c r="E252" i="75"/>
  <c r="D252" i="75"/>
  <c r="C252" i="75"/>
  <c r="F251" i="75"/>
  <c r="C251" i="75" s="1"/>
  <c r="E251" i="75"/>
  <c r="D251" i="75"/>
  <c r="AN250" i="75"/>
  <c r="AN257" i="75" s="1"/>
  <c r="AN259" i="75" s="1"/>
  <c r="AN267" i="75" s="1"/>
  <c r="AK250" i="75"/>
  <c r="AK257" i="75" s="1"/>
  <c r="AK259" i="75" s="1"/>
  <c r="AK267" i="75" s="1"/>
  <c r="AH250" i="75"/>
  <c r="AH257" i="75" s="1"/>
  <c r="AH259" i="75" s="1"/>
  <c r="AE250" i="75"/>
  <c r="AE257" i="75" s="1"/>
  <c r="AE259" i="75" s="1"/>
  <c r="AE267" i="75" s="1"/>
  <c r="AB250" i="75"/>
  <c r="AB257" i="75" s="1"/>
  <c r="AB259" i="75" s="1"/>
  <c r="Y250" i="75"/>
  <c r="Y257" i="75" s="1"/>
  <c r="Y259" i="75" s="1"/>
  <c r="V250" i="75"/>
  <c r="V257" i="75" s="1"/>
  <c r="V259" i="75" s="1"/>
  <c r="S250" i="75"/>
  <c r="S257" i="75" s="1"/>
  <c r="S259" i="75" s="1"/>
  <c r="S267" i="75" s="1"/>
  <c r="P250" i="75"/>
  <c r="M250" i="75"/>
  <c r="M257" i="75" s="1"/>
  <c r="M259" i="75" s="1"/>
  <c r="J250" i="75"/>
  <c r="J257" i="75" s="1"/>
  <c r="J259" i="75" s="1"/>
  <c r="G250" i="75"/>
  <c r="G257" i="75" s="1"/>
  <c r="F250" i="75"/>
  <c r="F257" i="75" s="1"/>
  <c r="F259" i="75" s="1"/>
  <c r="E250" i="75"/>
  <c r="E247" i="75"/>
  <c r="E244" i="75"/>
  <c r="D244" i="75"/>
  <c r="C244" i="75"/>
  <c r="AG243" i="75"/>
  <c r="U243" i="75"/>
  <c r="L243" i="75"/>
  <c r="I243" i="75"/>
  <c r="E243" i="75"/>
  <c r="D243" i="75"/>
  <c r="AO242" i="75"/>
  <c r="AO245" i="75" s="1"/>
  <c r="AN242" i="75"/>
  <c r="AN245" i="75" s="1"/>
  <c r="AM242" i="75"/>
  <c r="AL242" i="75"/>
  <c r="AL245" i="75" s="1"/>
  <c r="AK242" i="75"/>
  <c r="AK245" i="75" s="1"/>
  <c r="AJ242" i="75"/>
  <c r="AI242" i="75"/>
  <c r="AI245" i="75" s="1"/>
  <c r="AH242" i="75"/>
  <c r="AH245" i="75" s="1"/>
  <c r="AG242" i="75"/>
  <c r="AG245" i="75" s="1"/>
  <c r="AF242" i="75"/>
  <c r="AF245" i="75" s="1"/>
  <c r="AF246" i="75" s="1"/>
  <c r="AF248" i="75" s="1"/>
  <c r="AE242" i="75"/>
  <c r="AE245" i="75" s="1"/>
  <c r="AD242" i="75"/>
  <c r="AC242" i="75"/>
  <c r="AC245" i="75" s="1"/>
  <c r="AB242" i="75"/>
  <c r="AB245" i="75" s="1"/>
  <c r="AA242" i="75"/>
  <c r="Z242" i="75"/>
  <c r="Z245" i="75" s="1"/>
  <c r="Y242" i="75"/>
  <c r="Y245" i="75" s="1"/>
  <c r="X242" i="75"/>
  <c r="W242" i="75"/>
  <c r="W245" i="75" s="1"/>
  <c r="V242" i="75"/>
  <c r="V245" i="75" s="1"/>
  <c r="U242" i="75"/>
  <c r="T242" i="75"/>
  <c r="T245" i="75" s="1"/>
  <c r="S242" i="75"/>
  <c r="S245" i="75" s="1"/>
  <c r="R242" i="75"/>
  <c r="Q242" i="75"/>
  <c r="Q245" i="75" s="1"/>
  <c r="P242" i="75"/>
  <c r="P245" i="75" s="1"/>
  <c r="O242" i="75"/>
  <c r="N242" i="75"/>
  <c r="N245" i="75" s="1"/>
  <c r="M242" i="75"/>
  <c r="M245" i="75" s="1"/>
  <c r="L242" i="75"/>
  <c r="K242" i="75"/>
  <c r="K245" i="75" s="1"/>
  <c r="J242" i="75"/>
  <c r="J245" i="75" s="1"/>
  <c r="I242" i="75"/>
  <c r="H242" i="75"/>
  <c r="H245" i="75" s="1"/>
  <c r="G242" i="75"/>
  <c r="F242" i="75"/>
  <c r="E241" i="75"/>
  <c r="D241" i="75"/>
  <c r="C241" i="75"/>
  <c r="E240" i="75"/>
  <c r="D240" i="75"/>
  <c r="C240" i="75"/>
  <c r="E239" i="75"/>
  <c r="D239" i="75"/>
  <c r="C239" i="75"/>
  <c r="AE238" i="75"/>
  <c r="E237" i="75"/>
  <c r="D237" i="75"/>
  <c r="C237" i="75"/>
  <c r="E236" i="75"/>
  <c r="D236" i="75"/>
  <c r="C236" i="75"/>
  <c r="AO235" i="75"/>
  <c r="AO238" i="75" s="1"/>
  <c r="AN235" i="75"/>
  <c r="AN238" i="75" s="1"/>
  <c r="AM235" i="75"/>
  <c r="AM238" i="75" s="1"/>
  <c r="AL235" i="75"/>
  <c r="AL238" i="75" s="1"/>
  <c r="AK235" i="75"/>
  <c r="AK238" i="75" s="1"/>
  <c r="AJ235" i="75"/>
  <c r="AJ238" i="75" s="1"/>
  <c r="AI235" i="75"/>
  <c r="AI238" i="75" s="1"/>
  <c r="AH235" i="75"/>
  <c r="AH238" i="75" s="1"/>
  <c r="AG235" i="75"/>
  <c r="AG238" i="75" s="1"/>
  <c r="AF235" i="75"/>
  <c r="AF238" i="75" s="1"/>
  <c r="AE235" i="75"/>
  <c r="AD235" i="75"/>
  <c r="AD238" i="75" s="1"/>
  <c r="AC235" i="75"/>
  <c r="AC238" i="75" s="1"/>
  <c r="AB235" i="75"/>
  <c r="AB238" i="75" s="1"/>
  <c r="AA235" i="75"/>
  <c r="AA238" i="75" s="1"/>
  <c r="Z235" i="75"/>
  <c r="Z238" i="75" s="1"/>
  <c r="Y235" i="75"/>
  <c r="Y238" i="75" s="1"/>
  <c r="X235" i="75"/>
  <c r="X238" i="75" s="1"/>
  <c r="W235" i="75"/>
  <c r="W238" i="75" s="1"/>
  <c r="W246" i="75" s="1"/>
  <c r="W248" i="75" s="1"/>
  <c r="V235" i="75"/>
  <c r="V238" i="75" s="1"/>
  <c r="U235" i="75"/>
  <c r="U238" i="75" s="1"/>
  <c r="T235" i="75"/>
  <c r="T238" i="75" s="1"/>
  <c r="S235" i="75"/>
  <c r="S238" i="75" s="1"/>
  <c r="R235" i="75"/>
  <c r="R238" i="75" s="1"/>
  <c r="Q235" i="75"/>
  <c r="Q238" i="75" s="1"/>
  <c r="P235" i="75"/>
  <c r="P238" i="75" s="1"/>
  <c r="O235" i="75"/>
  <c r="O238" i="75" s="1"/>
  <c r="N235" i="75"/>
  <c r="N238" i="75" s="1"/>
  <c r="M235" i="75"/>
  <c r="M238" i="75" s="1"/>
  <c r="L235" i="75"/>
  <c r="L238" i="75" s="1"/>
  <c r="K235" i="75"/>
  <c r="K238" i="75" s="1"/>
  <c r="J235" i="75"/>
  <c r="J238" i="75" s="1"/>
  <c r="I235" i="75"/>
  <c r="H235" i="75"/>
  <c r="H238" i="75" s="1"/>
  <c r="G235" i="75"/>
  <c r="F235" i="75"/>
  <c r="F238" i="75" s="1"/>
  <c r="E234" i="75"/>
  <c r="D234" i="75"/>
  <c r="C234" i="75"/>
  <c r="E233" i="75"/>
  <c r="D233" i="75"/>
  <c r="C233" i="75"/>
  <c r="E232" i="75"/>
  <c r="D232" i="75"/>
  <c r="C232" i="75"/>
  <c r="E231" i="75"/>
  <c r="D231" i="75"/>
  <c r="C231" i="75"/>
  <c r="E223" i="75"/>
  <c r="E220" i="75"/>
  <c r="D220" i="75"/>
  <c r="C220" i="75"/>
  <c r="E219" i="75"/>
  <c r="D219" i="75"/>
  <c r="C219" i="75"/>
  <c r="AO218" i="75"/>
  <c r="AO221" i="75" s="1"/>
  <c r="AN218" i="75"/>
  <c r="AN221" i="75" s="1"/>
  <c r="AM218" i="75"/>
  <c r="AL218" i="75"/>
  <c r="AL221" i="75" s="1"/>
  <c r="AK218" i="75"/>
  <c r="AK221" i="75" s="1"/>
  <c r="AJ218" i="75"/>
  <c r="AI218" i="75"/>
  <c r="AI221" i="75" s="1"/>
  <c r="AH218" i="75"/>
  <c r="AH221" i="75" s="1"/>
  <c r="AG218" i="75"/>
  <c r="AF218" i="75"/>
  <c r="AF221" i="75" s="1"/>
  <c r="AE218" i="75"/>
  <c r="AE221" i="75" s="1"/>
  <c r="AD218" i="75"/>
  <c r="AD198" i="75" s="1"/>
  <c r="AC218" i="75"/>
  <c r="AC221" i="75" s="1"/>
  <c r="AB218" i="75"/>
  <c r="AB221" i="75" s="1"/>
  <c r="AA218" i="75"/>
  <c r="AA221" i="75" s="1"/>
  <c r="Z218" i="75"/>
  <c r="Z221" i="75" s="1"/>
  <c r="Y218" i="75"/>
  <c r="Y221" i="75" s="1"/>
  <c r="X218" i="75"/>
  <c r="W218" i="75"/>
  <c r="W221" i="75" s="1"/>
  <c r="V218" i="75"/>
  <c r="V221" i="75" s="1"/>
  <c r="U218" i="75"/>
  <c r="U198" i="75" s="1"/>
  <c r="T218" i="75"/>
  <c r="T221" i="75" s="1"/>
  <c r="S218" i="75"/>
  <c r="S221" i="75" s="1"/>
  <c r="R218" i="75"/>
  <c r="R221" i="75" s="1"/>
  <c r="Q218" i="75"/>
  <c r="Q221" i="75" s="1"/>
  <c r="P218" i="75"/>
  <c r="P221" i="75" s="1"/>
  <c r="O218" i="75"/>
  <c r="N218" i="75"/>
  <c r="N221" i="75" s="1"/>
  <c r="N222" i="75" s="1"/>
  <c r="N224" i="75" s="1"/>
  <c r="M218" i="75"/>
  <c r="M221" i="75" s="1"/>
  <c r="L218" i="75"/>
  <c r="L221" i="75" s="1"/>
  <c r="K218" i="75"/>
  <c r="K221" i="75" s="1"/>
  <c r="J218" i="75"/>
  <c r="J221" i="75" s="1"/>
  <c r="I218" i="75"/>
  <c r="I221" i="75" s="1"/>
  <c r="H218" i="75"/>
  <c r="G218" i="75"/>
  <c r="F218" i="75"/>
  <c r="F198" i="75" s="1"/>
  <c r="E217" i="75"/>
  <c r="D217" i="75"/>
  <c r="C217" i="75"/>
  <c r="E216" i="75"/>
  <c r="D216" i="75"/>
  <c r="C216" i="75"/>
  <c r="E215" i="75"/>
  <c r="D215" i="75"/>
  <c r="C215" i="75"/>
  <c r="K214" i="75"/>
  <c r="K222" i="75" s="1"/>
  <c r="K224" i="75" s="1"/>
  <c r="E213" i="75"/>
  <c r="D213" i="75"/>
  <c r="C213" i="75"/>
  <c r="AO212" i="75"/>
  <c r="AO214" i="75" s="1"/>
  <c r="AN212" i="75"/>
  <c r="AN214" i="75" s="1"/>
  <c r="AM212" i="75"/>
  <c r="AM214" i="75" s="1"/>
  <c r="AL212" i="75"/>
  <c r="AL214" i="75" s="1"/>
  <c r="AL222" i="75" s="1"/>
  <c r="AL224" i="75" s="1"/>
  <c r="AK212" i="75"/>
  <c r="AK214" i="75" s="1"/>
  <c r="AJ212" i="75"/>
  <c r="AJ214" i="75" s="1"/>
  <c r="AI212" i="75"/>
  <c r="AI214" i="75" s="1"/>
  <c r="AH212" i="75"/>
  <c r="AH214" i="75" s="1"/>
  <c r="AH222" i="75" s="1"/>
  <c r="AG212" i="75"/>
  <c r="AG214" i="75" s="1"/>
  <c r="AF212" i="75"/>
  <c r="AF214" i="75" s="1"/>
  <c r="AE212" i="75"/>
  <c r="AE214" i="75" s="1"/>
  <c r="AD212" i="75"/>
  <c r="AD214" i="75" s="1"/>
  <c r="AC212" i="75"/>
  <c r="AC214" i="75" s="1"/>
  <c r="AC222" i="75" s="1"/>
  <c r="AC224" i="75" s="1"/>
  <c r="AB212" i="75"/>
  <c r="AB214" i="75" s="1"/>
  <c r="AA212" i="75"/>
  <c r="AA214" i="75" s="1"/>
  <c r="Z212" i="75"/>
  <c r="Z214" i="75" s="1"/>
  <c r="Y212" i="75"/>
  <c r="Y214" i="75" s="1"/>
  <c r="X212" i="75"/>
  <c r="X214" i="75" s="1"/>
  <c r="W212" i="75"/>
  <c r="W214" i="75" s="1"/>
  <c r="U212" i="75"/>
  <c r="U214" i="75" s="1"/>
  <c r="T212" i="75"/>
  <c r="T214" i="75" s="1"/>
  <c r="R212" i="75"/>
  <c r="R214" i="75" s="1"/>
  <c r="R222" i="75" s="1"/>
  <c r="Q212" i="75"/>
  <c r="Q214" i="75" s="1"/>
  <c r="Q222" i="75" s="1"/>
  <c r="Q224" i="75" s="1"/>
  <c r="O212" i="75"/>
  <c r="O214" i="75" s="1"/>
  <c r="N212" i="75"/>
  <c r="N214" i="75" s="1"/>
  <c r="L212" i="75"/>
  <c r="L214" i="75" s="1"/>
  <c r="K212" i="75"/>
  <c r="I212" i="75"/>
  <c r="H212" i="75"/>
  <c r="H214" i="75" s="1"/>
  <c r="F212" i="75"/>
  <c r="F214" i="75" s="1"/>
  <c r="E211" i="75"/>
  <c r="D211" i="75"/>
  <c r="C211" i="75"/>
  <c r="E210" i="75"/>
  <c r="D210" i="75"/>
  <c r="C210" i="75"/>
  <c r="E209" i="75"/>
  <c r="D209" i="75"/>
  <c r="C209" i="75"/>
  <c r="E208" i="75"/>
  <c r="D208" i="75"/>
  <c r="C208" i="75"/>
  <c r="E207" i="75"/>
  <c r="D207" i="75"/>
  <c r="C207" i="75"/>
  <c r="E206" i="75"/>
  <c r="D206" i="75"/>
  <c r="C206" i="75"/>
  <c r="V205" i="75"/>
  <c r="V212" i="75" s="1"/>
  <c r="V214" i="75" s="1"/>
  <c r="V222" i="75" s="1"/>
  <c r="S205" i="75"/>
  <c r="S212" i="75" s="1"/>
  <c r="S214" i="75" s="1"/>
  <c r="P205" i="75"/>
  <c r="P212" i="75" s="1"/>
  <c r="P214" i="75" s="1"/>
  <c r="M205" i="75"/>
  <c r="J205" i="75"/>
  <c r="G205" i="75"/>
  <c r="G212" i="75" s="1"/>
  <c r="G214" i="75" s="1"/>
  <c r="E205" i="75"/>
  <c r="C205" i="75"/>
  <c r="E202" i="75"/>
  <c r="E199" i="75"/>
  <c r="D199" i="75"/>
  <c r="C199" i="75"/>
  <c r="AA198" i="75"/>
  <c r="R198" i="75"/>
  <c r="L198" i="75"/>
  <c r="E198" i="75"/>
  <c r="D198" i="75"/>
  <c r="AO197" i="75"/>
  <c r="AO200" i="75" s="1"/>
  <c r="AN197" i="75"/>
  <c r="AN200" i="75" s="1"/>
  <c r="AM197" i="75"/>
  <c r="AL197" i="75"/>
  <c r="AL200" i="75" s="1"/>
  <c r="AK197" i="75"/>
  <c r="AK200" i="75" s="1"/>
  <c r="AJ197" i="75"/>
  <c r="AI197" i="75"/>
  <c r="AI200" i="75" s="1"/>
  <c r="AI201" i="75" s="1"/>
  <c r="AI203" i="75" s="1"/>
  <c r="AH197" i="75"/>
  <c r="AH200" i="75" s="1"/>
  <c r="AG197" i="75"/>
  <c r="AF197" i="75"/>
  <c r="AF200" i="75" s="1"/>
  <c r="AE197" i="75"/>
  <c r="AE200" i="75" s="1"/>
  <c r="AD197" i="75"/>
  <c r="AD200" i="75" s="1"/>
  <c r="AC197" i="75"/>
  <c r="AC200" i="75" s="1"/>
  <c r="AB197" i="75"/>
  <c r="AB200" i="75" s="1"/>
  <c r="AA197" i="75"/>
  <c r="Z197" i="75"/>
  <c r="Z200" i="75" s="1"/>
  <c r="Y197" i="75"/>
  <c r="Y200" i="75" s="1"/>
  <c r="X197" i="75"/>
  <c r="W197" i="75"/>
  <c r="W200" i="75" s="1"/>
  <c r="V197" i="75"/>
  <c r="V200" i="75" s="1"/>
  <c r="U197" i="75"/>
  <c r="T197" i="75"/>
  <c r="T200" i="75" s="1"/>
  <c r="S197" i="75"/>
  <c r="S200" i="75" s="1"/>
  <c r="R197" i="75"/>
  <c r="R200" i="75" s="1"/>
  <c r="Q197" i="75"/>
  <c r="Q200" i="75" s="1"/>
  <c r="P197" i="75"/>
  <c r="P200" i="75" s="1"/>
  <c r="O197" i="75"/>
  <c r="N197" i="75"/>
  <c r="N200" i="75" s="1"/>
  <c r="M197" i="75"/>
  <c r="M200" i="75" s="1"/>
  <c r="L197" i="75"/>
  <c r="K197" i="75"/>
  <c r="K200" i="75" s="1"/>
  <c r="J197" i="75"/>
  <c r="J200" i="75" s="1"/>
  <c r="I197" i="75"/>
  <c r="I200" i="75" s="1"/>
  <c r="H197" i="75"/>
  <c r="G197" i="75"/>
  <c r="F197" i="75"/>
  <c r="F200" i="75" s="1"/>
  <c r="E196" i="75"/>
  <c r="D196" i="75"/>
  <c r="C196" i="75"/>
  <c r="E195" i="75"/>
  <c r="D195" i="75"/>
  <c r="C195" i="75"/>
  <c r="E194" i="75"/>
  <c r="D194" i="75"/>
  <c r="C194" i="75"/>
  <c r="Z193" i="75"/>
  <c r="E192" i="75"/>
  <c r="D192" i="75"/>
  <c r="C192" i="75"/>
  <c r="E191" i="75"/>
  <c r="D191" i="75"/>
  <c r="C191" i="75"/>
  <c r="AO190" i="75"/>
  <c r="AO193" i="75" s="1"/>
  <c r="AN190" i="75"/>
  <c r="AN193" i="75" s="1"/>
  <c r="AM190" i="75"/>
  <c r="AM193" i="75" s="1"/>
  <c r="AL190" i="75"/>
  <c r="AL193" i="75" s="1"/>
  <c r="AK190" i="75"/>
  <c r="AK193" i="75" s="1"/>
  <c r="AK201" i="75" s="1"/>
  <c r="AJ190" i="75"/>
  <c r="AJ193" i="75" s="1"/>
  <c r="AI190" i="75"/>
  <c r="AI193" i="75" s="1"/>
  <c r="AH190" i="75"/>
  <c r="AH193" i="75" s="1"/>
  <c r="AG190" i="75"/>
  <c r="AG193" i="75" s="1"/>
  <c r="AF190" i="75"/>
  <c r="AF193" i="75" s="1"/>
  <c r="AE190" i="75"/>
  <c r="AE193" i="75" s="1"/>
  <c r="AD190" i="75"/>
  <c r="AD193" i="75" s="1"/>
  <c r="AC190" i="75"/>
  <c r="AC193" i="75" s="1"/>
  <c r="AB190" i="75"/>
  <c r="AB193" i="75" s="1"/>
  <c r="AA190" i="75"/>
  <c r="AA193" i="75" s="1"/>
  <c r="Z190" i="75"/>
  <c r="Y190" i="75"/>
  <c r="Y193" i="75" s="1"/>
  <c r="X190" i="75"/>
  <c r="X193" i="75" s="1"/>
  <c r="W190" i="75"/>
  <c r="W193" i="75" s="1"/>
  <c r="V190" i="75"/>
  <c r="V193" i="75" s="1"/>
  <c r="U190" i="75"/>
  <c r="U193" i="75" s="1"/>
  <c r="T190" i="75"/>
  <c r="T193" i="75" s="1"/>
  <c r="S190" i="75"/>
  <c r="S193" i="75" s="1"/>
  <c r="R190" i="75"/>
  <c r="R193" i="75" s="1"/>
  <c r="Q190" i="75"/>
  <c r="Q193" i="75" s="1"/>
  <c r="P190" i="75"/>
  <c r="P193" i="75" s="1"/>
  <c r="O190" i="75"/>
  <c r="O193" i="75" s="1"/>
  <c r="N190" i="75"/>
  <c r="N193" i="75" s="1"/>
  <c r="M190" i="75"/>
  <c r="M193" i="75" s="1"/>
  <c r="L190" i="75"/>
  <c r="L193" i="75" s="1"/>
  <c r="K190" i="75"/>
  <c r="J190" i="75"/>
  <c r="J193" i="75" s="1"/>
  <c r="I190" i="75"/>
  <c r="H190" i="75"/>
  <c r="H193" i="75" s="1"/>
  <c r="G190" i="75"/>
  <c r="G193" i="75" s="1"/>
  <c r="F190" i="75"/>
  <c r="F193" i="75" s="1"/>
  <c r="E189" i="75"/>
  <c r="D189" i="75"/>
  <c r="C189" i="75"/>
  <c r="E188" i="75"/>
  <c r="D188" i="75"/>
  <c r="C188" i="75"/>
  <c r="E187" i="75"/>
  <c r="D187" i="75"/>
  <c r="C187" i="75"/>
  <c r="E186" i="75"/>
  <c r="D186" i="75"/>
  <c r="C186" i="75"/>
  <c r="E178" i="75"/>
  <c r="E175" i="75"/>
  <c r="D175" i="75"/>
  <c r="C175" i="75"/>
  <c r="E174" i="75"/>
  <c r="D174" i="75"/>
  <c r="C174" i="75"/>
  <c r="AO173" i="75"/>
  <c r="AO176" i="75" s="1"/>
  <c r="AN173" i="75"/>
  <c r="AN176" i="75" s="1"/>
  <c r="AM173" i="75"/>
  <c r="AM176" i="75" s="1"/>
  <c r="AL173" i="75"/>
  <c r="AL176" i="75" s="1"/>
  <c r="AK173" i="75"/>
  <c r="AK176" i="75" s="1"/>
  <c r="AI173" i="75"/>
  <c r="AI176" i="75" s="1"/>
  <c r="AH173" i="75"/>
  <c r="AH176" i="75" s="1"/>
  <c r="AF173" i="75"/>
  <c r="AF176" i="75" s="1"/>
  <c r="AE173" i="75"/>
  <c r="AE176" i="75" s="1"/>
  <c r="AC173" i="75"/>
  <c r="AC176" i="75" s="1"/>
  <c r="AB173" i="75"/>
  <c r="AB176" i="75" s="1"/>
  <c r="AA173" i="75"/>
  <c r="AA176" i="75" s="1"/>
  <c r="Z173" i="75"/>
  <c r="Z176" i="75" s="1"/>
  <c r="Y173" i="75"/>
  <c r="Y176" i="75" s="1"/>
  <c r="X173" i="75"/>
  <c r="X176" i="75" s="1"/>
  <c r="W173" i="75"/>
  <c r="W176" i="75" s="1"/>
  <c r="V173" i="75"/>
  <c r="V176" i="75" s="1"/>
  <c r="U173" i="75"/>
  <c r="T173" i="75"/>
  <c r="T176" i="75" s="1"/>
  <c r="S173" i="75"/>
  <c r="S176" i="75" s="1"/>
  <c r="Q173" i="75"/>
  <c r="Q176" i="75" s="1"/>
  <c r="P173" i="75"/>
  <c r="P176" i="75" s="1"/>
  <c r="N173" i="75"/>
  <c r="N176" i="75" s="1"/>
  <c r="M173" i="75"/>
  <c r="M176" i="75" s="1"/>
  <c r="K173" i="75"/>
  <c r="K176" i="75" s="1"/>
  <c r="J173" i="75"/>
  <c r="J176" i="75" s="1"/>
  <c r="I173" i="75"/>
  <c r="I176" i="75" s="1"/>
  <c r="H173" i="75"/>
  <c r="H176" i="75" s="1"/>
  <c r="G173" i="75"/>
  <c r="G176" i="75" s="1"/>
  <c r="F173" i="75"/>
  <c r="F176" i="75" s="1"/>
  <c r="E172" i="75"/>
  <c r="D172" i="75"/>
  <c r="C172" i="75"/>
  <c r="O171" i="75"/>
  <c r="E171" i="75"/>
  <c r="D171" i="75"/>
  <c r="AJ170" i="75"/>
  <c r="AJ173" i="75" s="1"/>
  <c r="AJ176" i="75" s="1"/>
  <c r="AG170" i="75"/>
  <c r="AG173" i="75" s="1"/>
  <c r="AG176" i="75" s="1"/>
  <c r="AD170" i="75"/>
  <c r="R170" i="75"/>
  <c r="O170" i="75"/>
  <c r="L170" i="75"/>
  <c r="L173" i="75" s="1"/>
  <c r="L176" i="75" s="1"/>
  <c r="E170" i="75"/>
  <c r="D170" i="75"/>
  <c r="K169" i="75"/>
  <c r="K177" i="75" s="1"/>
  <c r="K179" i="75" s="1"/>
  <c r="E168" i="75"/>
  <c r="D168" i="75"/>
  <c r="C168" i="75"/>
  <c r="AO167" i="75"/>
  <c r="AO169" i="75" s="1"/>
  <c r="AM167" i="75"/>
  <c r="AM169" i="75" s="1"/>
  <c r="AL167" i="75"/>
  <c r="AL169" i="75" s="1"/>
  <c r="AL177" i="75" s="1"/>
  <c r="AL179" i="75" s="1"/>
  <c r="AK167" i="75"/>
  <c r="AK169" i="75" s="1"/>
  <c r="AK177" i="75" s="1"/>
  <c r="AI167" i="75"/>
  <c r="AI169" i="75" s="1"/>
  <c r="AH167" i="75"/>
  <c r="AH169" i="75" s="1"/>
  <c r="AF167" i="75"/>
  <c r="AF169" i="75" s="1"/>
  <c r="AE167" i="75"/>
  <c r="AE169" i="75" s="1"/>
  <c r="AE177" i="75" s="1"/>
  <c r="AD167" i="75"/>
  <c r="AD169" i="75" s="1"/>
  <c r="AC167" i="75"/>
  <c r="AC169" i="75" s="1"/>
  <c r="AB167" i="75"/>
  <c r="AB169" i="75" s="1"/>
  <c r="AA167" i="75"/>
  <c r="AA169" i="75" s="1"/>
  <c r="Z167" i="75"/>
  <c r="Z169" i="75" s="1"/>
  <c r="Z177" i="75" s="1"/>
  <c r="Z179" i="75" s="1"/>
  <c r="Y167" i="75"/>
  <c r="Y169" i="75" s="1"/>
  <c r="X167" i="75"/>
  <c r="X169" i="75" s="1"/>
  <c r="W167" i="75"/>
  <c r="W169" i="75" s="1"/>
  <c r="W177" i="75" s="1"/>
  <c r="W179" i="75" s="1"/>
  <c r="U167" i="75"/>
  <c r="U169" i="75" s="1"/>
  <c r="T167" i="75"/>
  <c r="T169" i="75" s="1"/>
  <c r="Q167" i="75"/>
  <c r="Q169" i="75" s="1"/>
  <c r="Q177" i="75" s="1"/>
  <c r="Q179" i="75" s="1"/>
  <c r="N167" i="75"/>
  <c r="N169" i="75" s="1"/>
  <c r="K167" i="75"/>
  <c r="H167" i="75"/>
  <c r="H169" i="75" s="1"/>
  <c r="H177" i="75" s="1"/>
  <c r="E166" i="75"/>
  <c r="D166" i="75"/>
  <c r="C166" i="75"/>
  <c r="E165" i="75"/>
  <c r="D165" i="75"/>
  <c r="C165" i="75"/>
  <c r="E164" i="75"/>
  <c r="D164" i="75"/>
  <c r="C164" i="75"/>
  <c r="E163" i="75"/>
  <c r="D163" i="75"/>
  <c r="C163" i="75"/>
  <c r="AJ162" i="75"/>
  <c r="AJ167" i="75" s="1"/>
  <c r="AJ169" i="75" s="1"/>
  <c r="AG162" i="75"/>
  <c r="AG167" i="75" s="1"/>
  <c r="AG169" i="75" s="1"/>
  <c r="R162" i="75"/>
  <c r="R167" i="75" s="1"/>
  <c r="R169" i="75" s="1"/>
  <c r="O162" i="75"/>
  <c r="O167" i="75" s="1"/>
  <c r="O169" i="75" s="1"/>
  <c r="I162" i="75"/>
  <c r="E162" i="75"/>
  <c r="D162" i="75"/>
  <c r="E161" i="75"/>
  <c r="D161" i="75"/>
  <c r="C161" i="75"/>
  <c r="AN160" i="75"/>
  <c r="AN167" i="75" s="1"/>
  <c r="AN169" i="75" s="1"/>
  <c r="V160" i="75"/>
  <c r="V167" i="75" s="1"/>
  <c r="V169" i="75" s="1"/>
  <c r="V177" i="75" s="1"/>
  <c r="S160" i="75"/>
  <c r="S167" i="75" s="1"/>
  <c r="S169" i="75" s="1"/>
  <c r="S177" i="75" s="1"/>
  <c r="P160" i="75"/>
  <c r="P167" i="75" s="1"/>
  <c r="P169" i="75" s="1"/>
  <c r="M160" i="75"/>
  <c r="M167" i="75" s="1"/>
  <c r="M169" i="75" s="1"/>
  <c r="M177" i="75" s="1"/>
  <c r="L160" i="75"/>
  <c r="J160" i="75"/>
  <c r="J167" i="75" s="1"/>
  <c r="J169" i="75" s="1"/>
  <c r="I160" i="75"/>
  <c r="G160" i="75"/>
  <c r="G167" i="75" s="1"/>
  <c r="F160" i="75"/>
  <c r="E160" i="75"/>
  <c r="E157" i="75"/>
  <c r="E154" i="75"/>
  <c r="D154" i="75"/>
  <c r="C154" i="75"/>
  <c r="AM153" i="75"/>
  <c r="AA153" i="75"/>
  <c r="X153" i="75"/>
  <c r="E153" i="75"/>
  <c r="D153" i="75"/>
  <c r="AO152" i="75"/>
  <c r="AO155" i="75" s="1"/>
  <c r="AN152" i="75"/>
  <c r="AN155" i="75" s="1"/>
  <c r="AM152" i="75"/>
  <c r="AL152" i="75"/>
  <c r="AL155" i="75" s="1"/>
  <c r="AK152" i="75"/>
  <c r="AK155" i="75" s="1"/>
  <c r="AJ152" i="75"/>
  <c r="AI152" i="75"/>
  <c r="AI155" i="75" s="1"/>
  <c r="AH152" i="75"/>
  <c r="AH155" i="75" s="1"/>
  <c r="AG152" i="75"/>
  <c r="AF152" i="75"/>
  <c r="AF155" i="75" s="1"/>
  <c r="AE152" i="75"/>
  <c r="AE155" i="75" s="1"/>
  <c r="AD152" i="75"/>
  <c r="AC152" i="75"/>
  <c r="AC155" i="75" s="1"/>
  <c r="AB152" i="75"/>
  <c r="AB155" i="75" s="1"/>
  <c r="AA152" i="75"/>
  <c r="AA155" i="75" s="1"/>
  <c r="Z152" i="75"/>
  <c r="Z155" i="75" s="1"/>
  <c r="Y152" i="75"/>
  <c r="Y155" i="75" s="1"/>
  <c r="X152" i="75"/>
  <c r="W152" i="75"/>
  <c r="W155" i="75" s="1"/>
  <c r="V152" i="75"/>
  <c r="V155" i="75" s="1"/>
  <c r="U152" i="75"/>
  <c r="T152" i="75"/>
  <c r="T155" i="75" s="1"/>
  <c r="S152" i="75"/>
  <c r="S155" i="75" s="1"/>
  <c r="R152" i="75"/>
  <c r="Q152" i="75"/>
  <c r="Q155" i="75" s="1"/>
  <c r="P152" i="75"/>
  <c r="P155" i="75" s="1"/>
  <c r="O152" i="75"/>
  <c r="N152" i="75"/>
  <c r="N155" i="75" s="1"/>
  <c r="M152" i="75"/>
  <c r="M155" i="75" s="1"/>
  <c r="L152" i="75"/>
  <c r="K152" i="75"/>
  <c r="K155" i="75" s="1"/>
  <c r="J152" i="75"/>
  <c r="J155" i="75" s="1"/>
  <c r="I152" i="75"/>
  <c r="H152" i="75"/>
  <c r="H155" i="75" s="1"/>
  <c r="G152" i="75"/>
  <c r="F152" i="75"/>
  <c r="E151" i="75"/>
  <c r="D151" i="75"/>
  <c r="C151" i="75"/>
  <c r="E150" i="75"/>
  <c r="D150" i="75"/>
  <c r="C150" i="75"/>
  <c r="E149" i="75"/>
  <c r="D149" i="75"/>
  <c r="C149" i="75"/>
  <c r="AD148" i="75"/>
  <c r="E147" i="75"/>
  <c r="D147" i="75"/>
  <c r="C147" i="75"/>
  <c r="E146" i="75"/>
  <c r="D146" i="75"/>
  <c r="C146" i="75"/>
  <c r="AO145" i="75"/>
  <c r="AO148" i="75" s="1"/>
  <c r="AN145" i="75"/>
  <c r="AN148" i="75" s="1"/>
  <c r="AL145" i="75"/>
  <c r="AL148" i="75" s="1"/>
  <c r="AK145" i="75"/>
  <c r="AK148" i="75" s="1"/>
  <c r="AI145" i="75"/>
  <c r="AI148" i="75" s="1"/>
  <c r="AH145" i="75"/>
  <c r="AH148" i="75" s="1"/>
  <c r="AF145" i="75"/>
  <c r="AF148" i="75" s="1"/>
  <c r="AE145" i="75"/>
  <c r="AE148" i="75" s="1"/>
  <c r="AD145" i="75"/>
  <c r="AC145" i="75"/>
  <c r="AC148" i="75" s="1"/>
  <c r="AB145" i="75"/>
  <c r="AB148" i="75" s="1"/>
  <c r="AA145" i="75"/>
  <c r="AA148" i="75" s="1"/>
  <c r="Z145" i="75"/>
  <c r="Z148" i="75" s="1"/>
  <c r="Y145" i="75"/>
  <c r="Y148" i="75" s="1"/>
  <c r="X145" i="75"/>
  <c r="X148" i="75" s="1"/>
  <c r="W145" i="75"/>
  <c r="W148" i="75" s="1"/>
  <c r="V145" i="75"/>
  <c r="V148" i="75" s="1"/>
  <c r="U145" i="75"/>
  <c r="U148" i="75" s="1"/>
  <c r="T145" i="75"/>
  <c r="T148" i="75" s="1"/>
  <c r="S145" i="75"/>
  <c r="S148" i="75" s="1"/>
  <c r="R145" i="75"/>
  <c r="R148" i="75" s="1"/>
  <c r="Q145" i="75"/>
  <c r="Q148" i="75" s="1"/>
  <c r="P145" i="75"/>
  <c r="P148" i="75" s="1"/>
  <c r="O145" i="75"/>
  <c r="O148" i="75" s="1"/>
  <c r="N145" i="75"/>
  <c r="N148" i="75" s="1"/>
  <c r="M145" i="75"/>
  <c r="M148" i="75" s="1"/>
  <c r="L145" i="75"/>
  <c r="L148" i="75" s="1"/>
  <c r="K145" i="75"/>
  <c r="K148" i="75" s="1"/>
  <c r="J145" i="75"/>
  <c r="J148" i="75" s="1"/>
  <c r="I145" i="75"/>
  <c r="I148" i="75" s="1"/>
  <c r="H145" i="75"/>
  <c r="G145" i="75"/>
  <c r="G148" i="75" s="1"/>
  <c r="E144" i="75"/>
  <c r="D144" i="75"/>
  <c r="C144" i="75"/>
  <c r="AM143" i="75"/>
  <c r="AM145" i="75" s="1"/>
  <c r="AM148" i="75" s="1"/>
  <c r="AJ143" i="75"/>
  <c r="AJ145" i="75" s="1"/>
  <c r="AJ148" i="75" s="1"/>
  <c r="AG143" i="75"/>
  <c r="AG145" i="75" s="1"/>
  <c r="AG148" i="75" s="1"/>
  <c r="F143" i="75"/>
  <c r="E143" i="75"/>
  <c r="D143" i="75"/>
  <c r="E142" i="75"/>
  <c r="D142" i="75"/>
  <c r="C142" i="75"/>
  <c r="E141" i="75"/>
  <c r="D141" i="75"/>
  <c r="C141" i="75"/>
  <c r="H133" i="75"/>
  <c r="E133" i="75" s="1"/>
  <c r="N131" i="75"/>
  <c r="AF130" i="75"/>
  <c r="E130" i="75" s="1"/>
  <c r="D130" i="75"/>
  <c r="C130" i="75"/>
  <c r="E129" i="75"/>
  <c r="D129" i="75"/>
  <c r="C129" i="75"/>
  <c r="AO128" i="75"/>
  <c r="AO131" i="75" s="1"/>
  <c r="AN128" i="75"/>
  <c r="AN131" i="75" s="1"/>
  <c r="AM128" i="75"/>
  <c r="AM131" i="75" s="1"/>
  <c r="AL128" i="75"/>
  <c r="AL131" i="75" s="1"/>
  <c r="AK128" i="75"/>
  <c r="AK131" i="75" s="1"/>
  <c r="AJ128" i="75"/>
  <c r="AJ131" i="75" s="1"/>
  <c r="AI128" i="75"/>
  <c r="AI131" i="75" s="1"/>
  <c r="AH128" i="75"/>
  <c r="AH131" i="75" s="1"/>
  <c r="AG128" i="75"/>
  <c r="AG131" i="75" s="1"/>
  <c r="AF128" i="75"/>
  <c r="AF131" i="75" s="1"/>
  <c r="AE128" i="75"/>
  <c r="AE131" i="75" s="1"/>
  <c r="AD128" i="75"/>
  <c r="AD131" i="75" s="1"/>
  <c r="AC128" i="75"/>
  <c r="AC131" i="75" s="1"/>
  <c r="AB128" i="75"/>
  <c r="AB131" i="75" s="1"/>
  <c r="AA128" i="75"/>
  <c r="AA131" i="75" s="1"/>
  <c r="Z128" i="75"/>
  <c r="Z131" i="75" s="1"/>
  <c r="Y128" i="75"/>
  <c r="Y131" i="75" s="1"/>
  <c r="X128" i="75"/>
  <c r="X131" i="75" s="1"/>
  <c r="W128" i="75"/>
  <c r="W131" i="75" s="1"/>
  <c r="V128" i="75"/>
  <c r="V131" i="75" s="1"/>
  <c r="U128" i="75"/>
  <c r="U131" i="75" s="1"/>
  <c r="T128" i="75"/>
  <c r="T131" i="75" s="1"/>
  <c r="S128" i="75"/>
  <c r="S131" i="75" s="1"/>
  <c r="R128" i="75"/>
  <c r="R131" i="75" s="1"/>
  <c r="Q128" i="75"/>
  <c r="Q131" i="75" s="1"/>
  <c r="P128" i="75"/>
  <c r="P131" i="75" s="1"/>
  <c r="O128" i="75"/>
  <c r="O131" i="75" s="1"/>
  <c r="N128" i="75"/>
  <c r="M128" i="75"/>
  <c r="M131" i="75" s="1"/>
  <c r="L128" i="75"/>
  <c r="L131" i="75" s="1"/>
  <c r="K128" i="75"/>
  <c r="K131" i="75" s="1"/>
  <c r="J128" i="75"/>
  <c r="J131" i="75" s="1"/>
  <c r="I128" i="75"/>
  <c r="C128" i="75" s="1"/>
  <c r="H128" i="75"/>
  <c r="G128" i="75"/>
  <c r="G131" i="75" s="1"/>
  <c r="F128" i="75"/>
  <c r="F131" i="75" s="1"/>
  <c r="D128" i="75"/>
  <c r="E127" i="75"/>
  <c r="D127" i="75"/>
  <c r="C127" i="75"/>
  <c r="E126" i="75"/>
  <c r="D126" i="75"/>
  <c r="C126" i="75"/>
  <c r="E125" i="75"/>
  <c r="D125" i="75"/>
  <c r="C125" i="75"/>
  <c r="T124" i="75"/>
  <c r="T132" i="75" s="1"/>
  <c r="T134" i="75" s="1"/>
  <c r="E123" i="75"/>
  <c r="D123" i="75"/>
  <c r="C123" i="75"/>
  <c r="AO122" i="75"/>
  <c r="AO124" i="75" s="1"/>
  <c r="AM122" i="75"/>
  <c r="AM124" i="75" s="1"/>
  <c r="AM132" i="75" s="1"/>
  <c r="AL122" i="75"/>
  <c r="AL124" i="75" s="1"/>
  <c r="AJ122" i="75"/>
  <c r="AJ124" i="75" s="1"/>
  <c r="AJ132" i="75" s="1"/>
  <c r="AI122" i="75"/>
  <c r="AI124" i="75" s="1"/>
  <c r="AI132" i="75" s="1"/>
  <c r="AI134" i="75" s="1"/>
  <c r="AG122" i="75"/>
  <c r="AG124" i="75" s="1"/>
  <c r="AF122" i="75"/>
  <c r="AF124" i="75" s="1"/>
  <c r="AD122" i="75"/>
  <c r="AD124" i="75" s="1"/>
  <c r="AC122" i="75"/>
  <c r="AC124" i="75" s="1"/>
  <c r="AA122" i="75"/>
  <c r="AA124" i="75" s="1"/>
  <c r="AA132" i="75" s="1"/>
  <c r="Z122" i="75"/>
  <c r="Z124" i="75" s="1"/>
  <c r="X122" i="75"/>
  <c r="X124" i="75" s="1"/>
  <c r="W122" i="75"/>
  <c r="W124" i="75" s="1"/>
  <c r="W132" i="75" s="1"/>
  <c r="W134" i="75" s="1"/>
  <c r="U122" i="75"/>
  <c r="U124" i="75" s="1"/>
  <c r="T122" i="75"/>
  <c r="R122" i="75"/>
  <c r="R124" i="75" s="1"/>
  <c r="Q122" i="75"/>
  <c r="Q124" i="75" s="1"/>
  <c r="O122" i="75"/>
  <c r="O124" i="75" s="1"/>
  <c r="O132" i="75" s="1"/>
  <c r="N122" i="75"/>
  <c r="N124" i="75" s="1"/>
  <c r="L122" i="75"/>
  <c r="L124" i="75" s="1"/>
  <c r="L132" i="75" s="1"/>
  <c r="K122" i="75"/>
  <c r="I122" i="75"/>
  <c r="I124" i="75" s="1"/>
  <c r="H122" i="75"/>
  <c r="H124" i="75" s="1"/>
  <c r="F122" i="75"/>
  <c r="E121" i="75"/>
  <c r="D121" i="75"/>
  <c r="C121" i="75"/>
  <c r="E120" i="75"/>
  <c r="D120" i="75"/>
  <c r="C120" i="75"/>
  <c r="E119" i="75"/>
  <c r="D119" i="75"/>
  <c r="C119" i="75"/>
  <c r="E118" i="75"/>
  <c r="D118" i="75"/>
  <c r="C118" i="75"/>
  <c r="E117" i="75"/>
  <c r="D117" i="75"/>
  <c r="C117" i="75"/>
  <c r="E116" i="75"/>
  <c r="D116" i="75"/>
  <c r="C116" i="75"/>
  <c r="AN115" i="75"/>
  <c r="AN122" i="75" s="1"/>
  <c r="AN124" i="75" s="1"/>
  <c r="AN132" i="75" s="1"/>
  <c r="AK115" i="75"/>
  <c r="AK122" i="75" s="1"/>
  <c r="AK124" i="75" s="1"/>
  <c r="AH115" i="75"/>
  <c r="AE115" i="75"/>
  <c r="AE122" i="75" s="1"/>
  <c r="AE124" i="75" s="1"/>
  <c r="AE132" i="75" s="1"/>
  <c r="AB115" i="75"/>
  <c r="AB122" i="75" s="1"/>
  <c r="AB124" i="75" s="1"/>
  <c r="AB132" i="75" s="1"/>
  <c r="Y115" i="75"/>
  <c r="Y122" i="75" s="1"/>
  <c r="Y124" i="75" s="1"/>
  <c r="V115" i="75"/>
  <c r="S115" i="75"/>
  <c r="S122" i="75" s="1"/>
  <c r="S124" i="75" s="1"/>
  <c r="S132" i="75" s="1"/>
  <c r="P115" i="75"/>
  <c r="P122" i="75" s="1"/>
  <c r="P124" i="75" s="1"/>
  <c r="P132" i="75" s="1"/>
  <c r="M115" i="75"/>
  <c r="M122" i="75" s="1"/>
  <c r="M124" i="75" s="1"/>
  <c r="J115" i="75"/>
  <c r="J122" i="75" s="1"/>
  <c r="J124" i="75" s="1"/>
  <c r="G115" i="75"/>
  <c r="E115" i="75"/>
  <c r="C115" i="75"/>
  <c r="E112" i="75"/>
  <c r="R110" i="75"/>
  <c r="E109" i="75"/>
  <c r="D109" i="75"/>
  <c r="C109" i="75"/>
  <c r="E108" i="75"/>
  <c r="D108" i="75"/>
  <c r="C108" i="75"/>
  <c r="AO107" i="75"/>
  <c r="AO110" i="75" s="1"/>
  <c r="AN107" i="75"/>
  <c r="AN110" i="75" s="1"/>
  <c r="AM107" i="75"/>
  <c r="AM110" i="75" s="1"/>
  <c r="AL107" i="75"/>
  <c r="AL110" i="75" s="1"/>
  <c r="AK107" i="75"/>
  <c r="AK110" i="75" s="1"/>
  <c r="AJ107" i="75"/>
  <c r="AJ110" i="75" s="1"/>
  <c r="AI107" i="75"/>
  <c r="AI110" i="75" s="1"/>
  <c r="AH107" i="75"/>
  <c r="AH110" i="75" s="1"/>
  <c r="AG107" i="75"/>
  <c r="AG110" i="75" s="1"/>
  <c r="AF107" i="75"/>
  <c r="AF110" i="75" s="1"/>
  <c r="AE107" i="75"/>
  <c r="AE110" i="75" s="1"/>
  <c r="AD107" i="75"/>
  <c r="AD110" i="75" s="1"/>
  <c r="AC107" i="75"/>
  <c r="AC110" i="75" s="1"/>
  <c r="AB107" i="75"/>
  <c r="AB110" i="75" s="1"/>
  <c r="AA107" i="75"/>
  <c r="AA110" i="75" s="1"/>
  <c r="Z107" i="75"/>
  <c r="Z110" i="75" s="1"/>
  <c r="Y107" i="75"/>
  <c r="Y110" i="75" s="1"/>
  <c r="X107" i="75"/>
  <c r="X110" i="75" s="1"/>
  <c r="W107" i="75"/>
  <c r="W110" i="75" s="1"/>
  <c r="V107" i="75"/>
  <c r="V110" i="75" s="1"/>
  <c r="U107" i="75"/>
  <c r="U110" i="75" s="1"/>
  <c r="T107" i="75"/>
  <c r="T110" i="75" s="1"/>
  <c r="S107" i="75"/>
  <c r="S110" i="75" s="1"/>
  <c r="R107" i="75"/>
  <c r="Q107" i="75"/>
  <c r="Q110" i="75" s="1"/>
  <c r="P107" i="75"/>
  <c r="P110" i="75" s="1"/>
  <c r="O107" i="75"/>
  <c r="N107" i="75"/>
  <c r="N110" i="75" s="1"/>
  <c r="M107" i="75"/>
  <c r="M110" i="75" s="1"/>
  <c r="L107" i="75"/>
  <c r="L110" i="75" s="1"/>
  <c r="K107" i="75"/>
  <c r="K110" i="75" s="1"/>
  <c r="J107" i="75"/>
  <c r="J110" i="75" s="1"/>
  <c r="I107" i="75"/>
  <c r="I110" i="75" s="1"/>
  <c r="H107" i="75"/>
  <c r="G107" i="75"/>
  <c r="G110" i="75" s="1"/>
  <c r="F107" i="75"/>
  <c r="F110" i="75" s="1"/>
  <c r="E106" i="75"/>
  <c r="D106" i="75"/>
  <c r="C106" i="75"/>
  <c r="E105" i="75"/>
  <c r="D105" i="75"/>
  <c r="C105" i="75"/>
  <c r="E104" i="75"/>
  <c r="D104" i="75"/>
  <c r="C104" i="75"/>
  <c r="AN103" i="75"/>
  <c r="AN111" i="75" s="1"/>
  <c r="AG103" i="75"/>
  <c r="U103" i="75"/>
  <c r="U111" i="75" s="1"/>
  <c r="E102" i="75"/>
  <c r="D102" i="75"/>
  <c r="C102" i="75"/>
  <c r="H101" i="75"/>
  <c r="F101" i="75"/>
  <c r="C101" i="75" s="1"/>
  <c r="D101" i="75"/>
  <c r="AO100" i="75"/>
  <c r="AO103" i="75" s="1"/>
  <c r="AN100" i="75"/>
  <c r="AM100" i="75"/>
  <c r="AM103" i="75" s="1"/>
  <c r="AL100" i="75"/>
  <c r="AL103" i="75" s="1"/>
  <c r="AK100" i="75"/>
  <c r="AK103" i="75" s="1"/>
  <c r="AJ100" i="75"/>
  <c r="AJ103" i="75" s="1"/>
  <c r="AI100" i="75"/>
  <c r="AI103" i="75" s="1"/>
  <c r="AH100" i="75"/>
  <c r="AH103" i="75" s="1"/>
  <c r="AG100" i="75"/>
  <c r="AF100" i="75"/>
  <c r="AF103" i="75" s="1"/>
  <c r="AE100" i="75"/>
  <c r="AE103" i="75" s="1"/>
  <c r="AD100" i="75"/>
  <c r="AD103" i="75" s="1"/>
  <c r="AD111" i="75" s="1"/>
  <c r="AC100" i="75"/>
  <c r="AC103" i="75" s="1"/>
  <c r="AB100" i="75"/>
  <c r="AB103" i="75" s="1"/>
  <c r="AA100" i="75"/>
  <c r="AA103" i="75" s="1"/>
  <c r="Z100" i="75"/>
  <c r="Z103" i="75" s="1"/>
  <c r="Y100" i="75"/>
  <c r="Y103" i="75" s="1"/>
  <c r="X100" i="75"/>
  <c r="X103" i="75" s="1"/>
  <c r="W100" i="75"/>
  <c r="W103" i="75" s="1"/>
  <c r="V100" i="75"/>
  <c r="V103" i="75" s="1"/>
  <c r="U100" i="75"/>
  <c r="T100" i="75"/>
  <c r="T103" i="75" s="1"/>
  <c r="S100" i="75"/>
  <c r="S103" i="75" s="1"/>
  <c r="R100" i="75"/>
  <c r="R103" i="75" s="1"/>
  <c r="Q100" i="75"/>
  <c r="Q103" i="75" s="1"/>
  <c r="P100" i="75"/>
  <c r="P103" i="75" s="1"/>
  <c r="O100" i="75"/>
  <c r="O103" i="75" s="1"/>
  <c r="N100" i="75"/>
  <c r="N103" i="75" s="1"/>
  <c r="M100" i="75"/>
  <c r="M103" i="75" s="1"/>
  <c r="L100" i="75"/>
  <c r="L103" i="75" s="1"/>
  <c r="K100" i="75"/>
  <c r="K103" i="75" s="1"/>
  <c r="J100" i="75"/>
  <c r="J103" i="75" s="1"/>
  <c r="I100" i="75"/>
  <c r="I103" i="75" s="1"/>
  <c r="I111" i="75" s="1"/>
  <c r="H100" i="75"/>
  <c r="G100" i="75"/>
  <c r="F100" i="75"/>
  <c r="E99" i="75"/>
  <c r="D99" i="75"/>
  <c r="C99" i="75"/>
  <c r="E98" i="75"/>
  <c r="D98" i="75"/>
  <c r="C98" i="75"/>
  <c r="E97" i="75"/>
  <c r="D97" i="75"/>
  <c r="C97" i="75"/>
  <c r="E96" i="75"/>
  <c r="D96" i="75"/>
  <c r="C96" i="75"/>
  <c r="W88" i="75"/>
  <c r="H88" i="75"/>
  <c r="H42" i="75" s="1"/>
  <c r="AO85" i="75"/>
  <c r="AO39" i="75" s="1"/>
  <c r="AN85" i="75"/>
  <c r="AL85" i="75"/>
  <c r="AL39" i="75" s="1"/>
  <c r="AK85" i="75"/>
  <c r="AI85" i="75"/>
  <c r="AH85" i="75"/>
  <c r="AF85" i="75"/>
  <c r="AF39" i="75" s="1"/>
  <c r="AE85" i="75"/>
  <c r="AE39" i="75" s="1"/>
  <c r="AC85" i="75"/>
  <c r="AB85" i="75"/>
  <c r="Z85" i="75"/>
  <c r="Z39" i="75" s="1"/>
  <c r="Y85" i="75"/>
  <c r="W85" i="75"/>
  <c r="V85" i="75"/>
  <c r="T85" i="75"/>
  <c r="T39" i="75" s="1"/>
  <c r="S85" i="75"/>
  <c r="Q85" i="75"/>
  <c r="Q39" i="75" s="1"/>
  <c r="P85" i="75"/>
  <c r="N85" i="75"/>
  <c r="N39" i="75" s="1"/>
  <c r="M85" i="75"/>
  <c r="K85" i="75"/>
  <c r="J85" i="75"/>
  <c r="H85" i="75"/>
  <c r="H39" i="75" s="1"/>
  <c r="G85" i="75"/>
  <c r="E84" i="75"/>
  <c r="D84" i="75"/>
  <c r="C84" i="75"/>
  <c r="AO83" i="75"/>
  <c r="AN83" i="75"/>
  <c r="AN86" i="75" s="1"/>
  <c r="AM83" i="75"/>
  <c r="AL83" i="75"/>
  <c r="AL86" i="75" s="1"/>
  <c r="AK83" i="75"/>
  <c r="AJ83" i="75"/>
  <c r="AI83" i="75"/>
  <c r="AI86" i="75" s="1"/>
  <c r="AH83" i="75"/>
  <c r="AH86" i="75" s="1"/>
  <c r="AG83" i="75"/>
  <c r="AF83" i="75"/>
  <c r="AE83" i="75"/>
  <c r="AD83" i="75"/>
  <c r="AC83" i="75"/>
  <c r="AB83" i="75"/>
  <c r="AB86" i="75" s="1"/>
  <c r="AA83" i="75"/>
  <c r="Z83" i="75"/>
  <c r="Z86" i="75" s="1"/>
  <c r="Y83" i="75"/>
  <c r="X83" i="75"/>
  <c r="W83" i="75"/>
  <c r="W86" i="75" s="1"/>
  <c r="V83" i="75"/>
  <c r="V86" i="75" s="1"/>
  <c r="U83" i="75"/>
  <c r="T83" i="75"/>
  <c r="S83" i="75"/>
  <c r="S86" i="75" s="1"/>
  <c r="R83" i="75"/>
  <c r="Q83" i="75"/>
  <c r="P83" i="75"/>
  <c r="P86" i="75" s="1"/>
  <c r="O83" i="75"/>
  <c r="N83" i="75"/>
  <c r="N86" i="75" s="1"/>
  <c r="M83" i="75"/>
  <c r="L83" i="75"/>
  <c r="K83" i="75"/>
  <c r="J83" i="75"/>
  <c r="J86" i="75" s="1"/>
  <c r="I83" i="75"/>
  <c r="H83" i="75"/>
  <c r="G83" i="75"/>
  <c r="F83" i="75"/>
  <c r="C83" i="75" s="1"/>
  <c r="E82" i="75"/>
  <c r="D82" i="75"/>
  <c r="C82" i="75"/>
  <c r="E81" i="75"/>
  <c r="D81" i="75"/>
  <c r="C81" i="75"/>
  <c r="E80" i="75"/>
  <c r="D80" i="75"/>
  <c r="C80" i="75"/>
  <c r="AO78" i="75"/>
  <c r="AO32" i="75" s="1"/>
  <c r="AN78" i="75"/>
  <c r="AM78" i="75"/>
  <c r="AM32" i="75" s="1"/>
  <c r="AL78" i="75"/>
  <c r="AK78" i="75"/>
  <c r="AK32" i="75" s="1"/>
  <c r="AJ78" i="75"/>
  <c r="AI78" i="75"/>
  <c r="AI32" i="75" s="1"/>
  <c r="AH78" i="75"/>
  <c r="AG78" i="75"/>
  <c r="AG32" i="75" s="1"/>
  <c r="AF78" i="75"/>
  <c r="AE78" i="75"/>
  <c r="AE32" i="75" s="1"/>
  <c r="AD78" i="75"/>
  <c r="AC78" i="75"/>
  <c r="AC32" i="75" s="1"/>
  <c r="AB78" i="75"/>
  <c r="AA78" i="75"/>
  <c r="AA32" i="75" s="1"/>
  <c r="Z78" i="75"/>
  <c r="Y78" i="75"/>
  <c r="Y32" i="75" s="1"/>
  <c r="X78" i="75"/>
  <c r="W78" i="75"/>
  <c r="W32" i="75" s="1"/>
  <c r="V78" i="75"/>
  <c r="U78" i="75"/>
  <c r="U32" i="75" s="1"/>
  <c r="T78" i="75"/>
  <c r="S78" i="75"/>
  <c r="S32" i="75" s="1"/>
  <c r="R78" i="75"/>
  <c r="Q78" i="75"/>
  <c r="Q32" i="75" s="1"/>
  <c r="P78" i="75"/>
  <c r="O78" i="75"/>
  <c r="O32" i="75" s="1"/>
  <c r="N78" i="75"/>
  <c r="M78" i="75"/>
  <c r="M32" i="75" s="1"/>
  <c r="L78" i="75"/>
  <c r="K78" i="75"/>
  <c r="K32" i="75" s="1"/>
  <c r="J78" i="75"/>
  <c r="I78" i="75"/>
  <c r="I32" i="75" s="1"/>
  <c r="G78" i="75"/>
  <c r="F78" i="75"/>
  <c r="F32" i="75" s="1"/>
  <c r="AO77" i="75"/>
  <c r="AO79" i="75" s="1"/>
  <c r="AN77" i="75"/>
  <c r="AN79" i="75" s="1"/>
  <c r="AM77" i="75"/>
  <c r="AL77" i="75"/>
  <c r="AL79" i="75" s="1"/>
  <c r="AL87" i="75" s="1"/>
  <c r="AL89" i="75" s="1"/>
  <c r="AK77" i="75"/>
  <c r="AJ77" i="75"/>
  <c r="AJ79" i="75" s="1"/>
  <c r="AI77" i="75"/>
  <c r="AH77" i="75"/>
  <c r="AH79" i="75" s="1"/>
  <c r="AH87" i="75" s="1"/>
  <c r="AG77" i="75"/>
  <c r="AF77" i="75"/>
  <c r="AF79" i="75" s="1"/>
  <c r="AE77" i="75"/>
  <c r="AD77" i="75"/>
  <c r="AD79" i="75" s="1"/>
  <c r="AC77" i="75"/>
  <c r="AB77" i="75"/>
  <c r="AB79" i="75" s="1"/>
  <c r="AA77" i="75"/>
  <c r="Z77" i="75"/>
  <c r="Z79" i="75" s="1"/>
  <c r="Z87" i="75" s="1"/>
  <c r="Z89" i="75" s="1"/>
  <c r="Y77" i="75"/>
  <c r="X77" i="75"/>
  <c r="X79" i="75" s="1"/>
  <c r="W77" i="75"/>
  <c r="V77" i="75"/>
  <c r="V79" i="75" s="1"/>
  <c r="V87" i="75" s="1"/>
  <c r="U77" i="75"/>
  <c r="T77" i="75"/>
  <c r="T79" i="75" s="1"/>
  <c r="S77" i="75"/>
  <c r="R77" i="75"/>
  <c r="R79" i="75" s="1"/>
  <c r="Q77" i="75"/>
  <c r="P77" i="75"/>
  <c r="P79" i="75" s="1"/>
  <c r="O77" i="75"/>
  <c r="N77" i="75"/>
  <c r="N79" i="75" s="1"/>
  <c r="N87" i="75" s="1"/>
  <c r="N89" i="75" s="1"/>
  <c r="M77" i="75"/>
  <c r="L77" i="75"/>
  <c r="L79" i="75" s="1"/>
  <c r="K77" i="75"/>
  <c r="I77" i="75"/>
  <c r="H77" i="75"/>
  <c r="G77" i="75"/>
  <c r="G79" i="75" s="1"/>
  <c r="F77" i="75"/>
  <c r="E76" i="75"/>
  <c r="D76" i="75"/>
  <c r="C76" i="75"/>
  <c r="E75" i="75"/>
  <c r="D75" i="75"/>
  <c r="C75" i="75"/>
  <c r="J74" i="75"/>
  <c r="E74" i="75"/>
  <c r="C74" i="75"/>
  <c r="E73" i="75"/>
  <c r="D73" i="75"/>
  <c r="C73" i="75"/>
  <c r="E72" i="75"/>
  <c r="D72" i="75"/>
  <c r="C72" i="75"/>
  <c r="E71" i="75"/>
  <c r="D71" i="75"/>
  <c r="C71" i="75"/>
  <c r="E70" i="75"/>
  <c r="D70" i="75"/>
  <c r="C70" i="75"/>
  <c r="W67" i="75"/>
  <c r="H67" i="75"/>
  <c r="E67" i="75" s="1"/>
  <c r="E64" i="75"/>
  <c r="D64" i="75"/>
  <c r="C64" i="75"/>
  <c r="E63" i="75"/>
  <c r="D63" i="75"/>
  <c r="C63" i="75"/>
  <c r="AO62" i="75"/>
  <c r="AO65" i="75" s="1"/>
  <c r="AN62" i="75"/>
  <c r="AN65" i="75" s="1"/>
  <c r="AM62" i="75"/>
  <c r="AM65" i="75" s="1"/>
  <c r="AL62" i="75"/>
  <c r="AL65" i="75" s="1"/>
  <c r="AK62" i="75"/>
  <c r="AK65" i="75" s="1"/>
  <c r="AJ62" i="75"/>
  <c r="AJ65" i="75" s="1"/>
  <c r="AI62" i="75"/>
  <c r="AI65" i="75" s="1"/>
  <c r="AH62" i="75"/>
  <c r="AH65" i="75" s="1"/>
  <c r="AG62" i="75"/>
  <c r="AG65" i="75" s="1"/>
  <c r="AF62" i="75"/>
  <c r="AF65" i="75" s="1"/>
  <c r="AE62" i="75"/>
  <c r="AE65" i="75" s="1"/>
  <c r="AD62" i="75"/>
  <c r="AD65" i="75" s="1"/>
  <c r="AC62" i="75"/>
  <c r="AC65" i="75" s="1"/>
  <c r="AB62" i="75"/>
  <c r="AB65" i="75" s="1"/>
  <c r="AA62" i="75"/>
  <c r="AA65" i="75" s="1"/>
  <c r="Z62" i="75"/>
  <c r="Z65" i="75" s="1"/>
  <c r="Y62" i="75"/>
  <c r="Y65" i="75" s="1"/>
  <c r="X62" i="75"/>
  <c r="X65" i="75" s="1"/>
  <c r="W62" i="75"/>
  <c r="W65" i="75" s="1"/>
  <c r="V62" i="75"/>
  <c r="V65" i="75" s="1"/>
  <c r="U62" i="75"/>
  <c r="U65" i="75" s="1"/>
  <c r="T62" i="75"/>
  <c r="T65" i="75" s="1"/>
  <c r="S62" i="75"/>
  <c r="S65" i="75" s="1"/>
  <c r="R62" i="75"/>
  <c r="R65" i="75" s="1"/>
  <c r="Q62" i="75"/>
  <c r="Q65" i="75" s="1"/>
  <c r="P62" i="75"/>
  <c r="P65" i="75" s="1"/>
  <c r="O62" i="75"/>
  <c r="O65" i="75" s="1"/>
  <c r="N62" i="75"/>
  <c r="N65" i="75" s="1"/>
  <c r="M62" i="75"/>
  <c r="M65" i="75" s="1"/>
  <c r="L62" i="75"/>
  <c r="L65" i="75" s="1"/>
  <c r="K62" i="75"/>
  <c r="K65" i="75" s="1"/>
  <c r="J62" i="75"/>
  <c r="J65" i="75" s="1"/>
  <c r="I62" i="75"/>
  <c r="I65" i="75" s="1"/>
  <c r="H62" i="75"/>
  <c r="H65" i="75" s="1"/>
  <c r="G62" i="75"/>
  <c r="G65" i="75" s="1"/>
  <c r="F62" i="75"/>
  <c r="E61" i="75"/>
  <c r="D61" i="75"/>
  <c r="C61" i="75"/>
  <c r="E60" i="75"/>
  <c r="D60" i="75"/>
  <c r="C60" i="75"/>
  <c r="E59" i="75"/>
  <c r="D59" i="75"/>
  <c r="C59" i="75"/>
  <c r="E57" i="75"/>
  <c r="D57" i="75"/>
  <c r="C57" i="75"/>
  <c r="H56" i="75"/>
  <c r="E56" i="75" s="1"/>
  <c r="G56" i="75"/>
  <c r="F56" i="75"/>
  <c r="C56" i="75" s="1"/>
  <c r="AO55" i="75"/>
  <c r="AO58" i="75" s="1"/>
  <c r="AN55" i="75"/>
  <c r="AN58" i="75" s="1"/>
  <c r="AM55" i="75"/>
  <c r="AM58" i="75" s="1"/>
  <c r="AM66" i="75" s="1"/>
  <c r="AL55" i="75"/>
  <c r="AL58" i="75" s="1"/>
  <c r="AK55" i="75"/>
  <c r="AK58" i="75" s="1"/>
  <c r="AJ55" i="75"/>
  <c r="AJ58" i="75" s="1"/>
  <c r="AJ66" i="75" s="1"/>
  <c r="AI55" i="75"/>
  <c r="AI58" i="75" s="1"/>
  <c r="AH55" i="75"/>
  <c r="AH58" i="75" s="1"/>
  <c r="AG55" i="75"/>
  <c r="AG58" i="75" s="1"/>
  <c r="AG66" i="75" s="1"/>
  <c r="AF55" i="75"/>
  <c r="AF58" i="75" s="1"/>
  <c r="AE55" i="75"/>
  <c r="AE58" i="75" s="1"/>
  <c r="AD55" i="75"/>
  <c r="AD58" i="75" s="1"/>
  <c r="AD66" i="75" s="1"/>
  <c r="AC55" i="75"/>
  <c r="AC58" i="75" s="1"/>
  <c r="AB55" i="75"/>
  <c r="AB58" i="75" s="1"/>
  <c r="AA55" i="75"/>
  <c r="AA58" i="75" s="1"/>
  <c r="AA66" i="75" s="1"/>
  <c r="Z55" i="75"/>
  <c r="Z58" i="75" s="1"/>
  <c r="Y55" i="75"/>
  <c r="Y58" i="75" s="1"/>
  <c r="X55" i="75"/>
  <c r="X58" i="75" s="1"/>
  <c r="W55" i="75"/>
  <c r="W58" i="75" s="1"/>
  <c r="V55" i="75"/>
  <c r="V58" i="75" s="1"/>
  <c r="U55" i="75"/>
  <c r="U58" i="75" s="1"/>
  <c r="U66" i="75" s="1"/>
  <c r="T55" i="75"/>
  <c r="T58" i="75" s="1"/>
  <c r="S55" i="75"/>
  <c r="S58" i="75" s="1"/>
  <c r="R55" i="75"/>
  <c r="R58" i="75" s="1"/>
  <c r="R66" i="75" s="1"/>
  <c r="Q55" i="75"/>
  <c r="Q58" i="75" s="1"/>
  <c r="P55" i="75"/>
  <c r="P58" i="75" s="1"/>
  <c r="O55" i="75"/>
  <c r="O58" i="75" s="1"/>
  <c r="O66" i="75" s="1"/>
  <c r="N55" i="75"/>
  <c r="M55" i="75"/>
  <c r="M58" i="75" s="1"/>
  <c r="L55" i="75"/>
  <c r="L58" i="75" s="1"/>
  <c r="L66" i="75" s="1"/>
  <c r="K55" i="75"/>
  <c r="K58" i="75" s="1"/>
  <c r="J55" i="75"/>
  <c r="J58" i="75" s="1"/>
  <c r="I55" i="75"/>
  <c r="I58" i="75" s="1"/>
  <c r="I66" i="75" s="1"/>
  <c r="H55" i="75"/>
  <c r="G55" i="75"/>
  <c r="F55" i="75"/>
  <c r="E54" i="75"/>
  <c r="D54" i="75"/>
  <c r="C54" i="75"/>
  <c r="E53" i="75"/>
  <c r="D53" i="75"/>
  <c r="C53" i="75"/>
  <c r="E52" i="75"/>
  <c r="D52" i="75"/>
  <c r="C52" i="75"/>
  <c r="E51" i="75"/>
  <c r="D51" i="75"/>
  <c r="C51" i="75"/>
  <c r="AO42" i="75"/>
  <c r="AL42" i="75"/>
  <c r="AI42" i="75"/>
  <c r="AF42" i="75"/>
  <c r="AC42" i="75"/>
  <c r="Z42" i="75"/>
  <c r="W42" i="75"/>
  <c r="T42" i="75"/>
  <c r="Q42" i="75"/>
  <c r="N42" i="75"/>
  <c r="K42" i="75"/>
  <c r="AI39" i="75"/>
  <c r="AC39" i="75"/>
  <c r="W39" i="75"/>
  <c r="S39" i="75"/>
  <c r="M39" i="75"/>
  <c r="K39" i="75"/>
  <c r="G39" i="75"/>
  <c r="AO38" i="75"/>
  <c r="AN38" i="75"/>
  <c r="AM38" i="75"/>
  <c r="AL38" i="75"/>
  <c r="AK38" i="75"/>
  <c r="AJ38" i="75"/>
  <c r="AI38" i="75"/>
  <c r="AH38" i="75"/>
  <c r="AG38" i="75"/>
  <c r="AF38" i="75"/>
  <c r="AE38" i="75"/>
  <c r="AD38" i="75"/>
  <c r="AC38" i="75"/>
  <c r="AB38" i="75"/>
  <c r="AA38" i="75"/>
  <c r="Z38" i="75"/>
  <c r="Y38" i="75"/>
  <c r="X38" i="75"/>
  <c r="W38" i="75"/>
  <c r="V38" i="75"/>
  <c r="U38" i="75"/>
  <c r="T38" i="75"/>
  <c r="S38" i="75"/>
  <c r="R38" i="75"/>
  <c r="Q38" i="75"/>
  <c r="P38" i="75"/>
  <c r="O38" i="75"/>
  <c r="N38" i="75"/>
  <c r="M38" i="75"/>
  <c r="L38" i="75"/>
  <c r="K38" i="75"/>
  <c r="J38" i="75"/>
  <c r="I38" i="75"/>
  <c r="H38" i="75"/>
  <c r="G38" i="75"/>
  <c r="F38" i="75"/>
  <c r="AO36" i="75"/>
  <c r="AN36" i="75"/>
  <c r="AM36" i="75"/>
  <c r="AL36" i="75"/>
  <c r="AK36" i="75"/>
  <c r="AJ36" i="75"/>
  <c r="AI36" i="75"/>
  <c r="AH36" i="75"/>
  <c r="AG36" i="75"/>
  <c r="AF36" i="75"/>
  <c r="AE36" i="75"/>
  <c r="AD36" i="75"/>
  <c r="AC36" i="75"/>
  <c r="AB36" i="75"/>
  <c r="AA36" i="75"/>
  <c r="Z36" i="75"/>
  <c r="Y36" i="75"/>
  <c r="X36" i="75"/>
  <c r="W36" i="75"/>
  <c r="V36" i="75"/>
  <c r="U36" i="75"/>
  <c r="T36" i="75"/>
  <c r="S36" i="75"/>
  <c r="R36" i="75"/>
  <c r="Q36" i="75"/>
  <c r="P36" i="75"/>
  <c r="O36" i="75"/>
  <c r="N36" i="75"/>
  <c r="M36" i="75"/>
  <c r="L36" i="75"/>
  <c r="K36" i="75"/>
  <c r="J36" i="75"/>
  <c r="I36" i="75"/>
  <c r="H36" i="75"/>
  <c r="G36" i="75"/>
  <c r="F36" i="75"/>
  <c r="AO35" i="75"/>
  <c r="AN35" i="75"/>
  <c r="AM35" i="75"/>
  <c r="AL35" i="75"/>
  <c r="AK35" i="75"/>
  <c r="AJ35" i="75"/>
  <c r="AI35" i="75"/>
  <c r="AH35" i="75"/>
  <c r="AG35" i="75"/>
  <c r="AF35" i="75"/>
  <c r="AE35" i="75"/>
  <c r="AD35" i="75"/>
  <c r="AC35" i="75"/>
  <c r="AB35" i="75"/>
  <c r="AA35" i="75"/>
  <c r="Z35" i="75"/>
  <c r="Y35" i="75"/>
  <c r="X35" i="75"/>
  <c r="W35" i="75"/>
  <c r="V35" i="75"/>
  <c r="U35" i="75"/>
  <c r="T35" i="75"/>
  <c r="S35" i="75"/>
  <c r="R35" i="75"/>
  <c r="Q35" i="75"/>
  <c r="P35" i="75"/>
  <c r="N35" i="75"/>
  <c r="M35" i="75"/>
  <c r="L35" i="75"/>
  <c r="K35" i="75"/>
  <c r="J35" i="75"/>
  <c r="I35" i="75"/>
  <c r="H35" i="75"/>
  <c r="G35" i="75"/>
  <c r="F35" i="75"/>
  <c r="AO34" i="75"/>
  <c r="AO37" i="75" s="1"/>
  <c r="AN34" i="75"/>
  <c r="AN37" i="75" s="1"/>
  <c r="AM34" i="75"/>
  <c r="AL34" i="75"/>
  <c r="AK34" i="75"/>
  <c r="AK37" i="75" s="1"/>
  <c r="AJ34" i="75"/>
  <c r="AJ37" i="75" s="1"/>
  <c r="AI34" i="75"/>
  <c r="AH34" i="75"/>
  <c r="AG34" i="75"/>
  <c r="AG37" i="75" s="1"/>
  <c r="AF34" i="75"/>
  <c r="AF37" i="75" s="1"/>
  <c r="AE34" i="75"/>
  <c r="AC34" i="75"/>
  <c r="AB34" i="75"/>
  <c r="Z34" i="75"/>
  <c r="Y34" i="75"/>
  <c r="X34" i="75"/>
  <c r="W34" i="75"/>
  <c r="V34" i="75"/>
  <c r="U34" i="75"/>
  <c r="T34" i="75"/>
  <c r="S34" i="75"/>
  <c r="Q34" i="75"/>
  <c r="P34" i="75"/>
  <c r="P37" i="75" s="1"/>
  <c r="N34" i="75"/>
  <c r="M34" i="75"/>
  <c r="L34" i="75"/>
  <c r="L37" i="75" s="1"/>
  <c r="K34" i="75"/>
  <c r="J34" i="75"/>
  <c r="I34" i="75"/>
  <c r="H34" i="75"/>
  <c r="H37" i="75" s="1"/>
  <c r="G34" i="75"/>
  <c r="F34" i="75"/>
  <c r="AN32" i="75"/>
  <c r="AL32" i="75"/>
  <c r="AJ32" i="75"/>
  <c r="AH32" i="75"/>
  <c r="AF32" i="75"/>
  <c r="AD32" i="75"/>
  <c r="AB32" i="75"/>
  <c r="Z32" i="75"/>
  <c r="X32" i="75"/>
  <c r="V32" i="75"/>
  <c r="T32" i="75"/>
  <c r="R32" i="75"/>
  <c r="P32" i="75"/>
  <c r="N32" i="75"/>
  <c r="L32" i="75"/>
  <c r="J32" i="75"/>
  <c r="G32" i="75"/>
  <c r="AO30" i="75"/>
  <c r="AN30" i="75"/>
  <c r="AM30" i="75"/>
  <c r="AL30" i="75"/>
  <c r="AK30" i="75"/>
  <c r="AJ30" i="75"/>
  <c r="AI30" i="75"/>
  <c r="AH30" i="75"/>
  <c r="AG30" i="75"/>
  <c r="AF30" i="75"/>
  <c r="AE30" i="75"/>
  <c r="AD30" i="75"/>
  <c r="AC30" i="75"/>
  <c r="AB30" i="75"/>
  <c r="AA30" i="75"/>
  <c r="Z30" i="75"/>
  <c r="Y30" i="75"/>
  <c r="X30" i="75"/>
  <c r="W30" i="75"/>
  <c r="V30" i="75"/>
  <c r="U30" i="75"/>
  <c r="T30" i="75"/>
  <c r="S30" i="75"/>
  <c r="R30" i="75"/>
  <c r="Q30" i="75"/>
  <c r="P30" i="75"/>
  <c r="O30" i="75"/>
  <c r="N30" i="75"/>
  <c r="M30" i="75"/>
  <c r="D30" i="75" s="1"/>
  <c r="L30" i="75"/>
  <c r="K30" i="75"/>
  <c r="J30" i="75"/>
  <c r="I30" i="75"/>
  <c r="H30" i="75"/>
  <c r="G30" i="75"/>
  <c r="F30" i="75"/>
  <c r="E30" i="75"/>
  <c r="AO29" i="75"/>
  <c r="AN29" i="75"/>
  <c r="AM29" i="75"/>
  <c r="AL29" i="75"/>
  <c r="AK29" i="75"/>
  <c r="AJ29" i="75"/>
  <c r="AI29" i="75"/>
  <c r="AH29" i="75"/>
  <c r="AG29" i="75"/>
  <c r="AF29" i="75"/>
  <c r="AE29" i="75"/>
  <c r="AD29" i="75"/>
  <c r="AC29" i="75"/>
  <c r="AB29" i="75"/>
  <c r="AA29" i="75"/>
  <c r="Z29" i="75"/>
  <c r="Y29" i="75"/>
  <c r="X29" i="75"/>
  <c r="W29" i="75"/>
  <c r="V29" i="75"/>
  <c r="U29" i="75"/>
  <c r="T29" i="75"/>
  <c r="S29" i="75"/>
  <c r="R29" i="75"/>
  <c r="Q29" i="75"/>
  <c r="P29" i="75"/>
  <c r="O29" i="75"/>
  <c r="N29" i="75"/>
  <c r="M29" i="75"/>
  <c r="L29" i="75"/>
  <c r="K29" i="75"/>
  <c r="J29" i="75"/>
  <c r="I29" i="75"/>
  <c r="H29" i="75"/>
  <c r="G29" i="75"/>
  <c r="F29" i="75"/>
  <c r="C29" i="75" s="1"/>
  <c r="AO28" i="75"/>
  <c r="AN28" i="75"/>
  <c r="AM28" i="75"/>
  <c r="AL28" i="75"/>
  <c r="AK28" i="75"/>
  <c r="AJ28" i="75"/>
  <c r="AI28" i="75"/>
  <c r="AH28" i="75"/>
  <c r="AG28" i="75"/>
  <c r="AF28" i="75"/>
  <c r="AE28" i="75"/>
  <c r="AD28" i="75"/>
  <c r="AC28" i="75"/>
  <c r="AB28" i="75"/>
  <c r="AA28" i="75"/>
  <c r="Z28" i="75"/>
  <c r="Y28" i="75"/>
  <c r="X28" i="75"/>
  <c r="W28" i="75"/>
  <c r="V28" i="75"/>
  <c r="U28" i="75"/>
  <c r="T28" i="75"/>
  <c r="S28" i="75"/>
  <c r="R28" i="75"/>
  <c r="Q28" i="75"/>
  <c r="P28" i="75"/>
  <c r="O28" i="75"/>
  <c r="N28" i="75"/>
  <c r="M28" i="75"/>
  <c r="L28" i="75"/>
  <c r="K28" i="75"/>
  <c r="J28" i="75"/>
  <c r="I28" i="75"/>
  <c r="H28" i="75"/>
  <c r="G28" i="75"/>
  <c r="F28" i="75"/>
  <c r="AO27" i="75"/>
  <c r="AN27" i="75"/>
  <c r="AM27" i="75"/>
  <c r="AL27" i="75"/>
  <c r="AK27" i="75"/>
  <c r="AJ27" i="75"/>
  <c r="AI27" i="75"/>
  <c r="AH27" i="75"/>
  <c r="AG27" i="75"/>
  <c r="AF27" i="75"/>
  <c r="AE27" i="75"/>
  <c r="AD27" i="75"/>
  <c r="AC27" i="75"/>
  <c r="AB27" i="75"/>
  <c r="AA27" i="75"/>
  <c r="Z27" i="75"/>
  <c r="Y27" i="75"/>
  <c r="X27" i="75"/>
  <c r="W27" i="75"/>
  <c r="V27" i="75"/>
  <c r="U27" i="75"/>
  <c r="T27" i="75"/>
  <c r="S27" i="75"/>
  <c r="R27" i="75"/>
  <c r="Q27" i="75"/>
  <c r="P27" i="75"/>
  <c r="O27" i="75"/>
  <c r="N27" i="75"/>
  <c r="M27" i="75"/>
  <c r="L27" i="75"/>
  <c r="K27" i="75"/>
  <c r="J27" i="75"/>
  <c r="I27" i="75"/>
  <c r="H27" i="75"/>
  <c r="G27" i="75"/>
  <c r="F27" i="75"/>
  <c r="AO26" i="75"/>
  <c r="AN26" i="75"/>
  <c r="AM26" i="75"/>
  <c r="AL26" i="75"/>
  <c r="AK26" i="75"/>
  <c r="AJ26" i="75"/>
  <c r="AI26" i="75"/>
  <c r="AH26" i="75"/>
  <c r="AG26" i="75"/>
  <c r="AF26" i="75"/>
  <c r="AE26" i="75"/>
  <c r="AD26" i="75"/>
  <c r="AC26" i="75"/>
  <c r="AB26" i="75"/>
  <c r="AA26" i="75"/>
  <c r="Z26" i="75"/>
  <c r="Y26" i="75"/>
  <c r="X26" i="75"/>
  <c r="W26" i="75"/>
  <c r="V26" i="75"/>
  <c r="U26" i="75"/>
  <c r="T26" i="75"/>
  <c r="S26" i="75"/>
  <c r="R26" i="75"/>
  <c r="Q26" i="75"/>
  <c r="P26" i="75"/>
  <c r="O26" i="75"/>
  <c r="N26" i="75"/>
  <c r="M26" i="75"/>
  <c r="L26" i="75"/>
  <c r="K26" i="75"/>
  <c r="J26" i="75"/>
  <c r="I26" i="75"/>
  <c r="H26" i="75"/>
  <c r="G26" i="75"/>
  <c r="F26" i="75"/>
  <c r="AO25" i="75"/>
  <c r="AN25" i="75"/>
  <c r="AM25" i="75"/>
  <c r="AL25" i="75"/>
  <c r="AK25" i="75"/>
  <c r="AJ25" i="75"/>
  <c r="AI25" i="75"/>
  <c r="AH25" i="75"/>
  <c r="AG25" i="75"/>
  <c r="AF25" i="75"/>
  <c r="AE25" i="75"/>
  <c r="AD25" i="75"/>
  <c r="AC25" i="75"/>
  <c r="AB25" i="75"/>
  <c r="AA25" i="75"/>
  <c r="Z25" i="75"/>
  <c r="Y25" i="75"/>
  <c r="X25" i="75"/>
  <c r="W25" i="75"/>
  <c r="V25" i="75"/>
  <c r="U25" i="75"/>
  <c r="T25" i="75"/>
  <c r="S25" i="75"/>
  <c r="R25" i="75"/>
  <c r="Q25" i="75"/>
  <c r="P25" i="75"/>
  <c r="O25" i="75"/>
  <c r="N25" i="75"/>
  <c r="M25" i="75"/>
  <c r="L25" i="75"/>
  <c r="K25" i="75"/>
  <c r="J25" i="75"/>
  <c r="I25" i="75"/>
  <c r="H25" i="75"/>
  <c r="G25" i="75"/>
  <c r="F25" i="75"/>
  <c r="AO24" i="75"/>
  <c r="AM24" i="75"/>
  <c r="AL24" i="75"/>
  <c r="AL31" i="75" s="1"/>
  <c r="AL33" i="75" s="1"/>
  <c r="AK24" i="75"/>
  <c r="AJ24" i="75"/>
  <c r="AJ31" i="75" s="1"/>
  <c r="AI24" i="75"/>
  <c r="AG24" i="75"/>
  <c r="AF24" i="75"/>
  <c r="AF31" i="75" s="1"/>
  <c r="AF33" i="75" s="1"/>
  <c r="AE24" i="75"/>
  <c r="AD24" i="75"/>
  <c r="AD31" i="75" s="1"/>
  <c r="AD33" i="75" s="1"/>
  <c r="AC24" i="75"/>
  <c r="AA24" i="75"/>
  <c r="Z24" i="75"/>
  <c r="Y24" i="75"/>
  <c r="X24" i="75"/>
  <c r="X31" i="75" s="1"/>
  <c r="X33" i="75" s="1"/>
  <c r="W24" i="75"/>
  <c r="U24" i="75"/>
  <c r="T24" i="75"/>
  <c r="R24" i="75"/>
  <c r="Q24" i="75"/>
  <c r="O24" i="75"/>
  <c r="N24" i="75"/>
  <c r="N31" i="75" s="1"/>
  <c r="N33" i="75" s="1"/>
  <c r="K24" i="75"/>
  <c r="I24" i="75"/>
  <c r="H24" i="75"/>
  <c r="F24" i="75"/>
  <c r="AO21" i="75"/>
  <c r="AL21" i="75"/>
  <c r="AI21" i="75"/>
  <c r="AF21" i="75"/>
  <c r="AC21" i="75"/>
  <c r="Z21" i="75"/>
  <c r="W21" i="75"/>
  <c r="T21" i="75"/>
  <c r="Q21" i="75"/>
  <c r="N21" i="75"/>
  <c r="K21" i="75"/>
  <c r="H21" i="75"/>
  <c r="AO18" i="75"/>
  <c r="AN18" i="75"/>
  <c r="AM18" i="75"/>
  <c r="AL18" i="75"/>
  <c r="AK18" i="75"/>
  <c r="AJ18" i="75"/>
  <c r="AI18" i="75"/>
  <c r="AH18" i="75"/>
  <c r="AG18" i="75"/>
  <c r="AF18" i="75"/>
  <c r="AE18" i="75"/>
  <c r="AD18" i="75"/>
  <c r="AC18" i="75"/>
  <c r="AB18" i="75"/>
  <c r="AA18" i="75"/>
  <c r="Z18" i="75"/>
  <c r="Y18" i="75"/>
  <c r="X18" i="75"/>
  <c r="W18" i="75"/>
  <c r="V18" i="75"/>
  <c r="U18" i="75"/>
  <c r="T18" i="75"/>
  <c r="S18" i="75"/>
  <c r="R18" i="75"/>
  <c r="Q18" i="75"/>
  <c r="P18" i="75"/>
  <c r="O18" i="75"/>
  <c r="N18" i="75"/>
  <c r="M18" i="75"/>
  <c r="L18" i="75"/>
  <c r="K18" i="75"/>
  <c r="J18" i="75"/>
  <c r="I18" i="75"/>
  <c r="H18" i="75"/>
  <c r="G18" i="75"/>
  <c r="F18" i="75"/>
  <c r="AO17" i="75"/>
  <c r="AN17" i="75"/>
  <c r="AM17" i="75"/>
  <c r="AL17" i="75"/>
  <c r="AK17" i="75"/>
  <c r="AJ17" i="75"/>
  <c r="AI17" i="75"/>
  <c r="AH17" i="75"/>
  <c r="AG17" i="75"/>
  <c r="AF17" i="75"/>
  <c r="AE17" i="75"/>
  <c r="AD17" i="75"/>
  <c r="AC17" i="75"/>
  <c r="AB17" i="75"/>
  <c r="AA17" i="75"/>
  <c r="Z17" i="75"/>
  <c r="Y17" i="75"/>
  <c r="X17" i="75"/>
  <c r="W17" i="75"/>
  <c r="V17" i="75"/>
  <c r="U17" i="75"/>
  <c r="T17" i="75"/>
  <c r="S17" i="75"/>
  <c r="R17" i="75"/>
  <c r="Q17" i="75"/>
  <c r="P17" i="75"/>
  <c r="O17" i="75"/>
  <c r="N17" i="75"/>
  <c r="M17" i="75"/>
  <c r="L17" i="75"/>
  <c r="K17" i="75"/>
  <c r="E17" i="75" s="1"/>
  <c r="J17" i="75"/>
  <c r="I17" i="75"/>
  <c r="H17" i="75"/>
  <c r="G17" i="75"/>
  <c r="F17" i="75"/>
  <c r="AO15" i="75"/>
  <c r="AN15" i="75"/>
  <c r="AM15" i="75"/>
  <c r="AL15" i="75"/>
  <c r="AK15" i="75"/>
  <c r="AJ15" i="75"/>
  <c r="AI15" i="75"/>
  <c r="AH15" i="75"/>
  <c r="AG15" i="75"/>
  <c r="AF15" i="75"/>
  <c r="AE15" i="75"/>
  <c r="AD15" i="75"/>
  <c r="AC15" i="75"/>
  <c r="AB15" i="75"/>
  <c r="AA15" i="75"/>
  <c r="Z15" i="75"/>
  <c r="Y15" i="75"/>
  <c r="X15" i="75"/>
  <c r="W15" i="75"/>
  <c r="V15" i="75"/>
  <c r="U15" i="75"/>
  <c r="T15" i="75"/>
  <c r="S15" i="75"/>
  <c r="R15" i="75"/>
  <c r="Q15" i="75"/>
  <c r="P15" i="75"/>
  <c r="O15" i="75"/>
  <c r="N15" i="75"/>
  <c r="M15" i="75"/>
  <c r="L15" i="75"/>
  <c r="K15" i="75"/>
  <c r="J15" i="75"/>
  <c r="I15" i="75"/>
  <c r="H15" i="75"/>
  <c r="G15" i="75"/>
  <c r="F15" i="75"/>
  <c r="AO14" i="75"/>
  <c r="AN14" i="75"/>
  <c r="AM14" i="75"/>
  <c r="AL14" i="75"/>
  <c r="AK14" i="75"/>
  <c r="AJ14" i="75"/>
  <c r="AI14" i="75"/>
  <c r="AH14" i="75"/>
  <c r="AG14" i="75"/>
  <c r="AF14" i="75"/>
  <c r="AE14" i="75"/>
  <c r="AD14" i="75"/>
  <c r="AC14" i="75"/>
  <c r="AB14" i="75"/>
  <c r="AA14" i="75"/>
  <c r="Z14" i="75"/>
  <c r="Y14" i="75"/>
  <c r="X14" i="75"/>
  <c r="W14" i="75"/>
  <c r="V14" i="75"/>
  <c r="U14" i="75"/>
  <c r="T14" i="75"/>
  <c r="S14" i="75"/>
  <c r="R14" i="75"/>
  <c r="Q14" i="75"/>
  <c r="P14" i="75"/>
  <c r="O14" i="75"/>
  <c r="N14" i="75"/>
  <c r="M14" i="75"/>
  <c r="L14" i="75"/>
  <c r="K14" i="75"/>
  <c r="J14" i="75"/>
  <c r="I14" i="75"/>
  <c r="H14" i="75"/>
  <c r="G14" i="75"/>
  <c r="F14" i="75"/>
  <c r="AO13" i="75"/>
  <c r="AN13" i="75"/>
  <c r="AM13" i="75"/>
  <c r="AM16" i="75" s="1"/>
  <c r="AL13" i="75"/>
  <c r="AL16" i="75" s="1"/>
  <c r="AL19" i="75" s="1"/>
  <c r="AK13" i="75"/>
  <c r="AJ13" i="75"/>
  <c r="AI13" i="75"/>
  <c r="AH13" i="75"/>
  <c r="AH16" i="75" s="1"/>
  <c r="AH19" i="75" s="1"/>
  <c r="AG13" i="75"/>
  <c r="AF13" i="75"/>
  <c r="AE13" i="75"/>
  <c r="AE16" i="75" s="1"/>
  <c r="AE19" i="75" s="1"/>
  <c r="AD13" i="75"/>
  <c r="AD16" i="75" s="1"/>
  <c r="AD19" i="75" s="1"/>
  <c r="AC13" i="75"/>
  <c r="AB13" i="75"/>
  <c r="AB16" i="75" s="1"/>
  <c r="AB19" i="75" s="1"/>
  <c r="AA13" i="75"/>
  <c r="Z13" i="75"/>
  <c r="Z16" i="75" s="1"/>
  <c r="Z19" i="75" s="1"/>
  <c r="Y13" i="75"/>
  <c r="X13" i="75"/>
  <c r="W13" i="75"/>
  <c r="W16" i="75" s="1"/>
  <c r="V13" i="75"/>
  <c r="V16" i="75" s="1"/>
  <c r="V19" i="75" s="1"/>
  <c r="U13" i="75"/>
  <c r="T13" i="75"/>
  <c r="S13" i="75"/>
  <c r="R13" i="75"/>
  <c r="R16" i="75" s="1"/>
  <c r="R19" i="75" s="1"/>
  <c r="Q13" i="75"/>
  <c r="P13" i="75"/>
  <c r="O13" i="75"/>
  <c r="O16" i="75" s="1"/>
  <c r="O19" i="75" s="1"/>
  <c r="N13" i="75"/>
  <c r="N16" i="75" s="1"/>
  <c r="N19" i="75" s="1"/>
  <c r="M13" i="75"/>
  <c r="L13" i="75"/>
  <c r="L16" i="75" s="1"/>
  <c r="L19" i="75" s="1"/>
  <c r="K13" i="75"/>
  <c r="J13" i="75"/>
  <c r="J16" i="75" s="1"/>
  <c r="J19" i="75" s="1"/>
  <c r="I13" i="75"/>
  <c r="H13" i="75"/>
  <c r="G13" i="75"/>
  <c r="G16" i="75" s="1"/>
  <c r="F13" i="75"/>
  <c r="F16" i="75" s="1"/>
  <c r="F19" i="75" s="1"/>
  <c r="AO11" i="75"/>
  <c r="AN11" i="75"/>
  <c r="AM11" i="75"/>
  <c r="AL11" i="75"/>
  <c r="AK11" i="75"/>
  <c r="AJ11" i="75"/>
  <c r="AI11" i="75"/>
  <c r="AH11" i="75"/>
  <c r="AG11" i="75"/>
  <c r="AF11" i="75"/>
  <c r="AE11" i="75"/>
  <c r="AD11" i="75"/>
  <c r="AC11" i="75"/>
  <c r="AB11" i="75"/>
  <c r="AA11" i="75"/>
  <c r="Z11" i="75"/>
  <c r="Y11" i="75"/>
  <c r="X11" i="75"/>
  <c r="W11" i="75"/>
  <c r="V11" i="75"/>
  <c r="U11" i="75"/>
  <c r="T11" i="75"/>
  <c r="S11" i="75"/>
  <c r="R11" i="75"/>
  <c r="Q11" i="75"/>
  <c r="P11" i="75"/>
  <c r="O11" i="75"/>
  <c r="N11" i="75"/>
  <c r="M11" i="75"/>
  <c r="L11" i="75"/>
  <c r="K11" i="75"/>
  <c r="J11" i="75"/>
  <c r="I11" i="75"/>
  <c r="H11" i="75"/>
  <c r="G11" i="75"/>
  <c r="F11" i="75"/>
  <c r="AO10" i="75"/>
  <c r="AN10" i="75"/>
  <c r="AM10" i="75"/>
  <c r="AL10" i="75"/>
  <c r="AK10" i="75"/>
  <c r="AJ10" i="75"/>
  <c r="AI10" i="75"/>
  <c r="AH10" i="75"/>
  <c r="AG10" i="75"/>
  <c r="AF10" i="75"/>
  <c r="AE10" i="75"/>
  <c r="AD10" i="75"/>
  <c r="AC10" i="75"/>
  <c r="AB10" i="75"/>
  <c r="AA10" i="75"/>
  <c r="Z10" i="75"/>
  <c r="Y10" i="75"/>
  <c r="X10" i="75"/>
  <c r="W10" i="75"/>
  <c r="V10" i="75"/>
  <c r="U10" i="75"/>
  <c r="T10" i="75"/>
  <c r="S10" i="75"/>
  <c r="R10" i="75"/>
  <c r="Q10" i="75"/>
  <c r="P10" i="75"/>
  <c r="O10" i="75"/>
  <c r="N10" i="75"/>
  <c r="M10" i="75"/>
  <c r="L10" i="75"/>
  <c r="K10" i="75"/>
  <c r="J10" i="75"/>
  <c r="I10" i="75"/>
  <c r="H10" i="75"/>
  <c r="F10" i="75"/>
  <c r="AO8" i="75"/>
  <c r="AN8" i="75"/>
  <c r="AM8" i="75"/>
  <c r="AL8" i="75"/>
  <c r="AK8" i="75"/>
  <c r="AJ8" i="75"/>
  <c r="AI8" i="75"/>
  <c r="AH8" i="75"/>
  <c r="AG8" i="75"/>
  <c r="AF8" i="75"/>
  <c r="AE8" i="75"/>
  <c r="AD8" i="75"/>
  <c r="AC8" i="75"/>
  <c r="AB8" i="75"/>
  <c r="AA8" i="75"/>
  <c r="Z8" i="75"/>
  <c r="Y8" i="75"/>
  <c r="X8" i="75"/>
  <c r="W8" i="75"/>
  <c r="V8" i="75"/>
  <c r="U8" i="75"/>
  <c r="T8" i="75"/>
  <c r="S8" i="75"/>
  <c r="R8" i="75"/>
  <c r="Q8" i="75"/>
  <c r="P8" i="75"/>
  <c r="D8" i="75" s="1"/>
  <c r="O8" i="75"/>
  <c r="N8" i="75"/>
  <c r="M8" i="75"/>
  <c r="L8" i="75"/>
  <c r="K8" i="75"/>
  <c r="J8" i="75"/>
  <c r="I8" i="75"/>
  <c r="H8" i="75"/>
  <c r="G8" i="75"/>
  <c r="F8" i="75"/>
  <c r="AO7" i="75"/>
  <c r="AN7" i="75"/>
  <c r="AM7" i="75"/>
  <c r="AL7" i="75"/>
  <c r="AK7" i="75"/>
  <c r="AJ7" i="75"/>
  <c r="AI7" i="75"/>
  <c r="AH7" i="75"/>
  <c r="AG7" i="75"/>
  <c r="AF7" i="75"/>
  <c r="AE7" i="75"/>
  <c r="AD7" i="75"/>
  <c r="AC7" i="75"/>
  <c r="AB7" i="75"/>
  <c r="AA7" i="75"/>
  <c r="Z7" i="75"/>
  <c r="Y7" i="75"/>
  <c r="X7" i="75"/>
  <c r="W7" i="75"/>
  <c r="V7" i="75"/>
  <c r="U7" i="75"/>
  <c r="T7" i="75"/>
  <c r="S7" i="75"/>
  <c r="R7" i="75"/>
  <c r="Q7" i="75"/>
  <c r="P7" i="75"/>
  <c r="O7" i="75"/>
  <c r="N7" i="75"/>
  <c r="M7" i="75"/>
  <c r="L7" i="75"/>
  <c r="K7" i="75"/>
  <c r="J7" i="75"/>
  <c r="I7" i="75"/>
  <c r="H7" i="75"/>
  <c r="G7" i="75"/>
  <c r="AO6" i="75"/>
  <c r="AN6" i="75"/>
  <c r="AM6" i="75"/>
  <c r="AL6" i="75"/>
  <c r="AK6" i="75"/>
  <c r="AJ6" i="75"/>
  <c r="AI6" i="75"/>
  <c r="AH6" i="75"/>
  <c r="AG6" i="75"/>
  <c r="AF6" i="75"/>
  <c r="AE6" i="75"/>
  <c r="AD6" i="75"/>
  <c r="AC6" i="75"/>
  <c r="AB6" i="75"/>
  <c r="AA6" i="75"/>
  <c r="Z6" i="75"/>
  <c r="Y6" i="75"/>
  <c r="X6" i="75"/>
  <c r="W6" i="75"/>
  <c r="V6" i="75"/>
  <c r="U6" i="75"/>
  <c r="T6" i="75"/>
  <c r="S6" i="75"/>
  <c r="R6" i="75"/>
  <c r="Q6" i="75"/>
  <c r="P6" i="75"/>
  <c r="O6" i="75"/>
  <c r="N6" i="75"/>
  <c r="M6" i="75"/>
  <c r="L6" i="75"/>
  <c r="K6" i="75"/>
  <c r="J6" i="75"/>
  <c r="I6" i="75"/>
  <c r="H6" i="75"/>
  <c r="G6" i="75"/>
  <c r="F6" i="75"/>
  <c r="AO5" i="75"/>
  <c r="AN5" i="75"/>
  <c r="AM5" i="75"/>
  <c r="AL5" i="75"/>
  <c r="AK5" i="75"/>
  <c r="AJ5" i="75"/>
  <c r="AI5" i="75"/>
  <c r="AH5" i="75"/>
  <c r="AG5" i="75"/>
  <c r="AF5" i="75"/>
  <c r="AE5" i="75"/>
  <c r="AD5" i="75"/>
  <c r="AC5" i="75"/>
  <c r="AB5" i="75"/>
  <c r="AA5" i="75"/>
  <c r="Z5" i="75"/>
  <c r="Y5" i="75"/>
  <c r="X5" i="75"/>
  <c r="W5" i="75"/>
  <c r="V5" i="75"/>
  <c r="U5" i="75"/>
  <c r="T5" i="75"/>
  <c r="S5" i="75"/>
  <c r="R5" i="75"/>
  <c r="Q5" i="75"/>
  <c r="P5" i="75"/>
  <c r="O5" i="75"/>
  <c r="N5" i="75"/>
  <c r="M5" i="75"/>
  <c r="L5" i="75"/>
  <c r="K5" i="75"/>
  <c r="J5" i="75"/>
  <c r="I5" i="75"/>
  <c r="H5" i="75"/>
  <c r="G5" i="75"/>
  <c r="F5" i="75"/>
  <c r="AD311" i="75" l="1"/>
  <c r="AD288" i="75"/>
  <c r="AD356" i="75"/>
  <c r="AD333" i="75"/>
  <c r="P177" i="75"/>
  <c r="AG177" i="75"/>
  <c r="O173" i="75"/>
  <c r="O153" i="75" s="1"/>
  <c r="O155" i="75" s="1"/>
  <c r="O156" i="75" s="1"/>
  <c r="O34" i="75"/>
  <c r="O221" i="75"/>
  <c r="O198" i="75"/>
  <c r="AM221" i="75"/>
  <c r="AM198" i="75"/>
  <c r="AJ335" i="75"/>
  <c r="AA426" i="75"/>
  <c r="T447" i="75"/>
  <c r="T449" i="75" s="1"/>
  <c r="AB447" i="75"/>
  <c r="O35" i="75"/>
  <c r="C35" i="75" s="1"/>
  <c r="C171" i="75"/>
  <c r="U176" i="75"/>
  <c r="U177" i="75" s="1"/>
  <c r="U153" i="75"/>
  <c r="C6" i="75"/>
  <c r="E6" i="75"/>
  <c r="D7" i="75"/>
  <c r="E7" i="75"/>
  <c r="C8" i="75"/>
  <c r="D11" i="75"/>
  <c r="E11" i="75"/>
  <c r="G19" i="75"/>
  <c r="W19" i="75"/>
  <c r="AM19" i="75"/>
  <c r="J24" i="75"/>
  <c r="J31" i="75" s="1"/>
  <c r="J33" i="75" s="1"/>
  <c r="AJ33" i="75"/>
  <c r="AN24" i="75"/>
  <c r="AN31" i="75" s="1"/>
  <c r="AN33" i="75" s="1"/>
  <c r="E26" i="75"/>
  <c r="AA34" i="75"/>
  <c r="AM155" i="75"/>
  <c r="AM156" i="75" s="1"/>
  <c r="O200" i="75"/>
  <c r="O222" i="75"/>
  <c r="U311" i="75"/>
  <c r="AE381" i="75"/>
  <c r="AJ446" i="75"/>
  <c r="AJ447" i="75" s="1"/>
  <c r="AJ423" i="75"/>
  <c r="F356" i="75"/>
  <c r="F357" i="75" s="1"/>
  <c r="C353" i="75"/>
  <c r="F333" i="75"/>
  <c r="E5" i="75"/>
  <c r="E14" i="75"/>
  <c r="T16" i="75"/>
  <c r="T19" i="75" s="1"/>
  <c r="AJ16" i="75"/>
  <c r="AJ19" i="75" s="1"/>
  <c r="E15" i="75"/>
  <c r="C17" i="75"/>
  <c r="E18" i="75"/>
  <c r="E21" i="75"/>
  <c r="AB24" i="75"/>
  <c r="AB31" i="75" s="1"/>
  <c r="AB33" i="75" s="1"/>
  <c r="F37" i="75"/>
  <c r="J37" i="75"/>
  <c r="N37" i="75"/>
  <c r="L111" i="75"/>
  <c r="P111" i="75"/>
  <c r="X111" i="75"/>
  <c r="AF111" i="75"/>
  <c r="AF113" i="75" s="1"/>
  <c r="AJ111" i="75"/>
  <c r="AD132" i="75"/>
  <c r="Y312" i="75"/>
  <c r="AH357" i="75"/>
  <c r="F378" i="75"/>
  <c r="F401" i="75"/>
  <c r="C401" i="75" s="1"/>
  <c r="R401" i="75"/>
  <c r="R378" i="75"/>
  <c r="AD401" i="75"/>
  <c r="AD378" i="75"/>
  <c r="AD380" i="75" s="1"/>
  <c r="AD381" i="75" s="1"/>
  <c r="X37" i="75"/>
  <c r="AB37" i="75"/>
  <c r="H58" i="75"/>
  <c r="H66" i="75"/>
  <c r="H68" i="75" s="1"/>
  <c r="AN66" i="75"/>
  <c r="P39" i="75"/>
  <c r="AB39" i="75"/>
  <c r="AN39" i="75"/>
  <c r="AN40" i="75" s="1"/>
  <c r="AN41" i="75" s="1"/>
  <c r="H103" i="75"/>
  <c r="N132" i="75"/>
  <c r="N134" i="75" s="1"/>
  <c r="C162" i="75"/>
  <c r="E190" i="75"/>
  <c r="E197" i="75"/>
  <c r="C197" i="75"/>
  <c r="AN201" i="75"/>
  <c r="W222" i="75"/>
  <c r="W224" i="75" s="1"/>
  <c r="AA222" i="75"/>
  <c r="AE222" i="75"/>
  <c r="AI222" i="75"/>
  <c r="AI224" i="75" s="1"/>
  <c r="AI225" i="75" s="1"/>
  <c r="AM222" i="75"/>
  <c r="E218" i="75"/>
  <c r="I245" i="75"/>
  <c r="M246" i="75"/>
  <c r="AC246" i="75"/>
  <c r="AC248" i="75" s="1"/>
  <c r="AC270" i="75" s="1"/>
  <c r="AK246" i="75"/>
  <c r="AC267" i="75"/>
  <c r="AC269" i="75" s="1"/>
  <c r="U290" i="75"/>
  <c r="U291" i="75" s="1"/>
  <c r="U312" i="75"/>
  <c r="AD312" i="75"/>
  <c r="AH312" i="75"/>
  <c r="Z336" i="75"/>
  <c r="Z338" i="75" s="1"/>
  <c r="AD335" i="75"/>
  <c r="AD336" i="75" s="1"/>
  <c r="AH336" i="75"/>
  <c r="P357" i="75"/>
  <c r="F380" i="75"/>
  <c r="R380" i="75"/>
  <c r="R381" i="75" s="1"/>
  <c r="P426" i="75"/>
  <c r="T426" i="75"/>
  <c r="T428" i="75" s="1"/>
  <c r="AB426" i="75"/>
  <c r="AF426" i="75"/>
  <c r="AF428" i="75" s="1"/>
  <c r="AN426" i="75"/>
  <c r="E38" i="75"/>
  <c r="AF86" i="75"/>
  <c r="AF87" i="75" s="1"/>
  <c r="AF89" i="75" s="1"/>
  <c r="AF90" i="75" s="1"/>
  <c r="F103" i="75"/>
  <c r="R111" i="75"/>
  <c r="V24" i="75"/>
  <c r="AH24" i="75"/>
  <c r="M156" i="75"/>
  <c r="U155" i="75"/>
  <c r="AC156" i="75"/>
  <c r="AC158" i="75" s="1"/>
  <c r="AK156" i="75"/>
  <c r="C160" i="75"/>
  <c r="K193" i="75"/>
  <c r="Q201" i="75"/>
  <c r="Q203" i="75" s="1"/>
  <c r="Q225" i="75" s="1"/>
  <c r="S222" i="75"/>
  <c r="C218" i="75"/>
  <c r="R245" i="75"/>
  <c r="AL291" i="75"/>
  <c r="AL293" i="75" s="1"/>
  <c r="AL315" i="75" s="1"/>
  <c r="X290" i="75"/>
  <c r="AA380" i="75"/>
  <c r="J446" i="75"/>
  <c r="V446" i="75"/>
  <c r="V447" i="75" s="1"/>
  <c r="AH446" i="75"/>
  <c r="D445" i="75"/>
  <c r="K111" i="75"/>
  <c r="K113" i="75" s="1"/>
  <c r="C107" i="75"/>
  <c r="AA156" i="75"/>
  <c r="AH156" i="75"/>
  <c r="Y177" i="75"/>
  <c r="AC177" i="75"/>
  <c r="AC179" i="75" s="1"/>
  <c r="AH177" i="75"/>
  <c r="AM177" i="75"/>
  <c r="Y222" i="75"/>
  <c r="Z222" i="75"/>
  <c r="Z224" i="75" s="1"/>
  <c r="AI291" i="75"/>
  <c r="AI293" i="75" s="1"/>
  <c r="AM290" i="75"/>
  <c r="AM291" i="75" s="1"/>
  <c r="L335" i="75"/>
  <c r="T336" i="75"/>
  <c r="T338" i="75" s="1"/>
  <c r="AN336" i="75"/>
  <c r="AD425" i="75"/>
  <c r="AD426" i="75" s="1"/>
  <c r="AE447" i="75"/>
  <c r="D6" i="75"/>
  <c r="C5" i="75"/>
  <c r="M9" i="75"/>
  <c r="M12" i="75" s="1"/>
  <c r="Q9" i="75"/>
  <c r="Q12" i="75" s="1"/>
  <c r="U9" i="75"/>
  <c r="U12" i="75" s="1"/>
  <c r="Y9" i="75"/>
  <c r="Y12" i="75" s="1"/>
  <c r="AC9" i="75"/>
  <c r="AC12" i="75" s="1"/>
  <c r="AG9" i="75"/>
  <c r="AG12" i="75" s="1"/>
  <c r="AK9" i="75"/>
  <c r="AK12" i="75" s="1"/>
  <c r="AO9" i="75"/>
  <c r="AO12" i="75" s="1"/>
  <c r="E8" i="75"/>
  <c r="E10" i="75"/>
  <c r="H16" i="75"/>
  <c r="P16" i="75"/>
  <c r="P19" i="75" s="1"/>
  <c r="X16" i="75"/>
  <c r="X19" i="75" s="1"/>
  <c r="X20" i="75" s="1"/>
  <c r="AF16" i="75"/>
  <c r="AF19" i="75" s="1"/>
  <c r="AN16" i="75"/>
  <c r="AN19" i="75" s="1"/>
  <c r="D15" i="75"/>
  <c r="K16" i="75"/>
  <c r="K19" i="75" s="1"/>
  <c r="S16" i="75"/>
  <c r="S19" i="75" s="1"/>
  <c r="AA16" i="75"/>
  <c r="AA19" i="75" s="1"/>
  <c r="AI16" i="75"/>
  <c r="AI19" i="75" s="1"/>
  <c r="D17" i="75"/>
  <c r="D25" i="75"/>
  <c r="C25" i="75"/>
  <c r="C27" i="75"/>
  <c r="E27" i="75"/>
  <c r="R31" i="75"/>
  <c r="R33" i="75" s="1"/>
  <c r="Z31" i="75"/>
  <c r="Z33" i="75" s="1"/>
  <c r="C28" i="75"/>
  <c r="E34" i="75"/>
  <c r="AB40" i="75"/>
  <c r="AI79" i="75"/>
  <c r="AI87" i="75" s="1"/>
  <c r="AI89" i="75" s="1"/>
  <c r="Z132" i="75"/>
  <c r="Z134" i="75" s="1"/>
  <c r="I131" i="75"/>
  <c r="I132" i="75" s="1"/>
  <c r="C11" i="75"/>
  <c r="E13" i="75"/>
  <c r="D13" i="75"/>
  <c r="D27" i="75"/>
  <c r="P66" i="75"/>
  <c r="AF66" i="75"/>
  <c r="AF68" i="75" s="1"/>
  <c r="K79" i="75"/>
  <c r="Y86" i="75"/>
  <c r="Y87" i="75" s="1"/>
  <c r="Y39" i="75"/>
  <c r="AK86" i="75"/>
  <c r="AK39" i="75"/>
  <c r="AK40" i="75" s="1"/>
  <c r="D29" i="75"/>
  <c r="C32" i="75"/>
  <c r="S79" i="75"/>
  <c r="S87" i="75" s="1"/>
  <c r="E39" i="75"/>
  <c r="K135" i="75"/>
  <c r="S111" i="75"/>
  <c r="AE111" i="75"/>
  <c r="AI111" i="75"/>
  <c r="AI113" i="75" s="1"/>
  <c r="AI135" i="75" s="1"/>
  <c r="E122" i="75"/>
  <c r="K124" i="75"/>
  <c r="K132" i="75" s="1"/>
  <c r="K134" i="75" s="1"/>
  <c r="AO132" i="75"/>
  <c r="AO134" i="75" s="1"/>
  <c r="D145" i="75"/>
  <c r="Z156" i="75"/>
  <c r="Z158" i="75" s="1"/>
  <c r="Z180" i="75" s="1"/>
  <c r="H9" i="75"/>
  <c r="L9" i="75"/>
  <c r="L12" i="75" s="1"/>
  <c r="L20" i="75" s="1"/>
  <c r="P9" i="75"/>
  <c r="P12" i="75" s="1"/>
  <c r="T9" i="75"/>
  <c r="T12" i="75" s="1"/>
  <c r="T20" i="75" s="1"/>
  <c r="T22" i="75" s="1"/>
  <c r="X9" i="75"/>
  <c r="X12" i="75" s="1"/>
  <c r="AB9" i="75"/>
  <c r="AB12" i="75" s="1"/>
  <c r="AB20" i="75" s="1"/>
  <c r="AF9" i="75"/>
  <c r="AF12" i="75" s="1"/>
  <c r="AJ9" i="75"/>
  <c r="AJ12" i="75" s="1"/>
  <c r="AJ20" i="75" s="1"/>
  <c r="AN9" i="75"/>
  <c r="AN12" i="75" s="1"/>
  <c r="C15" i="75"/>
  <c r="T31" i="75"/>
  <c r="T33" i="75" s="1"/>
  <c r="I31" i="75"/>
  <c r="I33" i="75" s="1"/>
  <c r="D26" i="75"/>
  <c r="Q31" i="75"/>
  <c r="Q33" i="75" s="1"/>
  <c r="U31" i="75"/>
  <c r="U33" i="75" s="1"/>
  <c r="Y31" i="75"/>
  <c r="Y33" i="75" s="1"/>
  <c r="AC31" i="75"/>
  <c r="AC33" i="75" s="1"/>
  <c r="AG31" i="75"/>
  <c r="AG33" i="75" s="1"/>
  <c r="AK31" i="75"/>
  <c r="AK33" i="75" s="1"/>
  <c r="AO31" i="75"/>
  <c r="AO33" i="75" s="1"/>
  <c r="E29" i="75"/>
  <c r="O79" i="75"/>
  <c r="W79" i="75"/>
  <c r="W87" i="75" s="1"/>
  <c r="W89" i="75" s="1"/>
  <c r="AE79" i="75"/>
  <c r="AE87" i="75" s="1"/>
  <c r="AM79" i="75"/>
  <c r="AA79" i="75"/>
  <c r="R311" i="75"/>
  <c r="R288" i="75"/>
  <c r="R290" i="75" s="1"/>
  <c r="R291" i="75" s="1"/>
  <c r="N381" i="75"/>
  <c r="N383" i="75" s="1"/>
  <c r="V381" i="75"/>
  <c r="AH381" i="75"/>
  <c r="AL381" i="75"/>
  <c r="AL383" i="75" s="1"/>
  <c r="D28" i="75"/>
  <c r="U37" i="75"/>
  <c r="Y37" i="75"/>
  <c r="AC37" i="75"/>
  <c r="E35" i="75"/>
  <c r="C36" i="75"/>
  <c r="D38" i="75"/>
  <c r="K86" i="75"/>
  <c r="AE86" i="75"/>
  <c r="AM111" i="75"/>
  <c r="T111" i="75"/>
  <c r="T113" i="75" s="1"/>
  <c r="T135" i="75" s="1"/>
  <c r="AB111" i="75"/>
  <c r="Q132" i="75"/>
  <c r="Q134" i="75" s="1"/>
  <c r="AG132" i="75"/>
  <c r="J156" i="75"/>
  <c r="N156" i="75"/>
  <c r="N158" i="75" s="1"/>
  <c r="V156" i="75"/>
  <c r="J177" i="75"/>
  <c r="N201" i="75"/>
  <c r="N203" i="75" s="1"/>
  <c r="AH201" i="75"/>
  <c r="J212" i="75"/>
  <c r="J214" i="75" s="1"/>
  <c r="D205" i="75"/>
  <c r="K290" i="75"/>
  <c r="K291" i="75" s="1"/>
  <c r="K293" i="75" s="1"/>
  <c r="E287" i="75"/>
  <c r="W291" i="75"/>
  <c r="W293" i="75" s="1"/>
  <c r="W315" i="75" s="1"/>
  <c r="AE291" i="75"/>
  <c r="O312" i="75"/>
  <c r="E308" i="75"/>
  <c r="K311" i="75"/>
  <c r="I37" i="75"/>
  <c r="M37" i="75"/>
  <c r="M40" i="75" s="1"/>
  <c r="Q37" i="75"/>
  <c r="D35" i="75"/>
  <c r="D36" i="75"/>
  <c r="K37" i="75"/>
  <c r="K40" i="75" s="1"/>
  <c r="S37" i="75"/>
  <c r="S40" i="75" s="1"/>
  <c r="W37" i="75"/>
  <c r="W40" i="75" s="1"/>
  <c r="AA37" i="75"/>
  <c r="AE37" i="75"/>
  <c r="AE40" i="75" s="1"/>
  <c r="AI37" i="75"/>
  <c r="AI40" i="75" s="1"/>
  <c r="AM37" i="75"/>
  <c r="C55" i="75"/>
  <c r="E55" i="75"/>
  <c r="H86" i="75"/>
  <c r="T86" i="75"/>
  <c r="E42" i="75"/>
  <c r="M111" i="75"/>
  <c r="Q111" i="75"/>
  <c r="Q113" i="75" s="1"/>
  <c r="Q135" i="75" s="1"/>
  <c r="Y111" i="75"/>
  <c r="AC111" i="75"/>
  <c r="AC113" i="75" s="1"/>
  <c r="AC135" i="75" s="1"/>
  <c r="AK111" i="75"/>
  <c r="AO111" i="75"/>
  <c r="AO113" i="75" s="1"/>
  <c r="AO135" i="75" s="1"/>
  <c r="V31" i="75"/>
  <c r="V33" i="75" s="1"/>
  <c r="AH31" i="75"/>
  <c r="AH33" i="75" s="1"/>
  <c r="R132" i="75"/>
  <c r="AC132" i="75"/>
  <c r="AC134" i="75" s="1"/>
  <c r="AH122" i="75"/>
  <c r="AH124" i="75" s="1"/>
  <c r="AH132" i="75" s="1"/>
  <c r="AL132" i="75"/>
  <c r="AL134" i="75" s="1"/>
  <c r="W156" i="75"/>
  <c r="W158" i="75" s="1"/>
  <c r="W180" i="75" s="1"/>
  <c r="AE156" i="75"/>
  <c r="AI156" i="75"/>
  <c r="AI158" i="75" s="1"/>
  <c r="AG153" i="75"/>
  <c r="AG155" i="75" s="1"/>
  <c r="X177" i="75"/>
  <c r="D193" i="75"/>
  <c r="AJ243" i="75"/>
  <c r="AJ245" i="75" s="1"/>
  <c r="AJ246" i="75" s="1"/>
  <c r="Y267" i="75"/>
  <c r="M267" i="75"/>
  <c r="AO267" i="75"/>
  <c r="AO269" i="75" s="1"/>
  <c r="I267" i="75"/>
  <c r="C30" i="75"/>
  <c r="D32" i="75"/>
  <c r="J40" i="75"/>
  <c r="J41" i="75" s="1"/>
  <c r="N40" i="75"/>
  <c r="N41" i="75" s="1"/>
  <c r="N43" i="75" s="1"/>
  <c r="AF40" i="75"/>
  <c r="AF41" i="75" s="1"/>
  <c r="AF43" i="75" s="1"/>
  <c r="M79" i="75"/>
  <c r="Q79" i="75"/>
  <c r="U79" i="75"/>
  <c r="Y79" i="75"/>
  <c r="AC79" i="75"/>
  <c r="AG79" i="75"/>
  <c r="AK79" i="75"/>
  <c r="M86" i="75"/>
  <c r="AC86" i="75"/>
  <c r="J132" i="75"/>
  <c r="P156" i="75"/>
  <c r="T156" i="75"/>
  <c r="T158" i="75" s="1"/>
  <c r="X155" i="75"/>
  <c r="AB156" i="75"/>
  <c r="AF156" i="75"/>
  <c r="AF158" i="75" s="1"/>
  <c r="T177" i="75"/>
  <c r="T179" i="75" s="1"/>
  <c r="P201" i="75"/>
  <c r="T201" i="75"/>
  <c r="T203" i="75" s="1"/>
  <c r="AB201" i="75"/>
  <c r="AF201" i="75"/>
  <c r="AF203" i="75" s="1"/>
  <c r="X221" i="75"/>
  <c r="X198" i="75"/>
  <c r="X200" i="75" s="1"/>
  <c r="X201" i="75" s="1"/>
  <c r="AJ221" i="75"/>
  <c r="AJ198" i="75"/>
  <c r="AJ200" i="75" s="1"/>
  <c r="AJ201" i="75" s="1"/>
  <c r="H221" i="75"/>
  <c r="E221" i="75" s="1"/>
  <c r="P257" i="75"/>
  <c r="P259" i="75" s="1"/>
  <c r="P267" i="75" s="1"/>
  <c r="D250" i="75"/>
  <c r="X266" i="75"/>
  <c r="X243" i="75"/>
  <c r="C287" i="75"/>
  <c r="E311" i="75"/>
  <c r="T357" i="75"/>
  <c r="T359" i="75" s="1"/>
  <c r="T360" i="75" s="1"/>
  <c r="AN156" i="75"/>
  <c r="F167" i="75"/>
  <c r="E193" i="75"/>
  <c r="X222" i="75"/>
  <c r="AB222" i="75"/>
  <c r="AN222" i="75"/>
  <c r="D235" i="75"/>
  <c r="C242" i="75"/>
  <c r="J246" i="75"/>
  <c r="V246" i="75"/>
  <c r="Z246" i="75"/>
  <c r="Z248" i="75" s="1"/>
  <c r="AH246" i="75"/>
  <c r="AL246" i="75"/>
  <c r="AL248" i="75" s="1"/>
  <c r="U245" i="75"/>
  <c r="AF267" i="75"/>
  <c r="AF269" i="75" s="1"/>
  <c r="AF270" i="75" s="1"/>
  <c r="C278" i="75"/>
  <c r="AD290" i="75"/>
  <c r="S312" i="75"/>
  <c r="R312" i="75"/>
  <c r="AA311" i="75"/>
  <c r="AA312" i="75" s="1"/>
  <c r="I356" i="75"/>
  <c r="I333" i="75"/>
  <c r="U356" i="75"/>
  <c r="U357" i="75" s="1"/>
  <c r="U333" i="75"/>
  <c r="L401" i="75"/>
  <c r="L402" i="75" s="1"/>
  <c r="C398" i="75"/>
  <c r="L378" i="75"/>
  <c r="X401" i="75"/>
  <c r="X402" i="75" s="1"/>
  <c r="X378" i="75"/>
  <c r="AJ401" i="75"/>
  <c r="AJ402" i="75" s="1"/>
  <c r="AJ378" i="75"/>
  <c r="AJ380" i="75" s="1"/>
  <c r="AJ381" i="75" s="1"/>
  <c r="H418" i="75"/>
  <c r="E415" i="75"/>
  <c r="L426" i="75"/>
  <c r="N446" i="75"/>
  <c r="Z446" i="75"/>
  <c r="Z447" i="75" s="1"/>
  <c r="Z449" i="75" s="1"/>
  <c r="AL446" i="75"/>
  <c r="N177" i="75"/>
  <c r="N179" i="75" s="1"/>
  <c r="AA177" i="75"/>
  <c r="AI177" i="75"/>
  <c r="AI179" i="75" s="1"/>
  <c r="AO222" i="75"/>
  <c r="AO224" i="75" s="1"/>
  <c r="J267" i="75"/>
  <c r="AL267" i="75"/>
  <c r="AL269" i="75" s="1"/>
  <c r="AL270" i="75" s="1"/>
  <c r="AN291" i="75"/>
  <c r="AC312" i="75"/>
  <c r="AC314" i="75" s="1"/>
  <c r="AG312" i="75"/>
  <c r="AO312" i="75"/>
  <c r="AO314" i="75" s="1"/>
  <c r="T381" i="75"/>
  <c r="T383" i="75" s="1"/>
  <c r="AB381" i="75"/>
  <c r="J426" i="75"/>
  <c r="Z426" i="75"/>
  <c r="Z428" i="75" s="1"/>
  <c r="AH426" i="75"/>
  <c r="D439" i="75"/>
  <c r="AL156" i="75"/>
  <c r="AL158" i="75" s="1"/>
  <c r="AL180" i="75" s="1"/>
  <c r="AO177" i="75"/>
  <c r="AO179" i="75" s="1"/>
  <c r="E173" i="75"/>
  <c r="K201" i="75"/>
  <c r="K203" i="75" s="1"/>
  <c r="K225" i="75" s="1"/>
  <c r="S201" i="75"/>
  <c r="W201" i="75"/>
  <c r="W203" i="75" s="1"/>
  <c r="AA200" i="75"/>
  <c r="AA201" i="75" s="1"/>
  <c r="AM200" i="75"/>
  <c r="AM201" i="75" s="1"/>
  <c r="L222" i="75"/>
  <c r="AD221" i="75"/>
  <c r="AD222" i="75" s="1"/>
  <c r="E235" i="75"/>
  <c r="AG246" i="75"/>
  <c r="G238" i="75"/>
  <c r="D238" i="75" s="1"/>
  <c r="H246" i="75"/>
  <c r="P246" i="75"/>
  <c r="T246" i="75"/>
  <c r="T248" i="75" s="1"/>
  <c r="X245" i="75"/>
  <c r="X246" i="75" s="1"/>
  <c r="AB246" i="75"/>
  <c r="AN246" i="75"/>
  <c r="L267" i="75"/>
  <c r="E280" i="75"/>
  <c r="E283" i="75"/>
  <c r="AK336" i="75"/>
  <c r="AO336" i="75"/>
  <c r="AO338" i="75" s="1"/>
  <c r="W426" i="75"/>
  <c r="W428" i="75" s="1"/>
  <c r="L446" i="75"/>
  <c r="L447" i="75" s="1"/>
  <c r="C443" i="75"/>
  <c r="AD447" i="75"/>
  <c r="AL447" i="75"/>
  <c r="AL449" i="75" s="1"/>
  <c r="W446" i="75"/>
  <c r="W447" i="75" s="1"/>
  <c r="W449" i="75" s="1"/>
  <c r="C39" i="65"/>
  <c r="G39" i="65"/>
  <c r="E39" i="65"/>
  <c r="I39" i="65"/>
  <c r="L39" i="67"/>
  <c r="I335" i="75"/>
  <c r="I336" i="75" s="1"/>
  <c r="Q336" i="75"/>
  <c r="Q338" i="75" s="1"/>
  <c r="Y336" i="75"/>
  <c r="AC336" i="75"/>
  <c r="AC338" i="75" s="1"/>
  <c r="AG335" i="75"/>
  <c r="AG336" i="75" s="1"/>
  <c r="M357" i="75"/>
  <c r="H357" i="75"/>
  <c r="H359" i="75" s="1"/>
  <c r="AF357" i="75"/>
  <c r="AF359" i="75" s="1"/>
  <c r="P381" i="75"/>
  <c r="AF381" i="75"/>
  <c r="AF383" i="75" s="1"/>
  <c r="AF405" i="75" s="1"/>
  <c r="AN381" i="75"/>
  <c r="K381" i="75"/>
  <c r="K383" i="75" s="1"/>
  <c r="K405" i="75" s="1"/>
  <c r="S381" i="75"/>
  <c r="W381" i="75"/>
  <c r="W383" i="75" s="1"/>
  <c r="W405" i="75" s="1"/>
  <c r="AA381" i="75"/>
  <c r="AI381" i="75"/>
  <c r="AI383" i="75" s="1"/>
  <c r="AI405" i="75" s="1"/>
  <c r="R402" i="75"/>
  <c r="V402" i="75"/>
  <c r="Z402" i="75"/>
  <c r="Z404" i="75" s="1"/>
  <c r="AD402" i="75"/>
  <c r="AH402" i="75"/>
  <c r="AL402" i="75"/>
  <c r="AL404" i="75" s="1"/>
  <c r="K426" i="75"/>
  <c r="K428" i="75" s="1"/>
  <c r="AI426" i="75"/>
  <c r="AI428" i="75" s="1"/>
  <c r="B39" i="65"/>
  <c r="F39" i="65"/>
  <c r="J39" i="65"/>
  <c r="M39" i="67"/>
  <c r="W336" i="75"/>
  <c r="W338" i="75" s="1"/>
  <c r="Z357" i="75"/>
  <c r="Z359" i="75" s="1"/>
  <c r="Z360" i="75" s="1"/>
  <c r="Y418" i="75"/>
  <c r="I425" i="75"/>
  <c r="I426" i="75" s="1"/>
  <c r="D39" i="65"/>
  <c r="H39" i="65"/>
  <c r="K39" i="67"/>
  <c r="H179" i="75"/>
  <c r="H19" i="75"/>
  <c r="D110" i="75"/>
  <c r="H12" i="75"/>
  <c r="N246" i="75"/>
  <c r="N248" i="75" s="1"/>
  <c r="E245" i="75"/>
  <c r="C103" i="75"/>
  <c r="W111" i="75"/>
  <c r="W113" i="75" s="1"/>
  <c r="W135" i="75" s="1"/>
  <c r="AN177" i="75"/>
  <c r="E176" i="75"/>
  <c r="E103" i="75"/>
  <c r="AA111" i="75"/>
  <c r="T180" i="75"/>
  <c r="M66" i="75"/>
  <c r="Q66" i="75"/>
  <c r="Q68" i="75" s="1"/>
  <c r="Y66" i="75"/>
  <c r="AC66" i="75"/>
  <c r="AC68" i="75" s="1"/>
  <c r="AK66" i="75"/>
  <c r="AO66" i="75"/>
  <c r="AO68" i="75" s="1"/>
  <c r="AB41" i="75"/>
  <c r="J66" i="75"/>
  <c r="V66" i="75"/>
  <c r="Z66" i="75"/>
  <c r="Z68" i="75" s="1"/>
  <c r="Z90" i="75" s="1"/>
  <c r="AH66" i="75"/>
  <c r="AL66" i="75"/>
  <c r="AL68" i="75" s="1"/>
  <c r="AL90" i="75" s="1"/>
  <c r="K156" i="75"/>
  <c r="K158" i="75" s="1"/>
  <c r="K180" i="75" s="1"/>
  <c r="S156" i="75"/>
  <c r="AI180" i="75"/>
  <c r="AJ177" i="75"/>
  <c r="D176" i="75"/>
  <c r="C143" i="75"/>
  <c r="F145" i="75"/>
  <c r="F169" i="75"/>
  <c r="R173" i="75"/>
  <c r="R34" i="75"/>
  <c r="R37" i="75" s="1"/>
  <c r="C295" i="75"/>
  <c r="F302" i="75"/>
  <c r="P302" i="75"/>
  <c r="P304" i="75" s="1"/>
  <c r="P312" i="75" s="1"/>
  <c r="D295" i="75"/>
  <c r="P24" i="75"/>
  <c r="P31" i="75" s="1"/>
  <c r="P33" i="75" s="1"/>
  <c r="I302" i="75"/>
  <c r="I304" i="75" s="1"/>
  <c r="C297" i="75"/>
  <c r="D340" i="75"/>
  <c r="G347" i="75"/>
  <c r="G380" i="75"/>
  <c r="D377" i="75"/>
  <c r="F381" i="75"/>
  <c r="C392" i="75"/>
  <c r="F394" i="75"/>
  <c r="H40" i="75"/>
  <c r="D56" i="75"/>
  <c r="G10" i="75"/>
  <c r="D10" i="75" s="1"/>
  <c r="G122" i="75"/>
  <c r="D115" i="75"/>
  <c r="H148" i="75"/>
  <c r="E148" i="75" s="1"/>
  <c r="E145" i="75"/>
  <c r="I238" i="75"/>
  <c r="I246" i="75" s="1"/>
  <c r="C235" i="75"/>
  <c r="I9" i="75"/>
  <c r="I12" i="75" s="1"/>
  <c r="F31" i="75"/>
  <c r="T37" i="75"/>
  <c r="T40" i="75" s="1"/>
  <c r="T41" i="75" s="1"/>
  <c r="T43" i="75" s="1"/>
  <c r="N58" i="75"/>
  <c r="E58" i="75" s="1"/>
  <c r="AK87" i="75"/>
  <c r="Z111" i="75"/>
  <c r="Z113" i="75" s="1"/>
  <c r="Z135" i="75" s="1"/>
  <c r="D167" i="75"/>
  <c r="H200" i="75"/>
  <c r="Q291" i="75"/>
  <c r="Q293" i="75" s="1"/>
  <c r="Q315" i="75" s="1"/>
  <c r="D5" i="75"/>
  <c r="F7" i="75"/>
  <c r="C7" i="75" s="1"/>
  <c r="I16" i="75"/>
  <c r="I19" i="75" s="1"/>
  <c r="Q16" i="75"/>
  <c r="Q19" i="75" s="1"/>
  <c r="Q20" i="75" s="1"/>
  <c r="Q22" i="75" s="1"/>
  <c r="Y16" i="75"/>
  <c r="Y19" i="75" s="1"/>
  <c r="Y20" i="75" s="1"/>
  <c r="AK16" i="75"/>
  <c r="AK19" i="75" s="1"/>
  <c r="AK20" i="75" s="1"/>
  <c r="E62" i="75"/>
  <c r="E65" i="75"/>
  <c r="P87" i="75"/>
  <c r="D78" i="75"/>
  <c r="AO86" i="75"/>
  <c r="AO87" i="75" s="1"/>
  <c r="AO89" i="75" s="1"/>
  <c r="E88" i="75"/>
  <c r="O110" i="75"/>
  <c r="O111" i="75" s="1"/>
  <c r="AK132" i="75"/>
  <c r="E167" i="75"/>
  <c r="AF177" i="75"/>
  <c r="AF179" i="75" s="1"/>
  <c r="AF180" i="75" s="1"/>
  <c r="D197" i="75"/>
  <c r="G200" i="75"/>
  <c r="V267" i="75"/>
  <c r="G9" i="75"/>
  <c r="S9" i="75"/>
  <c r="S12" i="75" s="1"/>
  <c r="S20" i="75" s="1"/>
  <c r="W9" i="75"/>
  <c r="W12" i="75" s="1"/>
  <c r="W20" i="75" s="1"/>
  <c r="W22" i="75" s="1"/>
  <c r="AE9" i="75"/>
  <c r="AE12" i="75" s="1"/>
  <c r="AE20" i="75" s="1"/>
  <c r="AI9" i="75"/>
  <c r="AI12" i="75" s="1"/>
  <c r="AI20" i="75" s="1"/>
  <c r="AI22" i="75" s="1"/>
  <c r="AM9" i="75"/>
  <c r="AM12" i="75" s="1"/>
  <c r="AM20" i="75" s="1"/>
  <c r="D14" i="75"/>
  <c r="D18" i="75"/>
  <c r="H31" i="75"/>
  <c r="S24" i="75"/>
  <c r="S31" i="75" s="1"/>
  <c r="S33" i="75" s="1"/>
  <c r="S41" i="75" s="1"/>
  <c r="W31" i="75"/>
  <c r="W33" i="75" s="1"/>
  <c r="W41" i="75" s="1"/>
  <c r="W43" i="75" s="1"/>
  <c r="AA31" i="75"/>
  <c r="AA33" i="75" s="1"/>
  <c r="AE31" i="75"/>
  <c r="AE33" i="75" s="1"/>
  <c r="AE41" i="75" s="1"/>
  <c r="AI31" i="75"/>
  <c r="AI33" i="75" s="1"/>
  <c r="AI41" i="75" s="1"/>
  <c r="AI43" i="75" s="1"/>
  <c r="AM31" i="75"/>
  <c r="AM33" i="75" s="1"/>
  <c r="Q40" i="75"/>
  <c r="Q41" i="75" s="1"/>
  <c r="Q43" i="75" s="1"/>
  <c r="V37" i="75"/>
  <c r="V40" i="75" s="1"/>
  <c r="V41" i="75" s="1"/>
  <c r="Z37" i="75"/>
  <c r="Z40" i="75" s="1"/>
  <c r="Z41" i="75" s="1"/>
  <c r="Z43" i="75" s="1"/>
  <c r="P40" i="75"/>
  <c r="X66" i="75"/>
  <c r="D65" i="75"/>
  <c r="T66" i="75"/>
  <c r="T68" i="75" s="1"/>
  <c r="AB66" i="75"/>
  <c r="C77" i="75"/>
  <c r="C78" i="75"/>
  <c r="F79" i="75"/>
  <c r="E85" i="75"/>
  <c r="E100" i="75"/>
  <c r="D107" i="75"/>
  <c r="F111" i="75"/>
  <c r="N111" i="75"/>
  <c r="N113" i="75" s="1"/>
  <c r="N135" i="75" s="1"/>
  <c r="V111" i="75"/>
  <c r="AL111" i="75"/>
  <c r="AL113" i="75" s="1"/>
  <c r="AL135" i="75" s="1"/>
  <c r="V122" i="75"/>
  <c r="V124" i="75" s="1"/>
  <c r="V132" i="75" s="1"/>
  <c r="D131" i="75"/>
  <c r="X156" i="75"/>
  <c r="L153" i="75"/>
  <c r="Q156" i="75"/>
  <c r="Q158" i="75" s="1"/>
  <c r="Q180" i="75" s="1"/>
  <c r="Y156" i="75"/>
  <c r="AO156" i="75"/>
  <c r="AO158" i="75" s="1"/>
  <c r="AO180" i="75" s="1"/>
  <c r="I167" i="75"/>
  <c r="I169" i="75" s="1"/>
  <c r="I177" i="75" s="1"/>
  <c r="G169" i="75"/>
  <c r="C170" i="75"/>
  <c r="O201" i="75"/>
  <c r="F201" i="75"/>
  <c r="V201" i="75"/>
  <c r="AL201" i="75"/>
  <c r="AL203" i="75" s="1"/>
  <c r="AL225" i="75" s="1"/>
  <c r="L200" i="75"/>
  <c r="L201" i="75" s="1"/>
  <c r="E212" i="75"/>
  <c r="AK222" i="75"/>
  <c r="U246" i="75"/>
  <c r="R246" i="75"/>
  <c r="F65" i="75"/>
  <c r="C62" i="75"/>
  <c r="M212" i="75"/>
  <c r="M214" i="75" s="1"/>
  <c r="M222" i="75" s="1"/>
  <c r="M24" i="75"/>
  <c r="M31" i="75" s="1"/>
  <c r="M33" i="75" s="1"/>
  <c r="G259" i="75"/>
  <c r="D257" i="75"/>
  <c r="T259" i="75"/>
  <c r="T267" i="75" s="1"/>
  <c r="T269" i="75" s="1"/>
  <c r="T270" i="75" s="1"/>
  <c r="E257" i="75"/>
  <c r="N267" i="75"/>
  <c r="N269" i="75" s="1"/>
  <c r="C263" i="75"/>
  <c r="F243" i="75"/>
  <c r="F266" i="75"/>
  <c r="AD266" i="75"/>
  <c r="AD267" i="75" s="1"/>
  <c r="AD243" i="75"/>
  <c r="AD245" i="75" s="1"/>
  <c r="AD246" i="75" s="1"/>
  <c r="G86" i="75"/>
  <c r="D83" i="75"/>
  <c r="E101" i="75"/>
  <c r="H78" i="75"/>
  <c r="E78" i="75" s="1"/>
  <c r="E128" i="75"/>
  <c r="H131" i="75"/>
  <c r="E131" i="75" s="1"/>
  <c r="G155" i="75"/>
  <c r="D152" i="75"/>
  <c r="L24" i="75"/>
  <c r="L31" i="75" s="1"/>
  <c r="L33" i="75" s="1"/>
  <c r="L167" i="75"/>
  <c r="L169" i="75" s="1"/>
  <c r="L177" i="75" s="1"/>
  <c r="F290" i="75"/>
  <c r="J402" i="75"/>
  <c r="D394" i="75"/>
  <c r="N394" i="75"/>
  <c r="N402" i="75" s="1"/>
  <c r="N404" i="75" s="1"/>
  <c r="N405" i="75" s="1"/>
  <c r="E392" i="75"/>
  <c r="J77" i="75"/>
  <c r="D74" i="75"/>
  <c r="H110" i="75"/>
  <c r="E107" i="75"/>
  <c r="C122" i="75"/>
  <c r="F124" i="75"/>
  <c r="E124" i="75"/>
  <c r="AD173" i="75"/>
  <c r="AD34" i="75"/>
  <c r="AD37" i="75" s="1"/>
  <c r="I193" i="75"/>
  <c r="I201" i="75" s="1"/>
  <c r="C190" i="75"/>
  <c r="I214" i="75"/>
  <c r="I222" i="75" s="1"/>
  <c r="C212" i="75"/>
  <c r="AG198" i="75"/>
  <c r="C198" i="75" s="1"/>
  <c r="AG221" i="75"/>
  <c r="AG222" i="75" s="1"/>
  <c r="G245" i="75"/>
  <c r="D242" i="75"/>
  <c r="G266" i="75"/>
  <c r="D266" i="75" s="1"/>
  <c r="D263" i="75"/>
  <c r="K266" i="75"/>
  <c r="K267" i="75" s="1"/>
  <c r="K269" i="75" s="1"/>
  <c r="E263" i="75"/>
  <c r="O266" i="75"/>
  <c r="O243" i="75"/>
  <c r="O245" i="75" s="1"/>
  <c r="O246" i="75" s="1"/>
  <c r="AA266" i="75"/>
  <c r="AA267" i="75" s="1"/>
  <c r="AA243" i="75"/>
  <c r="AM266" i="75"/>
  <c r="AM267" i="75" s="1"/>
  <c r="AM243" i="75"/>
  <c r="AM245" i="75" s="1"/>
  <c r="AM246" i="75" s="1"/>
  <c r="AO40" i="75"/>
  <c r="F58" i="75"/>
  <c r="C58" i="75" s="1"/>
  <c r="M87" i="75"/>
  <c r="AC87" i="75"/>
  <c r="AC89" i="75" s="1"/>
  <c r="J111" i="75"/>
  <c r="AH111" i="75"/>
  <c r="H156" i="75"/>
  <c r="E155" i="75"/>
  <c r="R266" i="75"/>
  <c r="R267" i="75" s="1"/>
  <c r="AO291" i="75"/>
  <c r="AO293" i="75" s="1"/>
  <c r="M16" i="75"/>
  <c r="M19" i="75" s="1"/>
  <c r="U16" i="75"/>
  <c r="U19" i="75" s="1"/>
  <c r="U20" i="75" s="1"/>
  <c r="AC16" i="75"/>
  <c r="AC19" i="75" s="1"/>
  <c r="AC20" i="75" s="1"/>
  <c r="AC22" i="75" s="1"/>
  <c r="AG16" i="75"/>
  <c r="AG19" i="75" s="1"/>
  <c r="AG20" i="75" s="1"/>
  <c r="AO16" i="75"/>
  <c r="AO19" i="75" s="1"/>
  <c r="AO20" i="75" s="1"/>
  <c r="AO22" i="75" s="1"/>
  <c r="O31" i="75"/>
  <c r="O33" i="75" s="1"/>
  <c r="T87" i="75"/>
  <c r="T89" i="75" s="1"/>
  <c r="AB87" i="75"/>
  <c r="AN87" i="75"/>
  <c r="Q86" i="75"/>
  <c r="C100" i="75"/>
  <c r="M132" i="75"/>
  <c r="U156" i="75"/>
  <c r="D148" i="75"/>
  <c r="AJ153" i="75"/>
  <c r="AJ155" i="75" s="1"/>
  <c r="AJ156" i="75" s="1"/>
  <c r="E169" i="75"/>
  <c r="D173" i="75"/>
  <c r="AE201" i="75"/>
  <c r="N225" i="75"/>
  <c r="J222" i="75"/>
  <c r="K9" i="75"/>
  <c r="K12" i="75" s="1"/>
  <c r="O9" i="75"/>
  <c r="O12" i="75" s="1"/>
  <c r="O20" i="75" s="1"/>
  <c r="AA9" i="75"/>
  <c r="AA12" i="75" s="1"/>
  <c r="AA20" i="75" s="1"/>
  <c r="C10" i="75"/>
  <c r="F9" i="75"/>
  <c r="J9" i="75"/>
  <c r="J12" i="75" s="1"/>
  <c r="J20" i="75" s="1"/>
  <c r="N9" i="75"/>
  <c r="N12" i="75" s="1"/>
  <c r="N20" i="75" s="1"/>
  <c r="N22" i="75" s="1"/>
  <c r="R9" i="75"/>
  <c r="R12" i="75" s="1"/>
  <c r="R20" i="75" s="1"/>
  <c r="V9" i="75"/>
  <c r="V12" i="75" s="1"/>
  <c r="V20" i="75" s="1"/>
  <c r="Z9" i="75"/>
  <c r="Z12" i="75" s="1"/>
  <c r="Z20" i="75" s="1"/>
  <c r="Z22" i="75" s="1"/>
  <c r="AD9" i="75"/>
  <c r="AD12" i="75" s="1"/>
  <c r="AD20" i="75" s="1"/>
  <c r="AH9" i="75"/>
  <c r="AH12" i="75" s="1"/>
  <c r="AH20" i="75" s="1"/>
  <c r="AL9" i="75"/>
  <c r="AL12" i="75" s="1"/>
  <c r="AL20" i="75" s="1"/>
  <c r="AL22" i="75" s="1"/>
  <c r="C14" i="75"/>
  <c r="C18" i="75"/>
  <c r="G24" i="75"/>
  <c r="K31" i="75"/>
  <c r="K33" i="75" s="1"/>
  <c r="E25" i="75"/>
  <c r="C26" i="75"/>
  <c r="E28" i="75"/>
  <c r="D34" i="75"/>
  <c r="Y40" i="75"/>
  <c r="AC40" i="75"/>
  <c r="AC41" i="75" s="1"/>
  <c r="AC43" i="75" s="1"/>
  <c r="AH37" i="75"/>
  <c r="AH40" i="75" s="1"/>
  <c r="AL37" i="75"/>
  <c r="AL40" i="75" s="1"/>
  <c r="AL41" i="75" s="1"/>
  <c r="AL43" i="75" s="1"/>
  <c r="E36" i="75"/>
  <c r="G37" i="75"/>
  <c r="C38" i="75"/>
  <c r="G58" i="75"/>
  <c r="D58" i="75" s="1"/>
  <c r="K66" i="75"/>
  <c r="K68" i="75" s="1"/>
  <c r="S66" i="75"/>
  <c r="W66" i="75"/>
  <c r="W68" i="75" s="1"/>
  <c r="W90" i="75" s="1"/>
  <c r="AE66" i="75"/>
  <c r="AI66" i="75"/>
  <c r="AI68" i="75" s="1"/>
  <c r="AI90" i="75" s="1"/>
  <c r="E77" i="75"/>
  <c r="I79" i="75"/>
  <c r="D85" i="75"/>
  <c r="D100" i="75"/>
  <c r="G103" i="75"/>
  <c r="D103" i="75" s="1"/>
  <c r="AG111" i="75"/>
  <c r="U132" i="75"/>
  <c r="Y132" i="75"/>
  <c r="X132" i="75"/>
  <c r="AF132" i="75"/>
  <c r="AF134" i="75" s="1"/>
  <c r="AF135" i="75" s="1"/>
  <c r="AG156" i="75"/>
  <c r="C152" i="75"/>
  <c r="I153" i="75"/>
  <c r="AB177" i="75"/>
  <c r="C193" i="75"/>
  <c r="M201" i="75"/>
  <c r="Y201" i="75"/>
  <c r="AC201" i="75"/>
  <c r="AC203" i="75" s="1"/>
  <c r="AC225" i="75" s="1"/>
  <c r="AO201" i="75"/>
  <c r="AO203" i="75" s="1"/>
  <c r="AO225" i="75" s="1"/>
  <c r="AF222" i="75"/>
  <c r="AF224" i="75" s="1"/>
  <c r="AF225" i="75" s="1"/>
  <c r="AJ222" i="75"/>
  <c r="U221" i="75"/>
  <c r="U222" i="75" s="1"/>
  <c r="K246" i="75"/>
  <c r="K248" i="75" s="1"/>
  <c r="K270" i="75" s="1"/>
  <c r="S246" i="75"/>
  <c r="AE246" i="75"/>
  <c r="AI246" i="75"/>
  <c r="AI248" i="75" s="1"/>
  <c r="F245" i="75"/>
  <c r="Q267" i="75"/>
  <c r="Q269" i="75" s="1"/>
  <c r="C259" i="75"/>
  <c r="O267" i="75"/>
  <c r="Z267" i="75"/>
  <c r="Z269" i="75" s="1"/>
  <c r="Z270" i="75" s="1"/>
  <c r="AF312" i="75"/>
  <c r="AF314" i="75" s="1"/>
  <c r="AC360" i="75"/>
  <c r="G221" i="75"/>
  <c r="D221" i="75" s="1"/>
  <c r="D218" i="75"/>
  <c r="AJ311" i="75"/>
  <c r="AJ312" i="75" s="1"/>
  <c r="AJ288" i="75"/>
  <c r="AJ290" i="75" s="1"/>
  <c r="G328" i="75"/>
  <c r="D328" i="75" s="1"/>
  <c r="D325" i="75"/>
  <c r="G335" i="75"/>
  <c r="D332" i="75"/>
  <c r="K335" i="75"/>
  <c r="K336" i="75" s="1"/>
  <c r="K338" i="75" s="1"/>
  <c r="E332" i="75"/>
  <c r="I357" i="75"/>
  <c r="C349" i="75"/>
  <c r="D422" i="75"/>
  <c r="G425" i="75"/>
  <c r="O425" i="75"/>
  <c r="O426" i="75" s="1"/>
  <c r="C422" i="75"/>
  <c r="C13" i="75"/>
  <c r="E24" i="75"/>
  <c r="C34" i="75"/>
  <c r="D55" i="75"/>
  <c r="D62" i="75"/>
  <c r="E83" i="75"/>
  <c r="E152" i="75"/>
  <c r="F153" i="75"/>
  <c r="F155" i="75" s="1"/>
  <c r="D160" i="75"/>
  <c r="D190" i="75"/>
  <c r="AD201" i="75"/>
  <c r="E214" i="75"/>
  <c r="E238" i="75"/>
  <c r="L246" i="75"/>
  <c r="X267" i="75"/>
  <c r="AB267" i="75"/>
  <c r="AI267" i="75"/>
  <c r="AI269" i="75" s="1"/>
  <c r="P291" i="75"/>
  <c r="AF291" i="75"/>
  <c r="AF293" i="75" s="1"/>
  <c r="X312" i="75"/>
  <c r="S336" i="75"/>
  <c r="AE336" i="75"/>
  <c r="AI336" i="75"/>
  <c r="AI338" i="75" s="1"/>
  <c r="AI360" i="75" s="1"/>
  <c r="N336" i="75"/>
  <c r="N338" i="75" s="1"/>
  <c r="Q357" i="75"/>
  <c r="Q359" i="75" s="1"/>
  <c r="Q360" i="75" s="1"/>
  <c r="S426" i="75"/>
  <c r="AE426" i="75"/>
  <c r="N426" i="75"/>
  <c r="N428" i="75" s="1"/>
  <c r="H291" i="75"/>
  <c r="H312" i="75"/>
  <c r="E304" i="75"/>
  <c r="W349" i="75"/>
  <c r="W357" i="75" s="1"/>
  <c r="W359" i="75" s="1"/>
  <c r="E347" i="75"/>
  <c r="K359" i="75"/>
  <c r="H446" i="75"/>
  <c r="H447" i="75" s="1"/>
  <c r="E443" i="75"/>
  <c r="P446" i="75"/>
  <c r="P447" i="75" s="1"/>
  <c r="D443" i="75"/>
  <c r="X446" i="75"/>
  <c r="X447" i="75" s="1"/>
  <c r="X423" i="75"/>
  <c r="H248" i="75"/>
  <c r="F283" i="75"/>
  <c r="C283" i="75" s="1"/>
  <c r="C280" i="75"/>
  <c r="J283" i="75"/>
  <c r="D283" i="75" s="1"/>
  <c r="D280" i="75"/>
  <c r="G312" i="75"/>
  <c r="D304" i="75"/>
  <c r="I311" i="75"/>
  <c r="I288" i="75"/>
  <c r="I290" i="75" s="1"/>
  <c r="I291" i="75" s="1"/>
  <c r="I373" i="75"/>
  <c r="C370" i="75"/>
  <c r="X291" i="75"/>
  <c r="F335" i="75"/>
  <c r="L357" i="75"/>
  <c r="C377" i="75"/>
  <c r="D401" i="75"/>
  <c r="D418" i="75"/>
  <c r="T450" i="75"/>
  <c r="R201" i="75"/>
  <c r="U200" i="75"/>
  <c r="U201" i="75" s="1"/>
  <c r="AG200" i="75"/>
  <c r="AG201" i="75" s="1"/>
  <c r="J201" i="75"/>
  <c r="Z201" i="75"/>
  <c r="Z203" i="75" s="1"/>
  <c r="Z225" i="75" s="1"/>
  <c r="P222" i="75"/>
  <c r="T222" i="75"/>
  <c r="T224" i="75" s="1"/>
  <c r="F221" i="75"/>
  <c r="F222" i="75" s="1"/>
  <c r="L245" i="75"/>
  <c r="Q246" i="75"/>
  <c r="Q248" i="75" s="1"/>
  <c r="Y246" i="75"/>
  <c r="AO246" i="75"/>
  <c r="AO248" i="75" s="1"/>
  <c r="AO270" i="75" s="1"/>
  <c r="AH267" i="75"/>
  <c r="W267" i="75"/>
  <c r="W269" i="75" s="1"/>
  <c r="W270" i="75" s="1"/>
  <c r="AD291" i="75"/>
  <c r="M291" i="75"/>
  <c r="AC291" i="75"/>
  <c r="AC293" i="75" s="1"/>
  <c r="AC315" i="75" s="1"/>
  <c r="AK291" i="75"/>
  <c r="N291" i="75"/>
  <c r="N293" i="75" s="1"/>
  <c r="N315" i="75" s="1"/>
  <c r="V291" i="75"/>
  <c r="D302" i="75"/>
  <c r="AN312" i="75"/>
  <c r="C328" i="75"/>
  <c r="J336" i="75"/>
  <c r="V336" i="75"/>
  <c r="AO360" i="75"/>
  <c r="C347" i="75"/>
  <c r="D373" i="75"/>
  <c r="AM381" i="75"/>
  <c r="T405" i="75"/>
  <c r="G290" i="75"/>
  <c r="D287" i="75"/>
  <c r="C305" i="75"/>
  <c r="L308" i="75"/>
  <c r="C308" i="75" s="1"/>
  <c r="R356" i="75"/>
  <c r="R357" i="75" s="1"/>
  <c r="R333" i="75"/>
  <c r="R335" i="75" s="1"/>
  <c r="R336" i="75" s="1"/>
  <c r="H401" i="75"/>
  <c r="E401" i="75" s="1"/>
  <c r="E398" i="75"/>
  <c r="P401" i="75"/>
  <c r="P402" i="75" s="1"/>
  <c r="D398" i="75"/>
  <c r="E242" i="75"/>
  <c r="C250" i="75"/>
  <c r="AJ267" i="75"/>
  <c r="AJ291" i="75"/>
  <c r="AA290" i="75"/>
  <c r="AA291" i="75" s="1"/>
  <c r="T291" i="75"/>
  <c r="T293" i="75" s="1"/>
  <c r="T315" i="75" s="1"/>
  <c r="AB291" i="75"/>
  <c r="E302" i="75"/>
  <c r="M312" i="75"/>
  <c r="AK312" i="75"/>
  <c r="D308" i="75"/>
  <c r="V357" i="75"/>
  <c r="AD357" i="75"/>
  <c r="AL357" i="75"/>
  <c r="AL359" i="75" s="1"/>
  <c r="E356" i="75"/>
  <c r="E373" i="75"/>
  <c r="M381" i="75"/>
  <c r="Q381" i="75"/>
  <c r="Q383" i="75" s="1"/>
  <c r="Y381" i="75"/>
  <c r="AC381" i="75"/>
  <c r="AC383" i="75" s="1"/>
  <c r="AK381" i="75"/>
  <c r="AO381" i="75"/>
  <c r="AO383" i="75" s="1"/>
  <c r="C423" i="75"/>
  <c r="AF447" i="75"/>
  <c r="AF449" i="75" s="1"/>
  <c r="AF450" i="75" s="1"/>
  <c r="AN447" i="75"/>
  <c r="K446" i="75"/>
  <c r="K447" i="75" s="1"/>
  <c r="K449" i="75" s="1"/>
  <c r="K450" i="75" s="1"/>
  <c r="AI446" i="75"/>
  <c r="AI447" i="75" s="1"/>
  <c r="AI449" i="75" s="1"/>
  <c r="AI450" i="75" s="1"/>
  <c r="C446" i="75"/>
  <c r="C437" i="75"/>
  <c r="F439" i="75"/>
  <c r="N439" i="75"/>
  <c r="E437" i="75"/>
  <c r="C257" i="75"/>
  <c r="H267" i="75"/>
  <c r="Z291" i="75"/>
  <c r="Z293" i="75" s="1"/>
  <c r="Z315" i="75" s="1"/>
  <c r="AH291" i="75"/>
  <c r="AI312" i="75"/>
  <c r="AI314" i="75" s="1"/>
  <c r="AI315" i="75" s="1"/>
  <c r="D311" i="75"/>
  <c r="C332" i="75"/>
  <c r="U335" i="75"/>
  <c r="U336" i="75" s="1"/>
  <c r="E335" i="75"/>
  <c r="AL336" i="75"/>
  <c r="AL338" i="75" s="1"/>
  <c r="AL360" i="75" s="1"/>
  <c r="N357" i="75"/>
  <c r="N359" i="75" s="1"/>
  <c r="D370" i="75"/>
  <c r="J381" i="75"/>
  <c r="Z381" i="75"/>
  <c r="Z383" i="75" s="1"/>
  <c r="Z405" i="75" s="1"/>
  <c r="E394" i="75"/>
  <c r="M426" i="75"/>
  <c r="Q426" i="75"/>
  <c r="Q428" i="75" s="1"/>
  <c r="Y426" i="75"/>
  <c r="AC426" i="75"/>
  <c r="AC428" i="75" s="1"/>
  <c r="AK426" i="75"/>
  <c r="AO426" i="75"/>
  <c r="AO428" i="75" s="1"/>
  <c r="V426" i="75"/>
  <c r="AL426" i="75"/>
  <c r="AL428" i="75" s="1"/>
  <c r="AL450" i="75" s="1"/>
  <c r="J447" i="75"/>
  <c r="R447" i="75"/>
  <c r="AH447" i="75"/>
  <c r="F311" i="75"/>
  <c r="H328" i="75"/>
  <c r="E328" i="75" s="1"/>
  <c r="E325" i="75"/>
  <c r="H380" i="75"/>
  <c r="E377" i="75"/>
  <c r="AG288" i="75"/>
  <c r="AG290" i="75" s="1"/>
  <c r="AG291" i="75" s="1"/>
  <c r="C325" i="75"/>
  <c r="L336" i="75"/>
  <c r="X336" i="75"/>
  <c r="AJ336" i="75"/>
  <c r="P336" i="75"/>
  <c r="AF336" i="75"/>
  <c r="AF338" i="75" s="1"/>
  <c r="AF360" i="75" s="1"/>
  <c r="J347" i="75"/>
  <c r="J349" i="75" s="1"/>
  <c r="J357" i="75" s="1"/>
  <c r="X357" i="75"/>
  <c r="AB357" i="75"/>
  <c r="AJ357" i="75"/>
  <c r="AN357" i="75"/>
  <c r="E353" i="75"/>
  <c r="L380" i="75"/>
  <c r="L381" i="75" s="1"/>
  <c r="X380" i="75"/>
  <c r="X381" i="75" s="1"/>
  <c r="I402" i="75"/>
  <c r="M402" i="75"/>
  <c r="Q402" i="75"/>
  <c r="Q404" i="75" s="1"/>
  <c r="U402" i="75"/>
  <c r="Y402" i="75"/>
  <c r="AC402" i="75"/>
  <c r="AC404" i="75" s="1"/>
  <c r="AG402" i="75"/>
  <c r="AK402" i="75"/>
  <c r="AO402" i="75"/>
  <c r="AO404" i="75" s="1"/>
  <c r="C415" i="75"/>
  <c r="D415" i="75"/>
  <c r="F418" i="75"/>
  <c r="C418" i="75" s="1"/>
  <c r="I447" i="75"/>
  <c r="M447" i="75"/>
  <c r="U447" i="75"/>
  <c r="Y447" i="75"/>
  <c r="AG447" i="75"/>
  <c r="AK447" i="75"/>
  <c r="G356" i="75"/>
  <c r="D356" i="75" s="1"/>
  <c r="D353" i="75"/>
  <c r="O356" i="75"/>
  <c r="O357" i="75" s="1"/>
  <c r="O333" i="75"/>
  <c r="AA356" i="75"/>
  <c r="AA333" i="75"/>
  <c r="AA335" i="75" s="1"/>
  <c r="AA336" i="75" s="1"/>
  <c r="AM356" i="75"/>
  <c r="AM357" i="75" s="1"/>
  <c r="AM333" i="75"/>
  <c r="AM335" i="75" s="1"/>
  <c r="AM336" i="75" s="1"/>
  <c r="K312" i="75"/>
  <c r="K314" i="75" s="1"/>
  <c r="E349" i="75"/>
  <c r="D392" i="75"/>
  <c r="E418" i="75"/>
  <c r="R426" i="75"/>
  <c r="E425" i="75"/>
  <c r="X425" i="75"/>
  <c r="X426" i="75" s="1"/>
  <c r="AJ425" i="75"/>
  <c r="AJ426" i="75" s="1"/>
  <c r="H426" i="75"/>
  <c r="D437" i="75"/>
  <c r="Q446" i="75"/>
  <c r="Q447" i="75" s="1"/>
  <c r="Q449" i="75" s="1"/>
  <c r="AC446" i="75"/>
  <c r="AC447" i="75" s="1"/>
  <c r="AC449" i="75" s="1"/>
  <c r="AO446" i="75"/>
  <c r="AO447" i="75" s="1"/>
  <c r="AO449" i="75" s="1"/>
  <c r="D446" i="75"/>
  <c r="E422" i="75"/>
  <c r="O40" i="73"/>
  <c r="N40" i="73"/>
  <c r="M40" i="73"/>
  <c r="P40" i="73" s="1"/>
  <c r="L40" i="73"/>
  <c r="O4" i="73"/>
  <c r="O41" i="73" s="1"/>
  <c r="N4" i="73"/>
  <c r="N41" i="73" s="1"/>
  <c r="M4" i="73"/>
  <c r="L4" i="73"/>
  <c r="L41" i="73" s="1"/>
  <c r="P145" i="72"/>
  <c r="O145" i="72"/>
  <c r="N145" i="72"/>
  <c r="M145" i="72"/>
  <c r="L145" i="72"/>
  <c r="K23" i="72"/>
  <c r="J23" i="72"/>
  <c r="I23" i="72"/>
  <c r="H23" i="72"/>
  <c r="O19" i="72"/>
  <c r="N19" i="72"/>
  <c r="M19" i="72"/>
  <c r="P19" i="72" s="1"/>
  <c r="L19" i="72"/>
  <c r="O17" i="72"/>
  <c r="N17" i="72"/>
  <c r="M17" i="72"/>
  <c r="P17" i="72" s="1"/>
  <c r="L17" i="72"/>
  <c r="O12" i="72"/>
  <c r="N12" i="72"/>
  <c r="M12" i="72"/>
  <c r="P12" i="72" s="1"/>
  <c r="L12" i="72"/>
  <c r="O11" i="72"/>
  <c r="N11" i="72"/>
  <c r="M11" i="72"/>
  <c r="L11" i="72"/>
  <c r="O8" i="72"/>
  <c r="N8" i="72"/>
  <c r="M8" i="72"/>
  <c r="L8" i="72"/>
  <c r="O6" i="72"/>
  <c r="N6" i="72"/>
  <c r="M6" i="72"/>
  <c r="L6" i="72"/>
  <c r="O5" i="72"/>
  <c r="N5" i="72"/>
  <c r="M5" i="72"/>
  <c r="P5" i="72" s="1"/>
  <c r="L5" i="72"/>
  <c r="O4" i="72"/>
  <c r="N4" i="72"/>
  <c r="M4" i="72"/>
  <c r="L4" i="72"/>
  <c r="R252" i="71"/>
  <c r="O252" i="71"/>
  <c r="N252" i="71"/>
  <c r="M252" i="71"/>
  <c r="L252" i="71"/>
  <c r="R250" i="71"/>
  <c r="O250" i="71"/>
  <c r="N250" i="71"/>
  <c r="M250" i="71"/>
  <c r="P250" i="71" s="1"/>
  <c r="L250" i="71"/>
  <c r="R238" i="71"/>
  <c r="O238" i="71"/>
  <c r="N238" i="71"/>
  <c r="M238" i="71"/>
  <c r="P238" i="71" s="1"/>
  <c r="L238" i="71"/>
  <c r="R223" i="71"/>
  <c r="O223" i="71"/>
  <c r="N223" i="71"/>
  <c r="M223" i="71"/>
  <c r="L223" i="71"/>
  <c r="R218" i="71"/>
  <c r="O218" i="71"/>
  <c r="N218" i="71"/>
  <c r="M218" i="71"/>
  <c r="L218" i="71"/>
  <c r="R216" i="71"/>
  <c r="O216" i="71"/>
  <c r="N216" i="71"/>
  <c r="M216" i="71"/>
  <c r="P216" i="71" s="1"/>
  <c r="L216" i="71"/>
  <c r="R209" i="71"/>
  <c r="O209" i="71"/>
  <c r="N209" i="71"/>
  <c r="M209" i="71"/>
  <c r="P209" i="71" s="1"/>
  <c r="L209" i="71"/>
  <c r="R204" i="71"/>
  <c r="O204" i="71"/>
  <c r="N204" i="71"/>
  <c r="M204" i="71"/>
  <c r="L204" i="71"/>
  <c r="R185" i="71"/>
  <c r="O185" i="71"/>
  <c r="N185" i="71"/>
  <c r="M185" i="71"/>
  <c r="L185" i="71"/>
  <c r="R174" i="71"/>
  <c r="O174" i="71"/>
  <c r="N174" i="71"/>
  <c r="M174" i="71"/>
  <c r="P174" i="71" s="1"/>
  <c r="L174" i="71"/>
  <c r="R171" i="71"/>
  <c r="O171" i="71"/>
  <c r="N171" i="71"/>
  <c r="M171" i="71"/>
  <c r="P171" i="71" s="1"/>
  <c r="L171" i="71"/>
  <c r="R165" i="71"/>
  <c r="O165" i="71"/>
  <c r="N165" i="71"/>
  <c r="M165" i="71"/>
  <c r="L165" i="71"/>
  <c r="R107" i="71"/>
  <c r="O107" i="71"/>
  <c r="N107" i="71"/>
  <c r="M107" i="71"/>
  <c r="L107" i="71"/>
  <c r="O99" i="71"/>
  <c r="N99" i="71"/>
  <c r="M99" i="71"/>
  <c r="L99" i="71"/>
  <c r="R90" i="71"/>
  <c r="O90" i="71"/>
  <c r="N90" i="71"/>
  <c r="M90" i="71"/>
  <c r="P90" i="71" s="1"/>
  <c r="L90" i="71"/>
  <c r="R85" i="71"/>
  <c r="O85" i="71"/>
  <c r="N85" i="71"/>
  <c r="M85" i="71"/>
  <c r="P85" i="71" s="1"/>
  <c r="L85" i="71"/>
  <c r="R84" i="71"/>
  <c r="O84" i="71"/>
  <c r="N84" i="71"/>
  <c r="M84" i="71"/>
  <c r="L84" i="71"/>
  <c r="R10" i="71"/>
  <c r="O10" i="71"/>
  <c r="N10" i="71"/>
  <c r="M10" i="71"/>
  <c r="L10" i="71"/>
  <c r="R9" i="71"/>
  <c r="O9" i="71"/>
  <c r="N9" i="71"/>
  <c r="M9" i="71"/>
  <c r="P9" i="71" s="1"/>
  <c r="L9" i="71"/>
  <c r="R4" i="71"/>
  <c r="O4" i="71"/>
  <c r="N4" i="71"/>
  <c r="M4" i="71"/>
  <c r="L4" i="71"/>
  <c r="L23" i="72" l="1"/>
  <c r="N447" i="75"/>
  <c r="N449" i="75" s="1"/>
  <c r="Q270" i="75"/>
  <c r="T225" i="75"/>
  <c r="C173" i="75"/>
  <c r="C131" i="75"/>
  <c r="G66" i="75"/>
  <c r="Y41" i="75"/>
  <c r="Z44" i="75"/>
  <c r="E86" i="75"/>
  <c r="D86" i="75"/>
  <c r="D39" i="75"/>
  <c r="I20" i="75"/>
  <c r="AC180" i="75"/>
  <c r="P4" i="72"/>
  <c r="E290" i="75"/>
  <c r="AF315" i="75"/>
  <c r="K41" i="75"/>
  <c r="K43" i="75" s="1"/>
  <c r="K20" i="75"/>
  <c r="K22" i="75" s="1"/>
  <c r="M20" i="75"/>
  <c r="AO41" i="75"/>
  <c r="AO43" i="75" s="1"/>
  <c r="O176" i="75"/>
  <c r="O177" i="75" s="1"/>
  <c r="P165" i="71"/>
  <c r="P204" i="71"/>
  <c r="N23" i="72"/>
  <c r="C356" i="75"/>
  <c r="X85" i="75"/>
  <c r="W360" i="75"/>
  <c r="AH41" i="75"/>
  <c r="AO315" i="75"/>
  <c r="W225" i="75"/>
  <c r="Z450" i="75"/>
  <c r="O37" i="75"/>
  <c r="N253" i="71"/>
  <c r="O253" i="71"/>
  <c r="P10" i="71"/>
  <c r="P99" i="71"/>
  <c r="P252" i="71"/>
  <c r="L253" i="71"/>
  <c r="R253" i="71"/>
  <c r="M253" i="71"/>
  <c r="P223" i="71"/>
  <c r="C333" i="75"/>
  <c r="D447" i="75"/>
  <c r="AI270" i="75"/>
  <c r="E259" i="75"/>
  <c r="AI44" i="75"/>
  <c r="D214" i="75"/>
  <c r="C167" i="75"/>
  <c r="N66" i="75"/>
  <c r="N68" i="75" s="1"/>
  <c r="N90" i="75" s="1"/>
  <c r="E177" i="75"/>
  <c r="C378" i="75"/>
  <c r="H222" i="75"/>
  <c r="AL405" i="75"/>
  <c r="AK41" i="75"/>
  <c r="P20" i="75"/>
  <c r="P6" i="72"/>
  <c r="P8" i="72"/>
  <c r="P11" i="72"/>
  <c r="F426" i="75"/>
  <c r="C426" i="75" s="1"/>
  <c r="AM85" i="75"/>
  <c r="O39" i="75"/>
  <c r="O40" i="75" s="1"/>
  <c r="D212" i="75"/>
  <c r="T44" i="75"/>
  <c r="O85" i="75"/>
  <c r="O86" i="75" s="1"/>
  <c r="O87" i="75" s="1"/>
  <c r="E179" i="75"/>
  <c r="K87" i="75"/>
  <c r="K89" i="75" s="1"/>
  <c r="K90" i="75" s="1"/>
  <c r="AN20" i="75"/>
  <c r="O23" i="72"/>
  <c r="AO405" i="75"/>
  <c r="Q405" i="75"/>
  <c r="E359" i="75"/>
  <c r="W44" i="75"/>
  <c r="C19" i="75"/>
  <c r="G87" i="75"/>
  <c r="U85" i="75"/>
  <c r="U86" i="75" s="1"/>
  <c r="U87" i="75" s="1"/>
  <c r="AF20" i="75"/>
  <c r="AF22" i="75" s="1"/>
  <c r="AF44" i="75" s="1"/>
  <c r="P84" i="71"/>
  <c r="P107" i="71"/>
  <c r="P185" i="71"/>
  <c r="P218" i="71"/>
  <c r="K315" i="75"/>
  <c r="O335" i="75"/>
  <c r="O336" i="75" s="1"/>
  <c r="K44" i="75"/>
  <c r="D402" i="75"/>
  <c r="Q87" i="75"/>
  <c r="Q89" i="75" s="1"/>
  <c r="Q90" i="75" s="1"/>
  <c r="AC90" i="75"/>
  <c r="W450" i="75"/>
  <c r="N180" i="75"/>
  <c r="P4" i="73"/>
  <c r="P41" i="73" s="1"/>
  <c r="M41" i="73"/>
  <c r="AM39" i="75"/>
  <c r="AM40" i="75" s="1"/>
  <c r="AM41" i="75" s="1"/>
  <c r="AM86" i="75"/>
  <c r="AM87" i="75" s="1"/>
  <c r="X86" i="75"/>
  <c r="X87" i="75" s="1"/>
  <c r="X39" i="75"/>
  <c r="X40" i="75" s="1"/>
  <c r="X41" i="75" s="1"/>
  <c r="E312" i="75"/>
  <c r="H314" i="75"/>
  <c r="E314" i="75" s="1"/>
  <c r="D425" i="75"/>
  <c r="G426" i="75"/>
  <c r="D426" i="75" s="1"/>
  <c r="I85" i="75"/>
  <c r="I86" i="75" s="1"/>
  <c r="I87" i="75" s="1"/>
  <c r="I155" i="75"/>
  <c r="I156" i="75" s="1"/>
  <c r="G40" i="75"/>
  <c r="D40" i="75" s="1"/>
  <c r="D37" i="75"/>
  <c r="G31" i="75"/>
  <c r="D24" i="75"/>
  <c r="D245" i="75"/>
  <c r="G246" i="75"/>
  <c r="D246" i="75" s="1"/>
  <c r="AD176" i="75"/>
  <c r="AD177" i="75" s="1"/>
  <c r="AD153" i="75"/>
  <c r="D259" i="75"/>
  <c r="G267" i="75"/>
  <c r="D267" i="75" s="1"/>
  <c r="C31" i="75"/>
  <c r="F33" i="75"/>
  <c r="E380" i="75"/>
  <c r="H381" i="75"/>
  <c r="G336" i="75"/>
  <c r="D336" i="75" s="1"/>
  <c r="D335" i="75"/>
  <c r="F12" i="75"/>
  <c r="C9" i="75"/>
  <c r="AA85" i="75"/>
  <c r="AA86" i="75" s="1"/>
  <c r="AA87" i="75" s="1"/>
  <c r="E447" i="75"/>
  <c r="H449" i="75"/>
  <c r="E449" i="75" s="1"/>
  <c r="L311" i="75"/>
  <c r="L312" i="75" s="1"/>
  <c r="L288" i="75"/>
  <c r="L290" i="75" s="1"/>
  <c r="L291" i="75" s="1"/>
  <c r="I381" i="75"/>
  <c r="C381" i="75" s="1"/>
  <c r="C373" i="75"/>
  <c r="H293" i="75"/>
  <c r="E291" i="75"/>
  <c r="F85" i="75"/>
  <c r="AJ85" i="75"/>
  <c r="AJ86" i="75" s="1"/>
  <c r="AJ87" i="75" s="1"/>
  <c r="AG85" i="75"/>
  <c r="AG86" i="75" s="1"/>
  <c r="AG87" i="75" s="1"/>
  <c r="E110" i="75"/>
  <c r="H111" i="75"/>
  <c r="D155" i="75"/>
  <c r="G156" i="75"/>
  <c r="D156" i="75" s="1"/>
  <c r="D347" i="75"/>
  <c r="G349" i="75"/>
  <c r="R176" i="75"/>
  <c r="R177" i="75" s="1"/>
  <c r="R153" i="75"/>
  <c r="E19" i="75"/>
  <c r="H20" i="75"/>
  <c r="AC44" i="75"/>
  <c r="C266" i="75"/>
  <c r="C201" i="75"/>
  <c r="N44" i="75"/>
  <c r="J291" i="75"/>
  <c r="C425" i="75"/>
  <c r="F267" i="75"/>
  <c r="C267" i="75" s="1"/>
  <c r="H336" i="75"/>
  <c r="AO450" i="75"/>
  <c r="Q450" i="75"/>
  <c r="AC405" i="75"/>
  <c r="H402" i="75"/>
  <c r="C221" i="75"/>
  <c r="AA357" i="75"/>
  <c r="C357" i="75" s="1"/>
  <c r="D312" i="75"/>
  <c r="E446" i="75"/>
  <c r="G222" i="75"/>
  <c r="D222" i="75" s="1"/>
  <c r="AO44" i="75"/>
  <c r="H132" i="75"/>
  <c r="C288" i="75"/>
  <c r="H32" i="75"/>
  <c r="E32" i="75" s="1"/>
  <c r="C111" i="75"/>
  <c r="C16" i="75"/>
  <c r="E37" i="75"/>
  <c r="C380" i="75"/>
  <c r="C24" i="75"/>
  <c r="C176" i="75"/>
  <c r="N270" i="75"/>
  <c r="E12" i="75"/>
  <c r="F336" i="75"/>
  <c r="E248" i="75"/>
  <c r="J79" i="75"/>
  <c r="D77" i="75"/>
  <c r="C65" i="75"/>
  <c r="F66" i="75"/>
  <c r="C66" i="75" s="1"/>
  <c r="C79" i="75"/>
  <c r="E31" i="75"/>
  <c r="F402" i="75"/>
  <c r="C402" i="75" s="1"/>
  <c r="C394" i="75"/>
  <c r="C124" i="75"/>
  <c r="F132" i="75"/>
  <c r="C132" i="75" s="1"/>
  <c r="D122" i="75"/>
  <c r="G124" i="75"/>
  <c r="C302" i="75"/>
  <c r="F304" i="75"/>
  <c r="F177" i="75"/>
  <c r="C169" i="75"/>
  <c r="E426" i="75"/>
  <c r="H428" i="75"/>
  <c r="H269" i="75"/>
  <c r="E269" i="75" s="1"/>
  <c r="E267" i="75"/>
  <c r="F447" i="75"/>
  <c r="C447" i="75" s="1"/>
  <c r="C439" i="75"/>
  <c r="D290" i="75"/>
  <c r="G291" i="75"/>
  <c r="D291" i="75" s="1"/>
  <c r="F246" i="75"/>
  <c r="H158" i="75"/>
  <c r="E156" i="75"/>
  <c r="F291" i="75"/>
  <c r="G177" i="75"/>
  <c r="D177" i="75" s="1"/>
  <c r="D169" i="75"/>
  <c r="D9" i="75"/>
  <c r="G12" i="75"/>
  <c r="D200" i="75"/>
  <c r="G201" i="75"/>
  <c r="D201" i="75" s="1"/>
  <c r="E200" i="75"/>
  <c r="H201" i="75"/>
  <c r="D380" i="75"/>
  <c r="G381" i="75"/>
  <c r="D381" i="75" s="1"/>
  <c r="C145" i="75"/>
  <c r="F148" i="75"/>
  <c r="C148" i="75" s="1"/>
  <c r="AC450" i="75"/>
  <c r="O41" i="75"/>
  <c r="C222" i="75"/>
  <c r="P41" i="75"/>
  <c r="AL44" i="75"/>
  <c r="D19" i="75"/>
  <c r="E439" i="75"/>
  <c r="E246" i="75"/>
  <c r="E357" i="75"/>
  <c r="N450" i="75"/>
  <c r="E66" i="75"/>
  <c r="E40" i="75"/>
  <c r="I312" i="75"/>
  <c r="E68" i="75"/>
  <c r="G111" i="75"/>
  <c r="D111" i="75" s="1"/>
  <c r="N360" i="75"/>
  <c r="E266" i="75"/>
  <c r="K360" i="75"/>
  <c r="AA245" i="75"/>
  <c r="AA246" i="75" s="1"/>
  <c r="C238" i="75"/>
  <c r="C110" i="75"/>
  <c r="D66" i="75"/>
  <c r="D16" i="75"/>
  <c r="C243" i="75"/>
  <c r="M41" i="75"/>
  <c r="C200" i="75"/>
  <c r="T90" i="75"/>
  <c r="Q44" i="75"/>
  <c r="L155" i="75"/>
  <c r="L156" i="75" s="1"/>
  <c r="H79" i="75"/>
  <c r="C214" i="75"/>
  <c r="AO90" i="75"/>
  <c r="C37" i="75"/>
  <c r="E9" i="75"/>
  <c r="E16" i="75"/>
  <c r="M23" i="72"/>
  <c r="P4" i="71"/>
  <c r="D118" i="67"/>
  <c r="L34" i="66"/>
  <c r="M35" i="66"/>
  <c r="L35" i="66"/>
  <c r="K35" i="66"/>
  <c r="C36" i="66"/>
  <c r="D36" i="66"/>
  <c r="E36" i="66"/>
  <c r="F36" i="66"/>
  <c r="G36" i="66"/>
  <c r="H36" i="66"/>
  <c r="I36" i="66"/>
  <c r="J36" i="66"/>
  <c r="B36" i="66"/>
  <c r="C81" i="65"/>
  <c r="D81" i="65"/>
  <c r="E81" i="65"/>
  <c r="F81" i="65"/>
  <c r="G81" i="65"/>
  <c r="H81" i="65"/>
  <c r="I81" i="65"/>
  <c r="J81" i="65"/>
  <c r="B81" i="65"/>
  <c r="M77" i="65"/>
  <c r="M78" i="65"/>
  <c r="M79" i="65"/>
  <c r="M80" i="65"/>
  <c r="L77" i="65"/>
  <c r="L78" i="65"/>
  <c r="L79" i="65"/>
  <c r="L80" i="65"/>
  <c r="K77" i="65"/>
  <c r="K78" i="65"/>
  <c r="K79" i="65"/>
  <c r="K80" i="65"/>
  <c r="M53" i="65"/>
  <c r="L53" i="65"/>
  <c r="M33" i="70"/>
  <c r="L33" i="70"/>
  <c r="K33" i="70"/>
  <c r="C311" i="75" l="1"/>
  <c r="P23" i="72"/>
  <c r="C336" i="75"/>
  <c r="H33" i="75"/>
  <c r="E33" i="75" s="1"/>
  <c r="C335" i="75"/>
  <c r="U39" i="75"/>
  <c r="U40" i="75" s="1"/>
  <c r="U41" i="75" s="1"/>
  <c r="F156" i="75"/>
  <c r="H270" i="75"/>
  <c r="E270" i="75" s="1"/>
  <c r="H224" i="75"/>
  <c r="E224" i="75" s="1"/>
  <c r="E222" i="75"/>
  <c r="P253" i="71"/>
  <c r="AJ39" i="75"/>
  <c r="AJ40" i="75" s="1"/>
  <c r="AJ41" i="75" s="1"/>
  <c r="D12" i="75"/>
  <c r="G20" i="75"/>
  <c r="D20" i="75" s="1"/>
  <c r="C304" i="75"/>
  <c r="F312" i="75"/>
  <c r="C312" i="75" s="1"/>
  <c r="H338" i="75"/>
  <c r="E336" i="75"/>
  <c r="C245" i="75"/>
  <c r="C246" i="75"/>
  <c r="I39" i="75"/>
  <c r="I40" i="75" s="1"/>
  <c r="I41" i="75" s="1"/>
  <c r="H87" i="75"/>
  <c r="E79" i="75"/>
  <c r="G132" i="75"/>
  <c r="D132" i="75" s="1"/>
  <c r="D124" i="75"/>
  <c r="R85" i="75"/>
  <c r="R86" i="75" s="1"/>
  <c r="R87" i="75" s="1"/>
  <c r="R155" i="75"/>
  <c r="R156" i="75" s="1"/>
  <c r="E111" i="75"/>
  <c r="H113" i="75"/>
  <c r="F86" i="75"/>
  <c r="C12" i="75"/>
  <c r="F20" i="75"/>
  <c r="C20" i="75" s="1"/>
  <c r="D31" i="75"/>
  <c r="G33" i="75"/>
  <c r="H203" i="75"/>
  <c r="E201" i="75"/>
  <c r="H450" i="75"/>
  <c r="E450" i="75" s="1"/>
  <c r="E428" i="75"/>
  <c r="E381" i="75"/>
  <c r="H383" i="75"/>
  <c r="C33" i="75"/>
  <c r="AD85" i="75"/>
  <c r="AD86" i="75" s="1"/>
  <c r="AD87" i="75" s="1"/>
  <c r="AD155" i="75"/>
  <c r="AD156" i="75" s="1"/>
  <c r="E158" i="75"/>
  <c r="H180" i="75"/>
  <c r="E180" i="75" s="1"/>
  <c r="J87" i="75"/>
  <c r="D87" i="75" s="1"/>
  <c r="D79" i="75"/>
  <c r="H134" i="75"/>
  <c r="E134" i="75" s="1"/>
  <c r="E132" i="75"/>
  <c r="E402" i="75"/>
  <c r="H404" i="75"/>
  <c r="E404" i="75" s="1"/>
  <c r="E20" i="75"/>
  <c r="H22" i="75"/>
  <c r="D349" i="75"/>
  <c r="G357" i="75"/>
  <c r="D357" i="75" s="1"/>
  <c r="H315" i="75"/>
  <c r="E315" i="75" s="1"/>
  <c r="E293" i="75"/>
  <c r="C156" i="75"/>
  <c r="C290" i="75"/>
  <c r="L85" i="75"/>
  <c r="C291" i="75"/>
  <c r="C153" i="75"/>
  <c r="C177" i="75"/>
  <c r="AG39" i="75"/>
  <c r="AG40" i="75" s="1"/>
  <c r="AG41" i="75" s="1"/>
  <c r="F39" i="75"/>
  <c r="AA39" i="75"/>
  <c r="AA40" i="75" s="1"/>
  <c r="AA41" i="75" s="1"/>
  <c r="C155" i="75"/>
  <c r="M32" i="70"/>
  <c r="L32" i="70"/>
  <c r="K32" i="70"/>
  <c r="M31" i="70"/>
  <c r="L31" i="70"/>
  <c r="K31" i="70"/>
  <c r="M30" i="70"/>
  <c r="L30" i="70"/>
  <c r="K30" i="70"/>
  <c r="M28" i="70"/>
  <c r="M27" i="70"/>
  <c r="M26" i="70"/>
  <c r="L26" i="70"/>
  <c r="K26" i="70"/>
  <c r="M25" i="70"/>
  <c r="L25" i="70"/>
  <c r="K25" i="70"/>
  <c r="M24" i="70"/>
  <c r="L24" i="70"/>
  <c r="K24" i="70"/>
  <c r="M23" i="70"/>
  <c r="L23" i="70"/>
  <c r="K23" i="70"/>
  <c r="M22" i="70"/>
  <c r="L22" i="70"/>
  <c r="K22" i="70"/>
  <c r="L14" i="70"/>
  <c r="K14" i="70"/>
  <c r="J14" i="70"/>
  <c r="I14" i="70"/>
  <c r="H14" i="70"/>
  <c r="G14" i="70"/>
  <c r="F14" i="70"/>
  <c r="E14" i="70"/>
  <c r="D14" i="70"/>
  <c r="C14" i="70"/>
  <c r="B14" i="70"/>
  <c r="M13" i="70"/>
  <c r="M12" i="70"/>
  <c r="M11" i="70"/>
  <c r="H41" i="75" l="1"/>
  <c r="AD39" i="75"/>
  <c r="AD40" i="75" s="1"/>
  <c r="AD41" i="75" s="1"/>
  <c r="M14" i="70"/>
  <c r="K34" i="70"/>
  <c r="L86" i="75"/>
  <c r="L87" i="75" s="1"/>
  <c r="L39" i="75"/>
  <c r="L40" i="75" s="1"/>
  <c r="L41" i="75" s="1"/>
  <c r="G41" i="75"/>
  <c r="D41" i="75" s="1"/>
  <c r="D33" i="75"/>
  <c r="C86" i="75"/>
  <c r="F87" i="75"/>
  <c r="E41" i="75"/>
  <c r="H43" i="75"/>
  <c r="E43" i="75" s="1"/>
  <c r="F40" i="75"/>
  <c r="E22" i="75"/>
  <c r="H225" i="75"/>
  <c r="E225" i="75" s="1"/>
  <c r="E203" i="75"/>
  <c r="E338" i="75"/>
  <c r="H360" i="75"/>
  <c r="E360" i="75" s="1"/>
  <c r="C85" i="75"/>
  <c r="R39" i="75"/>
  <c r="R40" i="75" s="1"/>
  <c r="R41" i="75" s="1"/>
  <c r="H405" i="75"/>
  <c r="E405" i="75" s="1"/>
  <c r="E383" i="75"/>
  <c r="E113" i="75"/>
  <c r="H135" i="75"/>
  <c r="E135" i="75" s="1"/>
  <c r="E87" i="75"/>
  <c r="H89" i="75"/>
  <c r="L34" i="70"/>
  <c r="M34" i="70"/>
  <c r="B18" i="46"/>
  <c r="C39" i="75" l="1"/>
  <c r="E89" i="75"/>
  <c r="H90" i="75"/>
  <c r="E90" i="75" s="1"/>
  <c r="C40" i="75"/>
  <c r="F41" i="75"/>
  <c r="C41" i="75" s="1"/>
  <c r="C87" i="75"/>
  <c r="H44" i="75"/>
  <c r="E44" i="75" s="1"/>
  <c r="J27" i="43"/>
  <c r="C27" i="43"/>
  <c r="K28" i="43" s="1"/>
  <c r="K16" i="43"/>
  <c r="K15" i="43"/>
  <c r="C13" i="43"/>
  <c r="K12" i="43"/>
  <c r="K11" i="43"/>
  <c r="K10" i="43"/>
  <c r="K9" i="43"/>
  <c r="K8" i="43"/>
  <c r="K7" i="43"/>
  <c r="K6" i="43"/>
  <c r="K5" i="43"/>
  <c r="K4" i="43"/>
  <c r="K27" i="43" l="1"/>
  <c r="J15" i="45" l="1"/>
  <c r="H15" i="45"/>
  <c r="C15" i="45"/>
  <c r="J19" i="45"/>
  <c r="I17" i="45"/>
  <c r="I16" i="45"/>
  <c r="C19" i="45"/>
  <c r="I13" i="45"/>
  <c r="I12" i="45"/>
  <c r="I11" i="45"/>
  <c r="I10" i="45"/>
  <c r="I8" i="45"/>
  <c r="I7" i="45"/>
  <c r="I6" i="45"/>
  <c r="I5" i="45"/>
  <c r="I15" i="45" l="1"/>
  <c r="I19" i="45"/>
  <c r="M25" i="10" l="1"/>
  <c r="M26" i="10"/>
  <c r="M27" i="10"/>
  <c r="M28" i="10"/>
  <c r="M29" i="10"/>
  <c r="M24" i="10"/>
  <c r="J12" i="1"/>
  <c r="M31" i="10" l="1"/>
  <c r="D38" i="8"/>
  <c r="E38" i="8"/>
  <c r="P8" i="11" l="1"/>
  <c r="P9" i="11"/>
  <c r="P10" i="11"/>
  <c r="P11" i="11"/>
  <c r="P12" i="11"/>
  <c r="P7" i="11"/>
  <c r="D9" i="19"/>
  <c r="D26" i="19"/>
  <c r="M112" i="67"/>
  <c r="C118" i="67"/>
  <c r="L112" i="67"/>
  <c r="K112" i="67"/>
  <c r="C13" i="11" l="1"/>
  <c r="D13" i="11"/>
  <c r="C26" i="19"/>
  <c r="C9" i="19"/>
  <c r="D45" i="64" l="1"/>
  <c r="C45" i="64"/>
  <c r="D34" i="64"/>
  <c r="C34" i="64"/>
  <c r="K31" i="10" l="1"/>
  <c r="J31" i="10"/>
  <c r="I31" i="10"/>
  <c r="H31" i="10"/>
  <c r="G31" i="10"/>
  <c r="F31" i="10"/>
  <c r="E31" i="10"/>
  <c r="D31" i="10"/>
  <c r="N26" i="10"/>
  <c r="L26" i="10"/>
  <c r="N31" i="10" l="1"/>
  <c r="L31" i="10"/>
  <c r="C18" i="46"/>
  <c r="D18" i="46"/>
  <c r="E18" i="46"/>
  <c r="F18" i="46"/>
  <c r="G18" i="46"/>
  <c r="H18" i="46"/>
  <c r="I18" i="46"/>
  <c r="J18" i="46"/>
  <c r="K18" i="46"/>
  <c r="G40" i="46"/>
  <c r="F40" i="46"/>
  <c r="E40" i="46"/>
  <c r="D40" i="46"/>
  <c r="C40" i="46"/>
  <c r="B40" i="46"/>
  <c r="N16" i="10" l="1"/>
  <c r="N18" i="10" s="1"/>
  <c r="M16" i="10"/>
  <c r="M18" i="10" s="1"/>
  <c r="L16" i="10"/>
  <c r="L18" i="10" s="1"/>
  <c r="N7" i="10"/>
  <c r="N12" i="10" s="1"/>
  <c r="M7" i="10"/>
  <c r="M12" i="10" s="1"/>
  <c r="L7" i="10"/>
  <c r="L12" i="10" s="1"/>
  <c r="E18" i="10"/>
  <c r="F18" i="10"/>
  <c r="G18" i="10"/>
  <c r="H18" i="10"/>
  <c r="I18" i="10"/>
  <c r="J18" i="10"/>
  <c r="K18" i="10"/>
  <c r="E12" i="10"/>
  <c r="F12" i="10"/>
  <c r="G12" i="10"/>
  <c r="H12" i="10"/>
  <c r="I12" i="10"/>
  <c r="J12" i="10"/>
  <c r="K12" i="10"/>
  <c r="C22" i="11" l="1"/>
  <c r="D22" i="11"/>
  <c r="C21" i="11"/>
  <c r="D21" i="11"/>
  <c r="E21" i="11"/>
  <c r="F21" i="11"/>
  <c r="G21" i="11"/>
  <c r="H21" i="11"/>
  <c r="I21" i="11"/>
  <c r="J21" i="11"/>
  <c r="K21" i="11"/>
  <c r="L21" i="11"/>
  <c r="M21" i="11"/>
  <c r="O7" i="11"/>
  <c r="O8" i="11"/>
  <c r="O10" i="11"/>
  <c r="O11" i="11"/>
  <c r="N8" i="11"/>
  <c r="N10" i="11"/>
  <c r="N11" i="11"/>
  <c r="N7" i="11"/>
  <c r="C55" i="21"/>
  <c r="D55" i="21"/>
  <c r="C40" i="21"/>
  <c r="D40" i="21"/>
  <c r="E40" i="21"/>
  <c r="F40" i="21"/>
  <c r="G40" i="21"/>
  <c r="C17" i="21"/>
  <c r="D17" i="21"/>
  <c r="E17" i="21"/>
  <c r="F17" i="21"/>
  <c r="G17" i="21"/>
  <c r="B17" i="21"/>
  <c r="C34" i="19"/>
  <c r="D34" i="19"/>
  <c r="K12" i="1"/>
  <c r="K13" i="1"/>
  <c r="K16" i="1"/>
  <c r="L16" i="1"/>
  <c r="K17" i="1"/>
  <c r="K20" i="1"/>
  <c r="K21" i="1"/>
  <c r="K24" i="1"/>
  <c r="J13" i="1"/>
  <c r="J16" i="1"/>
  <c r="J17" i="1"/>
  <c r="J20" i="1"/>
  <c r="J21" i="1"/>
  <c r="J24" i="1"/>
  <c r="C24" i="11" l="1"/>
  <c r="D24" i="11"/>
  <c r="P13" i="11"/>
  <c r="O13" i="11"/>
  <c r="O21" i="11" s="1"/>
  <c r="N13" i="11"/>
  <c r="N22" i="11" s="1"/>
  <c r="O22" i="11" l="1"/>
  <c r="N21" i="11"/>
  <c r="J26" i="1"/>
  <c r="K26" i="1"/>
  <c r="C26" i="1"/>
  <c r="D26" i="1"/>
  <c r="B14" i="28"/>
  <c r="C14" i="28"/>
  <c r="B25" i="28"/>
  <c r="C25" i="28"/>
  <c r="K13" i="27"/>
  <c r="L13" i="27"/>
  <c r="M13" i="27"/>
  <c r="K14" i="27"/>
  <c r="L14" i="27"/>
  <c r="M14" i="27"/>
  <c r="K15" i="27"/>
  <c r="L15" i="27"/>
  <c r="M15" i="27"/>
  <c r="L12" i="27"/>
  <c r="M12" i="27"/>
  <c r="K12" i="27"/>
  <c r="D16" i="27"/>
  <c r="E16" i="27"/>
  <c r="F16" i="27"/>
  <c r="G16" i="27"/>
  <c r="H16" i="27"/>
  <c r="I16" i="27"/>
  <c r="J16" i="27"/>
  <c r="C159" i="67"/>
  <c r="D159" i="67"/>
  <c r="C139" i="67"/>
  <c r="D139" i="67"/>
  <c r="K94" i="67"/>
  <c r="L94" i="67"/>
  <c r="M94" i="67"/>
  <c r="K95" i="67"/>
  <c r="L95" i="67"/>
  <c r="M95" i="67"/>
  <c r="K96" i="67"/>
  <c r="L96" i="67"/>
  <c r="M96" i="67"/>
  <c r="K97" i="67"/>
  <c r="L97" i="67"/>
  <c r="M97" i="67"/>
  <c r="K98" i="67"/>
  <c r="L98" i="67"/>
  <c r="M98" i="67"/>
  <c r="K99" i="67"/>
  <c r="L99" i="67"/>
  <c r="M99" i="67"/>
  <c r="K100" i="67"/>
  <c r="L100" i="67"/>
  <c r="M100" i="67"/>
  <c r="K101" i="67"/>
  <c r="L101" i="67"/>
  <c r="M101" i="67"/>
  <c r="K102" i="67"/>
  <c r="L102" i="67"/>
  <c r="M102" i="67"/>
  <c r="K103" i="67"/>
  <c r="L103" i="67"/>
  <c r="M103" i="67"/>
  <c r="K104" i="67"/>
  <c r="L104" i="67"/>
  <c r="M104" i="67"/>
  <c r="K105" i="67"/>
  <c r="L105" i="67"/>
  <c r="M105" i="67"/>
  <c r="K106" i="67"/>
  <c r="L106" i="67"/>
  <c r="M106" i="67"/>
  <c r="K107" i="67"/>
  <c r="L107" i="67"/>
  <c r="M107" i="67"/>
  <c r="K108" i="67"/>
  <c r="L108" i="67"/>
  <c r="M108" i="67"/>
  <c r="K109" i="67"/>
  <c r="L109" i="67"/>
  <c r="M109" i="67"/>
  <c r="K110" i="67"/>
  <c r="L110" i="67"/>
  <c r="M110" i="67"/>
  <c r="K111" i="67"/>
  <c r="L111" i="67"/>
  <c r="M111" i="67"/>
  <c r="K117" i="67"/>
  <c r="L117" i="67"/>
  <c r="M117" i="67"/>
  <c r="M93" i="67"/>
  <c r="L93" i="67"/>
  <c r="K93" i="67"/>
  <c r="E118" i="67"/>
  <c r="F118" i="67"/>
  <c r="G118" i="67"/>
  <c r="H118" i="67"/>
  <c r="I118" i="67"/>
  <c r="J118" i="67"/>
  <c r="J83" i="67"/>
  <c r="I83" i="67"/>
  <c r="H83" i="67"/>
  <c r="G83" i="67"/>
  <c r="F83" i="67"/>
  <c r="E83" i="67"/>
  <c r="D83" i="67"/>
  <c r="C83" i="67"/>
  <c r="B83" i="67"/>
  <c r="M82" i="67"/>
  <c r="L82" i="67"/>
  <c r="K82" i="67"/>
  <c r="M81" i="67"/>
  <c r="L81" i="67"/>
  <c r="K81" i="67"/>
  <c r="M80" i="67"/>
  <c r="L80" i="67"/>
  <c r="K80" i="67"/>
  <c r="J51" i="67"/>
  <c r="I51" i="67"/>
  <c r="H51" i="67"/>
  <c r="G51" i="67"/>
  <c r="F51" i="67"/>
  <c r="E51" i="67"/>
  <c r="D51" i="67"/>
  <c r="C51" i="67"/>
  <c r="B51" i="67"/>
  <c r="M50" i="67"/>
  <c r="L50" i="67"/>
  <c r="K50" i="67"/>
  <c r="M49" i="67"/>
  <c r="L49" i="67"/>
  <c r="K49" i="67"/>
  <c r="M48" i="67"/>
  <c r="L48" i="67"/>
  <c r="K48" i="67"/>
  <c r="C62" i="67"/>
  <c r="D62" i="67"/>
  <c r="E62" i="67"/>
  <c r="F62" i="67"/>
  <c r="G62" i="67"/>
  <c r="H62" i="67"/>
  <c r="I62" i="67"/>
  <c r="J62" i="67"/>
  <c r="M61" i="67"/>
  <c r="L61" i="67"/>
  <c r="K61" i="67"/>
  <c r="M60" i="67"/>
  <c r="L60" i="67"/>
  <c r="K60" i="67"/>
  <c r="M59" i="67"/>
  <c r="L59" i="67"/>
  <c r="K59" i="67"/>
  <c r="B62" i="67"/>
  <c r="K71" i="67"/>
  <c r="L71" i="67"/>
  <c r="M71" i="67"/>
  <c r="K72" i="67"/>
  <c r="L72" i="67"/>
  <c r="M72" i="67"/>
  <c r="L70" i="67"/>
  <c r="M70" i="67"/>
  <c r="K70" i="67"/>
  <c r="D73" i="67"/>
  <c r="E73" i="67"/>
  <c r="F73" i="67"/>
  <c r="G73" i="67"/>
  <c r="H73" i="67"/>
  <c r="I73" i="67"/>
  <c r="J73" i="67"/>
  <c r="K16" i="27" l="1"/>
  <c r="M118" i="67"/>
  <c r="M16" i="27"/>
  <c r="L16" i="27"/>
  <c r="K118" i="67"/>
  <c r="L83" i="67"/>
  <c r="L62" i="67"/>
  <c r="K51" i="67"/>
  <c r="M83" i="67"/>
  <c r="L118" i="67"/>
  <c r="M62" i="67"/>
  <c r="L51" i="67"/>
  <c r="M73" i="67"/>
  <c r="M51" i="67"/>
  <c r="K83" i="67"/>
  <c r="K62" i="67"/>
  <c r="K73" i="67"/>
  <c r="L73" i="67"/>
  <c r="K7" i="67" l="1"/>
  <c r="L7" i="67"/>
  <c r="M7" i="67"/>
  <c r="K8" i="67"/>
  <c r="L8" i="67"/>
  <c r="M8" i="67"/>
  <c r="K9" i="67"/>
  <c r="L9" i="67"/>
  <c r="M9" i="67"/>
  <c r="K10" i="67"/>
  <c r="L10" i="67"/>
  <c r="M10" i="67"/>
  <c r="K11" i="67"/>
  <c r="L11" i="67"/>
  <c r="M11" i="67"/>
  <c r="K12" i="67"/>
  <c r="L12" i="67"/>
  <c r="M12" i="67"/>
  <c r="K13" i="67"/>
  <c r="L13" i="67"/>
  <c r="M13" i="67"/>
  <c r="K14" i="67"/>
  <c r="L14" i="67"/>
  <c r="M14" i="67"/>
  <c r="K15" i="67"/>
  <c r="L15" i="67"/>
  <c r="M15" i="67"/>
  <c r="K16" i="67"/>
  <c r="L16" i="67"/>
  <c r="M16" i="67"/>
  <c r="K17" i="67"/>
  <c r="L17" i="67"/>
  <c r="M17" i="67"/>
  <c r="K18" i="67"/>
  <c r="L18" i="67"/>
  <c r="M18" i="67"/>
  <c r="K19" i="67"/>
  <c r="L19" i="67"/>
  <c r="M19" i="67"/>
  <c r="K20" i="67"/>
  <c r="L20" i="67"/>
  <c r="M20" i="67"/>
  <c r="K21" i="67"/>
  <c r="L21" i="67"/>
  <c r="M21" i="67"/>
  <c r="K22" i="67"/>
  <c r="L22" i="67"/>
  <c r="M22" i="67"/>
  <c r="K23" i="67"/>
  <c r="L23" i="67"/>
  <c r="M23" i="67"/>
  <c r="K24" i="67"/>
  <c r="L24" i="67"/>
  <c r="M24" i="67"/>
  <c r="K25" i="67"/>
  <c r="L25" i="67"/>
  <c r="M25" i="67"/>
  <c r="K26" i="67"/>
  <c r="L26" i="67"/>
  <c r="M26" i="67"/>
  <c r="L6" i="67"/>
  <c r="M6" i="67"/>
  <c r="K6" i="67"/>
  <c r="E27" i="67"/>
  <c r="F27" i="67"/>
  <c r="G27" i="67"/>
  <c r="H27" i="67"/>
  <c r="I27" i="67"/>
  <c r="J27" i="67"/>
  <c r="K63" i="66"/>
  <c r="L63" i="66"/>
  <c r="M63" i="66"/>
  <c r="K64" i="66"/>
  <c r="L64" i="66"/>
  <c r="M64" i="66"/>
  <c r="K65" i="66"/>
  <c r="L65" i="66"/>
  <c r="M65" i="66"/>
  <c r="M62" i="66"/>
  <c r="L62" i="66"/>
  <c r="K62" i="66"/>
  <c r="D66" i="66"/>
  <c r="E66" i="66"/>
  <c r="F66" i="66"/>
  <c r="G66" i="66"/>
  <c r="H66" i="66"/>
  <c r="I66" i="66"/>
  <c r="J66" i="66"/>
  <c r="K54" i="66"/>
  <c r="L54" i="66"/>
  <c r="M54" i="66"/>
  <c r="M53" i="66"/>
  <c r="L53" i="66"/>
  <c r="L55" i="66" s="1"/>
  <c r="K53" i="66"/>
  <c r="D55" i="66"/>
  <c r="E55" i="66"/>
  <c r="F55" i="66"/>
  <c r="G55" i="66"/>
  <c r="H55" i="66"/>
  <c r="I55" i="66"/>
  <c r="J55" i="66"/>
  <c r="C55" i="66"/>
  <c r="K44" i="66"/>
  <c r="L44" i="66"/>
  <c r="M44" i="66"/>
  <c r="K45" i="66"/>
  <c r="L45" i="66"/>
  <c r="M45" i="66"/>
  <c r="M43" i="66"/>
  <c r="L43" i="66"/>
  <c r="K43" i="66"/>
  <c r="D46" i="66"/>
  <c r="E46" i="66"/>
  <c r="F46" i="66"/>
  <c r="G46" i="66"/>
  <c r="H46" i="66"/>
  <c r="I46" i="66"/>
  <c r="J46" i="66"/>
  <c r="K46" i="66"/>
  <c r="M34" i="66"/>
  <c r="K34" i="66"/>
  <c r="M33" i="66"/>
  <c r="L33" i="66"/>
  <c r="L36" i="66" s="1"/>
  <c r="K33" i="66"/>
  <c r="M25" i="66"/>
  <c r="L25" i="66"/>
  <c r="K25" i="66"/>
  <c r="M24" i="66"/>
  <c r="L24" i="66"/>
  <c r="K24" i="66"/>
  <c r="L15" i="66"/>
  <c r="M15" i="66"/>
  <c r="L16" i="66"/>
  <c r="M16" i="66"/>
  <c r="K16" i="66"/>
  <c r="K15" i="66"/>
  <c r="C26" i="66"/>
  <c r="D26" i="66"/>
  <c r="E26" i="66"/>
  <c r="F26" i="66"/>
  <c r="G26" i="66"/>
  <c r="H26" i="66"/>
  <c r="I26" i="66"/>
  <c r="J26" i="66"/>
  <c r="B26" i="66"/>
  <c r="C17" i="66"/>
  <c r="D17" i="66"/>
  <c r="E17" i="66"/>
  <c r="F17" i="66"/>
  <c r="G17" i="66"/>
  <c r="H17" i="66"/>
  <c r="I17" i="66"/>
  <c r="J17" i="66"/>
  <c r="B17" i="66"/>
  <c r="K36" i="66" l="1"/>
  <c r="M55" i="66"/>
  <c r="M66" i="66"/>
  <c r="M36" i="66"/>
  <c r="K66" i="66"/>
  <c r="K55" i="66"/>
  <c r="L46" i="66"/>
  <c r="K27" i="67"/>
  <c r="M27" i="67"/>
  <c r="L27" i="67"/>
  <c r="L66" i="66"/>
  <c r="K26" i="66"/>
  <c r="L17" i="66"/>
  <c r="M46" i="66"/>
  <c r="L26" i="66"/>
  <c r="M17" i="66"/>
  <c r="M26" i="66"/>
  <c r="K17" i="66"/>
  <c r="C8" i="66"/>
  <c r="D8" i="66"/>
  <c r="K8" i="65"/>
  <c r="L8" i="65"/>
  <c r="M8" i="65"/>
  <c r="K9" i="65"/>
  <c r="L9" i="65"/>
  <c r="M9" i="65"/>
  <c r="K10" i="65"/>
  <c r="L10" i="65"/>
  <c r="M10" i="65"/>
  <c r="K12" i="65"/>
  <c r="L12" i="65"/>
  <c r="M12" i="65"/>
  <c r="K13" i="65"/>
  <c r="L13" i="65"/>
  <c r="M13" i="65"/>
  <c r="K14" i="65"/>
  <c r="L14" i="65"/>
  <c r="M14" i="65"/>
  <c r="K15" i="65"/>
  <c r="L15" i="65"/>
  <c r="M15" i="65"/>
  <c r="K16" i="65"/>
  <c r="L16" i="65"/>
  <c r="M16" i="65"/>
  <c r="K17" i="65"/>
  <c r="L17" i="65"/>
  <c r="M17" i="65"/>
  <c r="K18" i="65"/>
  <c r="L18" i="65"/>
  <c r="M18" i="65"/>
  <c r="K19" i="65"/>
  <c r="L19" i="65"/>
  <c r="M19" i="65"/>
  <c r="K20" i="65"/>
  <c r="L20" i="65"/>
  <c r="M20" i="65"/>
  <c r="K21" i="65"/>
  <c r="L21" i="65"/>
  <c r="M21" i="65"/>
  <c r="K23" i="65"/>
  <c r="L23" i="65"/>
  <c r="M23" i="65"/>
  <c r="K25" i="65"/>
  <c r="L25" i="65"/>
  <c r="M25" i="65"/>
  <c r="K26" i="65"/>
  <c r="L26" i="65"/>
  <c r="M26" i="65"/>
  <c r="K27" i="65"/>
  <c r="L27" i="65"/>
  <c r="M27" i="65"/>
  <c r="K29" i="65"/>
  <c r="L29" i="65"/>
  <c r="M29" i="65"/>
  <c r="K30" i="65"/>
  <c r="L30" i="65"/>
  <c r="M30" i="65"/>
  <c r="K31" i="65"/>
  <c r="L31" i="65"/>
  <c r="M31" i="65"/>
  <c r="K32" i="65"/>
  <c r="L32" i="65"/>
  <c r="M32" i="65"/>
  <c r="K33" i="65"/>
  <c r="L33" i="65"/>
  <c r="M33" i="65"/>
  <c r="K34" i="65"/>
  <c r="L34" i="65"/>
  <c r="M34" i="65"/>
  <c r="K35" i="65"/>
  <c r="L35" i="65"/>
  <c r="M35" i="65"/>
  <c r="K36" i="65"/>
  <c r="L36" i="65"/>
  <c r="M36" i="65"/>
  <c r="K37" i="65"/>
  <c r="L37" i="65"/>
  <c r="M37" i="65"/>
  <c r="K38" i="65"/>
  <c r="L38" i="65"/>
  <c r="M38" i="65"/>
  <c r="L6" i="65"/>
  <c r="M6" i="65"/>
  <c r="K6" i="65"/>
  <c r="L73" i="65"/>
  <c r="M73" i="65"/>
  <c r="L74" i="65"/>
  <c r="M74" i="65"/>
  <c r="L75" i="65"/>
  <c r="M75" i="65"/>
  <c r="L76" i="65"/>
  <c r="M76" i="65"/>
  <c r="K74" i="65"/>
  <c r="K75" i="65"/>
  <c r="K76" i="65"/>
  <c r="K73" i="65"/>
  <c r="M65" i="65"/>
  <c r="L65" i="65"/>
  <c r="K65" i="65"/>
  <c r="M64" i="65"/>
  <c r="L64" i="65"/>
  <c r="K64" i="65"/>
  <c r="M63" i="65"/>
  <c r="L63" i="65"/>
  <c r="K63" i="65"/>
  <c r="M62" i="65"/>
  <c r="L62" i="65"/>
  <c r="K62" i="65"/>
  <c r="C66" i="65"/>
  <c r="D66" i="65"/>
  <c r="E66" i="65"/>
  <c r="F66" i="65"/>
  <c r="G66" i="65"/>
  <c r="H66" i="65"/>
  <c r="I66" i="65"/>
  <c r="J66" i="65"/>
  <c r="B55" i="65"/>
  <c r="C55" i="65"/>
  <c r="D55" i="65"/>
  <c r="E55" i="65"/>
  <c r="F55" i="65"/>
  <c r="G55" i="65"/>
  <c r="H55" i="65"/>
  <c r="I55" i="65"/>
  <c r="J55" i="65"/>
  <c r="K47" i="65"/>
  <c r="L47" i="65"/>
  <c r="M47" i="65"/>
  <c r="K48" i="65"/>
  <c r="L48" i="65"/>
  <c r="M48" i="65"/>
  <c r="K49" i="65"/>
  <c r="L49" i="65"/>
  <c r="M49" i="65"/>
  <c r="K50" i="65"/>
  <c r="L50" i="65"/>
  <c r="M50" i="65"/>
  <c r="K51" i="65"/>
  <c r="L51" i="65"/>
  <c r="M51" i="65"/>
  <c r="K52" i="65"/>
  <c r="L52" i="65"/>
  <c r="M52" i="65"/>
  <c r="K54" i="65"/>
  <c r="L54" i="65"/>
  <c r="M54" i="65"/>
  <c r="L46" i="65"/>
  <c r="M46" i="65"/>
  <c r="K46" i="65"/>
  <c r="M39" i="65" l="1"/>
  <c r="K39" i="65"/>
  <c r="M66" i="65"/>
  <c r="L39" i="65"/>
  <c r="L81" i="65"/>
  <c r="K81" i="65"/>
  <c r="M81" i="65"/>
  <c r="L66" i="65"/>
  <c r="M55" i="65"/>
  <c r="L55" i="65"/>
  <c r="B56" i="64" l="1"/>
  <c r="C56" i="64"/>
  <c r="B20" i="64"/>
  <c r="C20" i="64"/>
  <c r="B34" i="64"/>
  <c r="B45" i="64"/>
  <c r="B10" i="64"/>
  <c r="C10" i="64"/>
  <c r="D18" i="10" l="1"/>
  <c r="B26" i="19"/>
  <c r="B9" i="19"/>
  <c r="B34" i="19" l="1"/>
  <c r="B21" i="11"/>
  <c r="P21" i="11"/>
  <c r="M13" i="11"/>
  <c r="M22" i="11" s="1"/>
  <c r="L13" i="11"/>
  <c r="L22" i="11" s="1"/>
  <c r="K13" i="11"/>
  <c r="K22" i="11" s="1"/>
  <c r="J13" i="11"/>
  <c r="J22" i="11" s="1"/>
  <c r="I13" i="11"/>
  <c r="I22" i="11" s="1"/>
  <c r="H13" i="11"/>
  <c r="H22" i="11" s="1"/>
  <c r="G13" i="11"/>
  <c r="G22" i="11" s="1"/>
  <c r="F13" i="11"/>
  <c r="F22" i="11" s="1"/>
  <c r="E13" i="11"/>
  <c r="E22" i="11" s="1"/>
  <c r="B13" i="11"/>
  <c r="B22" i="11" s="1"/>
  <c r="B24" i="11" l="1"/>
  <c r="E24" i="11"/>
  <c r="G24" i="11"/>
  <c r="I24" i="11"/>
  <c r="K24" i="11"/>
  <c r="M24" i="11"/>
  <c r="F24" i="11"/>
  <c r="H24" i="11"/>
  <c r="J24" i="11"/>
  <c r="L24" i="11"/>
  <c r="P22" i="11"/>
  <c r="P24" i="11" s="1"/>
  <c r="B55" i="21" l="1"/>
  <c r="B40" i="21"/>
  <c r="I26" i="1" l="1"/>
  <c r="H26" i="1"/>
  <c r="G26" i="1"/>
  <c r="F26" i="1"/>
  <c r="E26" i="1"/>
  <c r="B26" i="1"/>
  <c r="L26" i="1" l="1"/>
  <c r="D25" i="28"/>
  <c r="D14" i="28"/>
  <c r="B55" i="66"/>
  <c r="K29" i="31" l="1"/>
  <c r="J29" i="31"/>
  <c r="I29" i="31"/>
  <c r="K28" i="31"/>
  <c r="J28" i="31"/>
  <c r="I28" i="31"/>
  <c r="K27" i="31"/>
  <c r="J27" i="31"/>
  <c r="I27" i="31"/>
  <c r="K38" i="31"/>
  <c r="J38" i="31"/>
  <c r="I38" i="31"/>
  <c r="K37" i="31"/>
  <c r="J37" i="31"/>
  <c r="I37" i="31"/>
  <c r="K35" i="31"/>
  <c r="J35" i="31"/>
  <c r="I35" i="31"/>
  <c r="K34" i="31"/>
  <c r="J34" i="31"/>
  <c r="I34" i="31"/>
  <c r="K33" i="31"/>
  <c r="J33" i="31"/>
  <c r="I33" i="31"/>
  <c r="K32" i="31"/>
  <c r="J32" i="31"/>
  <c r="I32" i="31"/>
  <c r="K22" i="31"/>
  <c r="J22" i="31"/>
  <c r="I22" i="31"/>
  <c r="K21" i="31"/>
  <c r="J21" i="31"/>
  <c r="I21" i="31"/>
  <c r="K19" i="31"/>
  <c r="J19" i="31"/>
  <c r="I19" i="31"/>
  <c r="K18" i="31"/>
  <c r="J18" i="31"/>
  <c r="I18" i="31"/>
  <c r="K17" i="31"/>
  <c r="J17" i="31"/>
  <c r="I17" i="31"/>
  <c r="K16" i="31"/>
  <c r="J16" i="31"/>
  <c r="I16" i="31"/>
  <c r="K13" i="31"/>
  <c r="J13" i="31"/>
  <c r="I13" i="31"/>
  <c r="K12" i="31"/>
  <c r="J12" i="31"/>
  <c r="I12" i="31"/>
  <c r="K11" i="31"/>
  <c r="J11" i="31"/>
  <c r="I11" i="31"/>
  <c r="K10" i="31"/>
  <c r="J10" i="31"/>
  <c r="I10" i="31"/>
  <c r="F36" i="31"/>
  <c r="E36" i="31"/>
  <c r="D36" i="31"/>
  <c r="F35" i="31"/>
  <c r="E35" i="31"/>
  <c r="D35" i="31"/>
  <c r="F34" i="31"/>
  <c r="E34" i="31"/>
  <c r="D34" i="31"/>
  <c r="F33" i="31"/>
  <c r="E33" i="31"/>
  <c r="D33" i="31"/>
  <c r="F32" i="31"/>
  <c r="E32" i="31"/>
  <c r="D32" i="31"/>
  <c r="F29" i="31"/>
  <c r="E29" i="31"/>
  <c r="D29" i="31"/>
  <c r="F28" i="31"/>
  <c r="E28" i="31"/>
  <c r="D28" i="31"/>
  <c r="F27" i="31"/>
  <c r="E27" i="31"/>
  <c r="D27" i="31"/>
  <c r="F20" i="31"/>
  <c r="E20" i="31"/>
  <c r="D20" i="31"/>
  <c r="F19" i="31"/>
  <c r="E19" i="31"/>
  <c r="D19" i="31"/>
  <c r="F18" i="31"/>
  <c r="E18" i="31"/>
  <c r="D18" i="31"/>
  <c r="F17" i="31"/>
  <c r="E17" i="31"/>
  <c r="D17" i="31"/>
  <c r="F16" i="31"/>
  <c r="E16" i="31"/>
  <c r="D16" i="31"/>
  <c r="F10" i="31"/>
  <c r="E10" i="31"/>
  <c r="D10" i="31"/>
  <c r="D9" i="31"/>
  <c r="F8" i="31"/>
  <c r="E8" i="31"/>
  <c r="D8" i="31"/>
  <c r="F7" i="31"/>
  <c r="E7" i="31"/>
  <c r="D7" i="31"/>
  <c r="K23" i="42"/>
  <c r="J23" i="42"/>
  <c r="I23" i="42"/>
  <c r="F30" i="42"/>
  <c r="E30" i="42"/>
  <c r="D30" i="42"/>
  <c r="K39" i="42"/>
  <c r="J39" i="42"/>
  <c r="I39" i="42"/>
  <c r="K30" i="42"/>
  <c r="J30" i="42"/>
  <c r="I30" i="42"/>
  <c r="F39" i="42"/>
  <c r="E39" i="42"/>
  <c r="D39" i="42"/>
  <c r="B159" i="67"/>
  <c r="B139" i="67"/>
  <c r="B118" i="67"/>
  <c r="C73" i="67"/>
  <c r="B73" i="67"/>
  <c r="D27" i="67"/>
  <c r="C27" i="67"/>
  <c r="B27" i="67"/>
  <c r="C66" i="66"/>
  <c r="B66" i="66"/>
  <c r="C46" i="66"/>
  <c r="B46" i="66"/>
  <c r="B8" i="66"/>
  <c r="B66" i="65"/>
  <c r="K66" i="65" s="1"/>
  <c r="D56" i="64"/>
  <c r="D20" i="64"/>
  <c r="D10" i="64"/>
  <c r="F30" i="31" l="1"/>
  <c r="K55" i="65"/>
  <c r="E30" i="31"/>
  <c r="D30" i="31"/>
  <c r="I31" i="40" l="1"/>
  <c r="K15" i="40"/>
  <c r="J15" i="40"/>
  <c r="I15" i="40"/>
  <c r="K39" i="60"/>
  <c r="J39" i="60"/>
  <c r="I39" i="60"/>
  <c r="K30" i="60"/>
  <c r="J30" i="60"/>
  <c r="I30" i="60"/>
  <c r="F30" i="60"/>
  <c r="E30" i="60"/>
  <c r="D30" i="60"/>
  <c r="K23" i="60"/>
  <c r="J23" i="60"/>
  <c r="I23" i="60"/>
  <c r="D14" i="60"/>
  <c r="J9" i="60"/>
  <c r="K9" i="60" s="1"/>
  <c r="E9" i="60"/>
  <c r="E14" i="60" s="1"/>
  <c r="I8" i="60"/>
  <c r="J8" i="60" s="1"/>
  <c r="K8" i="60" s="1"/>
  <c r="I7" i="60"/>
  <c r="K39" i="59"/>
  <c r="J39" i="59"/>
  <c r="I39" i="59"/>
  <c r="K30" i="59"/>
  <c r="J30" i="59"/>
  <c r="I30" i="59"/>
  <c r="F30" i="59"/>
  <c r="E30" i="59"/>
  <c r="D30" i="59"/>
  <c r="K23" i="59"/>
  <c r="J23" i="59"/>
  <c r="I23" i="59"/>
  <c r="D14" i="59"/>
  <c r="J9" i="59"/>
  <c r="K9" i="59" s="1"/>
  <c r="E9" i="59"/>
  <c r="E14" i="59" s="1"/>
  <c r="I8" i="59"/>
  <c r="J8" i="59" s="1"/>
  <c r="K8" i="59" s="1"/>
  <c r="I7" i="59"/>
  <c r="K39" i="58"/>
  <c r="J39" i="58"/>
  <c r="I39" i="58"/>
  <c r="K30" i="58"/>
  <c r="J30" i="58"/>
  <c r="I30" i="58"/>
  <c r="F30" i="58"/>
  <c r="E30" i="58"/>
  <c r="D30" i="58"/>
  <c r="K23" i="58"/>
  <c r="J23" i="58"/>
  <c r="I23" i="58"/>
  <c r="F14" i="58"/>
  <c r="E14" i="58"/>
  <c r="D14" i="58"/>
  <c r="J9" i="58"/>
  <c r="K9" i="58" s="1"/>
  <c r="I8" i="58"/>
  <c r="J8" i="58" s="1"/>
  <c r="K8" i="58" s="1"/>
  <c r="I7" i="58"/>
  <c r="K39" i="57"/>
  <c r="J39" i="57"/>
  <c r="I39" i="57"/>
  <c r="K30" i="57"/>
  <c r="J30" i="57"/>
  <c r="I30" i="57"/>
  <c r="F30" i="57"/>
  <c r="E30" i="57"/>
  <c r="D30" i="57"/>
  <c r="K23" i="57"/>
  <c r="J23" i="57"/>
  <c r="I23" i="57"/>
  <c r="D14" i="57"/>
  <c r="J9" i="57"/>
  <c r="K9" i="57" s="1"/>
  <c r="E9" i="57"/>
  <c r="E14" i="57" s="1"/>
  <c r="I8" i="57"/>
  <c r="J8" i="57" s="1"/>
  <c r="K8" i="57" s="1"/>
  <c r="I7" i="57"/>
  <c r="K40" i="56"/>
  <c r="J40" i="56"/>
  <c r="J39" i="31" s="1"/>
  <c r="I40" i="56"/>
  <c r="K31" i="56"/>
  <c r="J31" i="56"/>
  <c r="I31" i="56"/>
  <c r="I42" i="56" s="1"/>
  <c r="F31" i="56"/>
  <c r="E31" i="56"/>
  <c r="D31" i="56"/>
  <c r="K24" i="56"/>
  <c r="J24" i="56"/>
  <c r="I24" i="56"/>
  <c r="D15" i="56"/>
  <c r="I10" i="56"/>
  <c r="E10" i="56"/>
  <c r="I9" i="56"/>
  <c r="I8" i="56"/>
  <c r="J42" i="56" l="1"/>
  <c r="J41" i="59"/>
  <c r="K39" i="31"/>
  <c r="I39" i="31"/>
  <c r="I14" i="58"/>
  <c r="I25" i="58" s="1"/>
  <c r="D21" i="58" s="1"/>
  <c r="D23" i="58" s="1"/>
  <c r="D25" i="58" s="1"/>
  <c r="K41" i="60"/>
  <c r="K42" i="56"/>
  <c r="I14" i="57"/>
  <c r="I25" i="57" s="1"/>
  <c r="D21" i="57" s="1"/>
  <c r="D23" i="57" s="1"/>
  <c r="D25" i="57" s="1"/>
  <c r="J41" i="57"/>
  <c r="I41" i="59"/>
  <c r="K41" i="59"/>
  <c r="J8" i="56"/>
  <c r="I7" i="31"/>
  <c r="F10" i="56"/>
  <c r="E9" i="31"/>
  <c r="E37" i="59"/>
  <c r="E39" i="59" s="1"/>
  <c r="E41" i="59" s="1"/>
  <c r="I14" i="60"/>
  <c r="I25" i="60" s="1"/>
  <c r="J41" i="60"/>
  <c r="J9" i="56"/>
  <c r="I8" i="31"/>
  <c r="J10" i="56"/>
  <c r="J15" i="56" s="1"/>
  <c r="J26" i="56" s="1"/>
  <c r="I9" i="31"/>
  <c r="J41" i="58"/>
  <c r="I41" i="57"/>
  <c r="K41" i="58"/>
  <c r="I14" i="59"/>
  <c r="I25" i="59" s="1"/>
  <c r="K41" i="57"/>
  <c r="I41" i="58"/>
  <c r="I41" i="60"/>
  <c r="I43" i="60" s="1"/>
  <c r="K8" i="56"/>
  <c r="D21" i="59"/>
  <c r="D23" i="59" s="1"/>
  <c r="D25" i="59" s="1"/>
  <c r="I43" i="59"/>
  <c r="D21" i="60"/>
  <c r="D23" i="60" s="1"/>
  <c r="D25" i="60" s="1"/>
  <c r="E15" i="56"/>
  <c r="I15" i="56"/>
  <c r="I26" i="56" s="1"/>
  <c r="D38" i="56"/>
  <c r="F38" i="56"/>
  <c r="J7" i="57"/>
  <c r="F9" i="57"/>
  <c r="F14" i="57" s="1"/>
  <c r="D37" i="57"/>
  <c r="D39" i="57" s="1"/>
  <c r="D41" i="57" s="1"/>
  <c r="F37" i="57"/>
  <c r="F39" i="57" s="1"/>
  <c r="F41" i="57" s="1"/>
  <c r="J7" i="58"/>
  <c r="D37" i="58"/>
  <c r="D39" i="58" s="1"/>
  <c r="D41" i="58" s="1"/>
  <c r="F37" i="58"/>
  <c r="F39" i="58" s="1"/>
  <c r="F41" i="58" s="1"/>
  <c r="J7" i="59"/>
  <c r="F9" i="59"/>
  <c r="F14" i="59" s="1"/>
  <c r="D37" i="59"/>
  <c r="D39" i="59" s="1"/>
  <c r="D41" i="59" s="1"/>
  <c r="F37" i="59"/>
  <c r="F39" i="59" s="1"/>
  <c r="F41" i="59" s="1"/>
  <c r="J7" i="60"/>
  <c r="F9" i="60"/>
  <c r="F14" i="60" s="1"/>
  <c r="D37" i="60"/>
  <c r="D39" i="60" s="1"/>
  <c r="D41" i="60" s="1"/>
  <c r="F37" i="60"/>
  <c r="F39" i="60" s="1"/>
  <c r="F41" i="60" s="1"/>
  <c r="E38" i="56"/>
  <c r="E37" i="57"/>
  <c r="E39" i="57" s="1"/>
  <c r="E41" i="57" s="1"/>
  <c r="E37" i="58"/>
  <c r="E39" i="58" s="1"/>
  <c r="E41" i="58" s="1"/>
  <c r="E37" i="60"/>
  <c r="E39" i="60" s="1"/>
  <c r="E41" i="60" s="1"/>
  <c r="C16" i="27"/>
  <c r="B16" i="27"/>
  <c r="I43" i="58" l="1"/>
  <c r="I43" i="57"/>
  <c r="E40" i="56"/>
  <c r="E42" i="56" s="1"/>
  <c r="J36" i="41"/>
  <c r="J36" i="31" s="1"/>
  <c r="E37" i="31"/>
  <c r="F40" i="56"/>
  <c r="F42" i="56" s="1"/>
  <c r="F37" i="31"/>
  <c r="K36" i="41"/>
  <c r="K36" i="31" s="1"/>
  <c r="K10" i="56"/>
  <c r="K9" i="31" s="1"/>
  <c r="J9" i="31"/>
  <c r="K9" i="56"/>
  <c r="K8" i="31" s="1"/>
  <c r="J8" i="31"/>
  <c r="F15" i="56"/>
  <c r="F9" i="31"/>
  <c r="J7" i="31"/>
  <c r="D40" i="56"/>
  <c r="D42" i="56" s="1"/>
  <c r="D37" i="31"/>
  <c r="I36" i="41"/>
  <c r="I36" i="31" s="1"/>
  <c r="D43" i="60"/>
  <c r="D43" i="58"/>
  <c r="J14" i="58"/>
  <c r="J25" i="58" s="1"/>
  <c r="K7" i="58"/>
  <c r="K14" i="58" s="1"/>
  <c r="K25" i="58" s="1"/>
  <c r="J14" i="57"/>
  <c r="J25" i="57" s="1"/>
  <c r="K7" i="57"/>
  <c r="K14" i="57" s="1"/>
  <c r="K25" i="57" s="1"/>
  <c r="D43" i="59"/>
  <c r="J14" i="60"/>
  <c r="J25" i="60" s="1"/>
  <c r="K7" i="60"/>
  <c r="K14" i="60" s="1"/>
  <c r="K25" i="60" s="1"/>
  <c r="J14" i="59"/>
  <c r="J25" i="59" s="1"/>
  <c r="K7" i="59"/>
  <c r="K14" i="59" s="1"/>
  <c r="K25" i="59" s="1"/>
  <c r="D22" i="56"/>
  <c r="I44" i="56"/>
  <c r="J44" i="56"/>
  <c r="E22" i="56"/>
  <c r="D43" i="57"/>
  <c r="K15" i="56" l="1"/>
  <c r="K26" i="56" s="1"/>
  <c r="E24" i="56"/>
  <c r="E26" i="56" s="1"/>
  <c r="E44" i="56" s="1"/>
  <c r="K7" i="31"/>
  <c r="D24" i="56"/>
  <c r="D26" i="56" s="1"/>
  <c r="D44" i="56" s="1"/>
  <c r="I20" i="41"/>
  <c r="J43" i="59"/>
  <c r="E21" i="59"/>
  <c r="E23" i="59" s="1"/>
  <c r="E25" i="59" s="1"/>
  <c r="E43" i="59" s="1"/>
  <c r="J43" i="60"/>
  <c r="E21" i="60"/>
  <c r="E23" i="60" s="1"/>
  <c r="E25" i="60" s="1"/>
  <c r="E43" i="60" s="1"/>
  <c r="J43" i="57"/>
  <c r="E21" i="57"/>
  <c r="E23" i="57" s="1"/>
  <c r="E25" i="57" s="1"/>
  <c r="E43" i="57" s="1"/>
  <c r="J43" i="58"/>
  <c r="E21" i="58"/>
  <c r="E23" i="58" s="1"/>
  <c r="E25" i="58" s="1"/>
  <c r="E43" i="58" s="1"/>
  <c r="F21" i="59"/>
  <c r="F23" i="59" s="1"/>
  <c r="F25" i="59" s="1"/>
  <c r="F43" i="59" s="1"/>
  <c r="K43" i="59"/>
  <c r="F21" i="60"/>
  <c r="F23" i="60" s="1"/>
  <c r="F25" i="60" s="1"/>
  <c r="F43" i="60" s="1"/>
  <c r="K43" i="60"/>
  <c r="F21" i="57"/>
  <c r="F23" i="57" s="1"/>
  <c r="F25" i="57" s="1"/>
  <c r="F43" i="57" s="1"/>
  <c r="K43" i="57"/>
  <c r="F21" i="58"/>
  <c r="F23" i="58" s="1"/>
  <c r="F25" i="58" s="1"/>
  <c r="F43" i="58" s="1"/>
  <c r="K43" i="58"/>
  <c r="F22" i="56" l="1"/>
  <c r="F24" i="56" s="1"/>
  <c r="F26" i="56" s="1"/>
  <c r="F44" i="56" s="1"/>
  <c r="K44" i="56"/>
  <c r="K20" i="41"/>
  <c r="J20" i="41"/>
  <c r="J41" i="42"/>
  <c r="K41" i="42"/>
  <c r="I41" i="42"/>
  <c r="J14" i="42"/>
  <c r="J25" i="42" s="1"/>
  <c r="K14" i="42"/>
  <c r="K25" i="42" s="1"/>
  <c r="I14" i="42"/>
  <c r="I25" i="42" s="1"/>
  <c r="E41" i="42"/>
  <c r="F41" i="42"/>
  <c r="D41" i="42"/>
  <c r="E23" i="42"/>
  <c r="F23" i="42"/>
  <c r="D23" i="42"/>
  <c r="E14" i="42"/>
  <c r="F14" i="42"/>
  <c r="D14" i="42"/>
  <c r="J40" i="41"/>
  <c r="K40" i="41"/>
  <c r="I40" i="41"/>
  <c r="J30" i="41"/>
  <c r="K30" i="41"/>
  <c r="I30" i="41"/>
  <c r="J14" i="41"/>
  <c r="K14" i="41"/>
  <c r="I14" i="41"/>
  <c r="E30" i="41"/>
  <c r="E42" i="41" s="1"/>
  <c r="F30" i="41"/>
  <c r="F42" i="41" s="1"/>
  <c r="D30" i="41"/>
  <c r="D42" i="41" s="1"/>
  <c r="E23" i="41"/>
  <c r="F23" i="41"/>
  <c r="D23" i="41"/>
  <c r="E14" i="41"/>
  <c r="F14" i="41"/>
  <c r="D14" i="41"/>
  <c r="E14" i="31"/>
  <c r="K40" i="31"/>
  <c r="J40" i="31"/>
  <c r="I14" i="31"/>
  <c r="D14" i="31"/>
  <c r="I30" i="31"/>
  <c r="K14" i="31"/>
  <c r="D12" i="10"/>
  <c r="C38" i="8"/>
  <c r="F25" i="42" l="1"/>
  <c r="F43" i="42" s="1"/>
  <c r="I43" i="42"/>
  <c r="E25" i="42"/>
  <c r="E43" i="42" s="1"/>
  <c r="F25" i="41"/>
  <c r="F44" i="41" s="1"/>
  <c r="I42" i="41"/>
  <c r="J42" i="41"/>
  <c r="K42" i="41"/>
  <c r="D25" i="42"/>
  <c r="D43" i="42" s="1"/>
  <c r="E25" i="41"/>
  <c r="E44" i="41" s="1"/>
  <c r="D25" i="41"/>
  <c r="D44" i="41" s="1"/>
  <c r="J43" i="42"/>
  <c r="I40" i="31"/>
  <c r="I42" i="31" s="1"/>
  <c r="K43" i="42"/>
  <c r="J30" i="31"/>
  <c r="J42" i="31" s="1"/>
  <c r="J14" i="31"/>
  <c r="D40" i="31"/>
  <c r="D42" i="31" s="1"/>
  <c r="F14" i="31"/>
  <c r="F23" i="31" l="1"/>
  <c r="F25" i="31" s="1"/>
  <c r="K30" i="31"/>
  <c r="K42" i="31" s="1"/>
  <c r="D23" i="31"/>
  <c r="D25" i="31" s="1"/>
  <c r="D44" i="31" s="1"/>
  <c r="E23" i="31"/>
  <c r="E25" i="31" s="1"/>
  <c r="E40" i="31" l="1"/>
  <c r="E42" i="31" s="1"/>
  <c r="E44" i="31" s="1"/>
  <c r="I23" i="31"/>
  <c r="I25" i="31" s="1"/>
  <c r="I44" i="31" s="1"/>
  <c r="I23" i="41"/>
  <c r="I25" i="41" s="1"/>
  <c r="I44" i="41" s="1"/>
  <c r="K23" i="31"/>
  <c r="K25" i="31" s="1"/>
  <c r="K44" i="31" s="1"/>
  <c r="K23" i="41"/>
  <c r="K25" i="41" s="1"/>
  <c r="K44" i="41" s="1"/>
  <c r="J23" i="31" l="1"/>
  <c r="J25" i="31" s="1"/>
  <c r="J44" i="31" s="1"/>
  <c r="J23" i="41"/>
  <c r="J25" i="41" s="1"/>
  <c r="J44" i="41" s="1"/>
  <c r="F40" i="31"/>
  <c r="F42" i="31" s="1"/>
  <c r="F44" i="31" s="1"/>
</calcChain>
</file>

<file path=xl/sharedStrings.xml><?xml version="1.0" encoding="utf-8"?>
<sst xmlns="http://schemas.openxmlformats.org/spreadsheetml/2006/main" count="4727" uniqueCount="1410">
  <si>
    <t>h) helyi adópótlék, adóbírság</t>
  </si>
  <si>
    <t>Saját bevétel 50%-a</t>
  </si>
  <si>
    <t xml:space="preserve">B114. Települési önkormányzatok kulturális feladatainak támogatása </t>
  </si>
  <si>
    <t>Települési önkormányzatok kulturális feladatinak támogatása</t>
  </si>
  <si>
    <t>B111. Helyi önkormányzatok működésének általános támogatása</t>
  </si>
  <si>
    <t>Helyi önkormányzatok működésének általános támogatása</t>
  </si>
  <si>
    <t xml:space="preserve">10.2. melléklet </t>
  </si>
  <si>
    <t>Óvoda pedagógusok és segítők bértámogatása</t>
  </si>
  <si>
    <t>Óvoda működési támogatása</t>
  </si>
  <si>
    <t xml:space="preserve">10.3. melléklet </t>
  </si>
  <si>
    <t>B113. Települési önkormányzatok szociális, gyermekjóléti és gyermekétkeztetési feladatainak támogatása</t>
  </si>
  <si>
    <t>Kistérségi feladatok támogatása (családsegítés, szociális étkezés, gyermekjóléti szolgálat)</t>
  </si>
  <si>
    <t>Gyermekétkeztetés támogatása</t>
  </si>
  <si>
    <t>Hozzájárulás szociális ellátásokhoz</t>
  </si>
  <si>
    <t xml:space="preserve">     10.4. melléklet</t>
  </si>
  <si>
    <t xml:space="preserve"> Ezer Ft-ban </t>
  </si>
  <si>
    <t xml:space="preserve">B112. Települési önkormányzatok egyes köznevelési támogatása </t>
  </si>
  <si>
    <t>Bölcsődei ellátás támogatása</t>
  </si>
  <si>
    <t>Szociális feladatok ellátás (Idősek Otthona) támogatása</t>
  </si>
  <si>
    <t xml:space="preserve">     10.6. melléklet</t>
  </si>
  <si>
    <t xml:space="preserve">10.8. melléklet </t>
  </si>
  <si>
    <t xml:space="preserve">      10.9. melléklet</t>
  </si>
  <si>
    <t xml:space="preserve">      10.10. melléklet</t>
  </si>
  <si>
    <t>átadás ideje</t>
  </si>
  <si>
    <t>kölcsönvevő</t>
  </si>
  <si>
    <t>adott (nyitó)            hitel-kölcsön   összege</t>
  </si>
  <si>
    <t>megjegyzés</t>
  </si>
  <si>
    <t>hitel-kölcsön állománya          Ft-ban</t>
  </si>
  <si>
    <t>2009-2012</t>
  </si>
  <si>
    <t>tagi kölcsön</t>
  </si>
  <si>
    <t>önk.többs.             egyéb váll</t>
  </si>
  <si>
    <t>2007.</t>
  </si>
  <si>
    <t>Kollcsiter Zoltán</t>
  </si>
  <si>
    <t>kezességvállalás</t>
  </si>
  <si>
    <t>Takarékszövetekezet</t>
  </si>
  <si>
    <t>háztartás</t>
  </si>
  <si>
    <t>Polgár Mónika</t>
  </si>
  <si>
    <t>Juhász László</t>
  </si>
  <si>
    <t>kölcsön</t>
  </si>
  <si>
    <t>2008-2012</t>
  </si>
  <si>
    <t>Református Egyház</t>
  </si>
  <si>
    <t>non profit</t>
  </si>
  <si>
    <t xml:space="preserve">Kőrösik Bt </t>
  </si>
  <si>
    <t>nem önk.            egyéb váll</t>
  </si>
  <si>
    <t>Holl András</t>
  </si>
  <si>
    <t>Takaréskszövetkezet</t>
  </si>
  <si>
    <t>telekvétel miatt</t>
  </si>
  <si>
    <t>Novusz Immo</t>
  </si>
  <si>
    <t>Gábor Cs</t>
  </si>
  <si>
    <t>TIGÁZ-DSO</t>
  </si>
  <si>
    <t>fejlesztési kölcsön éven túli</t>
  </si>
  <si>
    <t>Százszorszép u</t>
  </si>
  <si>
    <t>2013.06.30   2015.06.30</t>
  </si>
  <si>
    <t>FEJLESZTÉSI KÖLCSÖN</t>
  </si>
  <si>
    <t>Dencsi Attila</t>
  </si>
  <si>
    <t>HAJDU Kft</t>
  </si>
  <si>
    <t>meg nem valósult telekvásár</t>
  </si>
  <si>
    <t>28. mellélet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</si>
  <si>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</si>
  <si>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Költségvetési szervek engedélyezett létszáma 2015. évre vonatkozóan</t>
  </si>
  <si>
    <t>Ezer Ft-ban</t>
  </si>
  <si>
    <t xml:space="preserve">Ebből: </t>
  </si>
  <si>
    <t xml:space="preserve">Bevétel </t>
  </si>
  <si>
    <t>Kiadás</t>
  </si>
  <si>
    <t>Összesen</t>
  </si>
  <si>
    <t xml:space="preserve">Hitel </t>
  </si>
  <si>
    <t xml:space="preserve">KIMUTATÁS </t>
  </si>
  <si>
    <t xml:space="preserve">Ezer Ft-ban </t>
  </si>
  <si>
    <t xml:space="preserve">Közvetett támogatás megnevezése </t>
  </si>
  <si>
    <t>Közvetett támogatás tervezett összege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</si>
  <si>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</si>
  <si>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</si>
  <si>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</si>
  <si>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</si>
  <si>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</si>
  <si>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</si>
  <si>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</si>
  <si>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</si>
  <si>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>Helyi adónál biztosított mentesség összege</t>
  </si>
  <si>
    <t>Egyéb nyújtott kedvezmény vagy kölcsön elengedésének összege</t>
  </si>
  <si>
    <t>Gépjárműadónál biztosított mentesség összege</t>
  </si>
  <si>
    <t xml:space="preserve">ÖSSZESEN </t>
  </si>
  <si>
    <t>Gépjárműadónál biztosított kedvezmény összege</t>
  </si>
  <si>
    <t xml:space="preserve">       - iparűzési adó ideiglenes jelleggel végzett iparűzési tevék. után </t>
  </si>
  <si>
    <t>Helyiségek, eszközök hasznosításából származó kedvezmény összege</t>
  </si>
  <si>
    <t>Helyiségek, eszközök hasznosításából származó mentesség összege</t>
  </si>
  <si>
    <t xml:space="preserve">Szöveges indokolás: </t>
  </si>
  <si>
    <t xml:space="preserve">Összesen 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</si>
  <si>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</si>
  <si>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</si>
  <si>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</si>
  <si>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</si>
  <si>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</si>
  <si>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</si>
  <si>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 xml:space="preserve">Megnevezés </t>
  </si>
  <si>
    <t xml:space="preserve">EU-s projekt címe: </t>
  </si>
  <si>
    <t xml:space="preserve">Projekt azonosítója: </t>
  </si>
  <si>
    <t xml:space="preserve">Bevételek </t>
  </si>
  <si>
    <t>Saját erő</t>
  </si>
  <si>
    <t>Saját erőből központi támogatás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</si>
  <si>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</si>
  <si>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</si>
  <si>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</si>
  <si>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</si>
  <si>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 xml:space="preserve">Kadások összesen </t>
  </si>
  <si>
    <t>KIMUTATÁS</t>
  </si>
  <si>
    <t xml:space="preserve">Összeg </t>
  </si>
  <si>
    <t>1.</t>
  </si>
  <si>
    <t>2.</t>
  </si>
  <si>
    <t>3.</t>
  </si>
  <si>
    <t>Adósságot keletkeztető ügylet megnevezése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</si>
  <si>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</si>
  <si>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</si>
  <si>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</si>
  <si>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</si>
  <si>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</si>
  <si>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</si>
  <si>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</si>
  <si>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</si>
  <si>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</si>
  <si>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</si>
  <si>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megnevezése *</t>
  </si>
  <si>
    <t>Saját bevétel összesen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</si>
  <si>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</si>
  <si>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</si>
  <si>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</si>
  <si>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</si>
  <si>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</si>
  <si>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</si>
  <si>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</si>
  <si>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</si>
  <si>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</si>
  <si>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Adósságot keltkeztető ügylet megnevezése **</t>
  </si>
  <si>
    <t xml:space="preserve">** Magyarország gazdasági stabilitásáról szóló 2011. évi CXCIV törvény 3. §  (1) bekezdése alapján </t>
  </si>
  <si>
    <t xml:space="preserve">Adósságot keletkeztető ügyletekből eredő fizetési kötelezettség  összesen </t>
  </si>
  <si>
    <t xml:space="preserve">* Az adósságot keletkeztető ügyletekhez történő hozzájárulás részletes szabályairól szóló 353/2011. (XII.30.) Korm. rendelet 2. § alapján </t>
  </si>
  <si>
    <t xml:space="preserve">a saját bevételek összegéről </t>
  </si>
  <si>
    <t xml:space="preserve">az adósságot keletkeztető ügyletekből eredő fizetési kötelezettségek futamidő végéig fennálló összegéről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</si>
  <si>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</si>
  <si>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</si>
  <si>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</si>
  <si>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I. Fejlesztési cél, amelyek megvalósításához adósságot keletkeztető ügylet megkötése válik, vagy válhat szükségessé</t>
  </si>
  <si>
    <t>Ügylet várható értéke</t>
  </si>
  <si>
    <t>Megnevezés</t>
  </si>
  <si>
    <t xml:space="preserve">Helyi adók </t>
  </si>
  <si>
    <t xml:space="preserve">Önkorm.-i vagyon, vagyoni értékű jog értékesít. bevét. </t>
  </si>
  <si>
    <t>Osztalék, koncssziós díj, hozambevétel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</si>
  <si>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</si>
  <si>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</si>
  <si>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</si>
  <si>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</si>
  <si>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</si>
  <si>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</si>
  <si>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 xml:space="preserve">Legalább 365 nap időtartamú halasztott fizetés, részletfizetés még ki nem fizett ellenértéke </t>
  </si>
  <si>
    <t xml:space="preserve">Fizetési kötelezettség összesen </t>
  </si>
  <si>
    <t xml:space="preserve">Kezességvállalásból eredő fizetési kötelezettség </t>
  </si>
  <si>
    <t xml:space="preserve">Tárgyi eszköz, immateriális jószág, részvény, részesedés értékesítéséből származó bevétel </t>
  </si>
  <si>
    <t xml:space="preserve">Az önkormányzat saját bevételeinek és az adósságot keletkeztető ügyleteiből eredő fizetési kötelezettségének bemutatása*  </t>
  </si>
  <si>
    <t xml:space="preserve">* Az államháztartásról szóló 2011. évi CXCV. törvény 23. § (2) bekezdés g) pontja alapján </t>
  </si>
  <si>
    <t>Visszavásárlási kötelezettség kikötésével megkötött adásvételi szerződés</t>
  </si>
  <si>
    <t xml:space="preserve">  </t>
  </si>
  <si>
    <t xml:space="preserve">A fennálló összegből tárgyévben esedékes tőketartozás </t>
  </si>
  <si>
    <t xml:space="preserve">22. melléklet </t>
  </si>
  <si>
    <t xml:space="preserve">A futamidő végéig fennálló összeg </t>
  </si>
  <si>
    <t>Az adósságot keletkeztető ügyletek futamidejének végéig</t>
  </si>
  <si>
    <t xml:space="preserve">Tárgyévi saját bevételek összege </t>
  </si>
  <si>
    <t xml:space="preserve">21. melléklet </t>
  </si>
  <si>
    <t xml:space="preserve">23. melléklet </t>
  </si>
  <si>
    <t xml:space="preserve">24. melléklet </t>
  </si>
  <si>
    <t xml:space="preserve">25. melléklet </t>
  </si>
  <si>
    <t xml:space="preserve">26. melléklet </t>
  </si>
  <si>
    <t>Mindösszesen</t>
  </si>
  <si>
    <t xml:space="preserve">Kv.-i szervek összesen </t>
  </si>
  <si>
    <t>Önkormányzat</t>
  </si>
  <si>
    <t>MEGNEVEZÉS</t>
  </si>
  <si>
    <t xml:space="preserve">                Ezer Ft-ban </t>
  </si>
  <si>
    <t xml:space="preserve">B16. Egyéb működési célú támogatások bevételei államháztartáson belülről </t>
  </si>
  <si>
    <t xml:space="preserve">B15. Működ. célú visszatérítendő támogatások, kölcsönök igénybevétele államháztartáson belülről  </t>
  </si>
  <si>
    <t xml:space="preserve">MEGNEVEZÉS </t>
  </si>
  <si>
    <t xml:space="preserve">B62. Működ. célú visszatérítendő támogatások, kölcsönök visszatérülése államháztartáson kívülről  </t>
  </si>
  <si>
    <t>g) szabálysértési pénz- és helyszínbírság önormányzatot megillető rész</t>
  </si>
  <si>
    <t>f) építésügyi bírság</t>
  </si>
  <si>
    <t>e) természetvédelmi bírság</t>
  </si>
  <si>
    <t>d) környezetvédelmi bírság</t>
  </si>
  <si>
    <t>c) ebrendészeti hozzájárulás</t>
  </si>
  <si>
    <t xml:space="preserve">b) igazgatási szolgáltatási díj </t>
  </si>
  <si>
    <t>a) eljárási illeték</t>
  </si>
  <si>
    <t>c) a korábbi évek megszűnt adónemei áthúzódó befiz.-ből befolyt bevétel</t>
  </si>
  <si>
    <t>b) talajterhelési díj</t>
  </si>
  <si>
    <t>a) tartózkodás után fizetett idegenforgalmi adó</t>
  </si>
  <si>
    <t xml:space="preserve">B355. Egyéb áruhasználati és szolgáltatási adók </t>
  </si>
  <si>
    <t xml:space="preserve">B354. Gépjárműadó </t>
  </si>
  <si>
    <t>a) iparűzési adó</t>
  </si>
  <si>
    <t>B351. Értékesítési és forgalmi adók</t>
  </si>
  <si>
    <t>d) telekadó</t>
  </si>
  <si>
    <t xml:space="preserve">c) magánszemélyek kommunális adója </t>
  </si>
  <si>
    <t xml:space="preserve">b) épület után fizetett idegenforgalmi adó </t>
  </si>
  <si>
    <t xml:space="preserve">a) építményadó </t>
  </si>
  <si>
    <t>a) termőföld bérbeadásából származó szem .jöv .adó</t>
  </si>
  <si>
    <t>Ebből:</t>
  </si>
  <si>
    <t xml:space="preserve">B311. Magánszemélyek jövedelemadói </t>
  </si>
  <si>
    <t xml:space="preserve">B3 KÖZHATALMI BEVÉTELEK RÉSZLETEZÉSE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</si>
  <si>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</si>
  <si>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 </t>
  </si>
  <si>
    <t xml:space="preserve">B23. Felhalmozási célú visszatérítendő támogatások, kölcsönök visszatérülése államáhztartáson belülről  </t>
  </si>
  <si>
    <t xml:space="preserve">B21. Felhalmozási célú önkormányzati támogatások </t>
  </si>
  <si>
    <t>K508. Működési célú visszatérítendő támogatások, kölcsönök nyújtása államháztartáson kívülre</t>
  </si>
  <si>
    <t xml:space="preserve">K506. Egyéb működési célú támogatások államháztartáson belülre </t>
  </si>
  <si>
    <t xml:space="preserve">K505. Működési célú visszatérítendő támogatások, kölcsönök törlesztése államháztartáson belülre </t>
  </si>
  <si>
    <t xml:space="preserve">K504. Működési célú visszatérítendő támogatások, kölcsönök nyújtása államháztartáson belülre </t>
  </si>
  <si>
    <t xml:space="preserve">K4. Elátottak pénzbeli juttatásai </t>
  </si>
  <si>
    <t>Egyéb felhalmozási kiadások összesen</t>
  </si>
  <si>
    <t xml:space="preserve">feladatonkénti részletezése </t>
  </si>
  <si>
    <t xml:space="preserve">K8. Egyéb felhalmozási kiadások  </t>
  </si>
  <si>
    <t>15. melléklet</t>
  </si>
  <si>
    <t xml:space="preserve">K7. Felújítások </t>
  </si>
  <si>
    <t>Céltartalék  összesen</t>
  </si>
  <si>
    <t xml:space="preserve">            Ezer Ft-ban</t>
  </si>
  <si>
    <t xml:space="preserve">Céltartalék célonkénti részletezése </t>
  </si>
  <si>
    <t>16. melléklet</t>
  </si>
  <si>
    <t xml:space="preserve">8 órás </t>
  </si>
  <si>
    <t xml:space="preserve">6 órás </t>
  </si>
  <si>
    <t xml:space="preserve">4 órás </t>
  </si>
  <si>
    <t xml:space="preserve">Engedélyezett létszám (fő) </t>
  </si>
  <si>
    <t>Költségvetési szerv</t>
  </si>
  <si>
    <t xml:space="preserve">17. melléklet </t>
  </si>
  <si>
    <t xml:space="preserve"> költségvetési szerv vezetője </t>
  </si>
  <si>
    <t>..........................................</t>
  </si>
  <si>
    <t>meghatározott határnapon túli tartozásállomány.</t>
  </si>
  <si>
    <t xml:space="preserve">(x) Az önkormányzat költségvetési rendeletének ....... §-ában </t>
  </si>
  <si>
    <t>Egyéb tartozásállomány</t>
  </si>
  <si>
    <t xml:space="preserve">Szállítókkal szembeni tartozásállomány </t>
  </si>
  <si>
    <t>és intézményeik felé</t>
  </si>
  <si>
    <t xml:space="preserve">Tartozásállomány önkormányzatok </t>
  </si>
  <si>
    <t>TB alapokkal szembeni tartozás</t>
  </si>
  <si>
    <t xml:space="preserve">szembeni tartozás </t>
  </si>
  <si>
    <t xml:space="preserve">Elkülönített állami pénzalapokkal </t>
  </si>
  <si>
    <t>szemben fennálló tartozás</t>
  </si>
  <si>
    <t>Központi költségvetési szervekkel</t>
  </si>
  <si>
    <t xml:space="preserve">Állammal szembeni tartozások </t>
  </si>
  <si>
    <t>(x)</t>
  </si>
  <si>
    <t xml:space="preserve">tartozásállomány </t>
  </si>
  <si>
    <t>Tartozásállomány megnevezése</t>
  </si>
  <si>
    <t>........ napon túli</t>
  </si>
  <si>
    <t>sorsz.</t>
  </si>
  <si>
    <t xml:space="preserve">(%= az önkormányzat költségvetési rendeletében meghatározott mérték)  </t>
  </si>
  <si>
    <t>Eredeti éves költségvetés kiadási előirányzat ....... %-a:    ......................... eFt</t>
  </si>
  <si>
    <t>Eredeti éves költségvetés kiadási előirányzata:                 ......................... eFt</t>
  </si>
  <si>
    <t>Költségvetési szerv neve: ........................................</t>
  </si>
  <si>
    <t xml:space="preserve">  költségvetési szerv által elismert tartozásállományról </t>
  </si>
  <si>
    <t>Adatszolgáltatás az önkormányzat felügyelete alá tartozó</t>
  </si>
  <si>
    <t>19. melléklet</t>
  </si>
  <si>
    <t>G. KIADÁSOK MINDÖSSZESEN (C+F)</t>
  </si>
  <si>
    <t>G. BEVÉTELEK MINDÖSSZESEN (C+F)</t>
  </si>
  <si>
    <t xml:space="preserve">F. FELHALMOZÁSI KIAD.MINDÖSSZESEN (D+E) </t>
  </si>
  <si>
    <t>F. FELHALMOZÁSI BEVÉT. MINDÖSSZESEN (D+E)</t>
  </si>
  <si>
    <t>E. FINANSZÍROZÁSI KIADÁSOK (K9.) ÖSSZESEN</t>
  </si>
  <si>
    <t xml:space="preserve">E. FINANSZÍROZÁSI BEVÉTELEK (B8.) ÖSSZESEN </t>
  </si>
  <si>
    <t xml:space="preserve">K917. Pénzügyi lízing kiadásai </t>
  </si>
  <si>
    <t xml:space="preserve">K916. Péneszközök betétként elhelyezése </t>
  </si>
  <si>
    <t xml:space="preserve">B816. Központi, irányító szervi támogatás </t>
  </si>
  <si>
    <t xml:space="preserve">K915. Központi, irányítószervi támogatás folyósítása </t>
  </si>
  <si>
    <t>B815. Államháztartáson belüli megelőlegezések törlesztése</t>
  </si>
  <si>
    <t>K914. Államházt.-on belüli megelőlegez. visszafizetése</t>
  </si>
  <si>
    <t xml:space="preserve">B814. Államháztartáson belüli megelőlegezések </t>
  </si>
  <si>
    <t xml:space="preserve">K913. Államháztartáson belüli megelőlegezések folyóstása </t>
  </si>
  <si>
    <t xml:space="preserve">B813. Maradvány igénybevétele </t>
  </si>
  <si>
    <t>K912. Belföldi értékpapírok kiadásai</t>
  </si>
  <si>
    <t>B812. Belföldi értékpapírok bevételei</t>
  </si>
  <si>
    <t xml:space="preserve">K911. Hitel-, kölcsöntörlesztés államházt.-on kívülre </t>
  </si>
  <si>
    <t>B811. Hitel-, és kölcsönfelvétel államházt.-on belülről</t>
  </si>
  <si>
    <t>D. FELHALMOZÁSI KÖLTSÉGVETÉSI KIADÁSOK ÖSSZESEN (K6. …+K8.)</t>
  </si>
  <si>
    <t>D. FELHALMOZÁSI KÖLTSÉGVETÉSI BEVÉTELEK ÖSSZESEN (B2.+B5.+B7.)</t>
  </si>
  <si>
    <t xml:space="preserve">K8. Egyéb felhalmozási célú kiadások </t>
  </si>
  <si>
    <t xml:space="preserve">B.7. Felhalmozási célú átvett pénzeszközök </t>
  </si>
  <si>
    <t xml:space="preserve">B5. Felhalmozási bevételek </t>
  </si>
  <si>
    <t xml:space="preserve">K6. Beruházások </t>
  </si>
  <si>
    <t xml:space="preserve">B2. Felhalmozási célú támogatások államh.-on belülről </t>
  </si>
  <si>
    <t xml:space="preserve">C. MŰKÖDÉSI KIADÁSOK MINDÖSSZESEN (A+B) </t>
  </si>
  <si>
    <t>C. MŰKÖDÉSI BEVÉTELEK MINDÖSSZESEN (A+B)</t>
  </si>
  <si>
    <t>B. FINASZÍROZÁSI KIADÁSOK (K9.) ÖSSZESEN</t>
  </si>
  <si>
    <t xml:space="preserve">B. FINANSZÍROZÁSI BEVÉTELEK (B8.) ÖSSZESEN </t>
  </si>
  <si>
    <t xml:space="preserve">K913. Államházt.-on belüli megelőlegezések folyóstása </t>
  </si>
  <si>
    <t xml:space="preserve">K911. Hitel-, kölcsöntörlesztés államháztartáson kívülre </t>
  </si>
  <si>
    <t>A. MŰKÖDÉSI KÖLTSÉGVETÉSI KIADÁSOK ÖSSZESEN (K1. …+K5.)</t>
  </si>
  <si>
    <t>A. MŰKÖDÉSI KÖLTSÉGVETÉSI BEVÉTELEK ÖSSZESEN (B1+B3+B4+B6)</t>
  </si>
  <si>
    <t xml:space="preserve">                 Céltartalék </t>
  </si>
  <si>
    <t xml:space="preserve">      Ebből: Általános tartalék </t>
  </si>
  <si>
    <t xml:space="preserve">K5. Egyéb működési célú kiadások </t>
  </si>
  <si>
    <t>K4. Ellátottak pénzbeli juttatásai</t>
  </si>
  <si>
    <t>B6. Működési célú átvett pénzeszközök</t>
  </si>
  <si>
    <t xml:space="preserve">K3. Dologi kiadások </t>
  </si>
  <si>
    <t xml:space="preserve">B4. Működési bevételek </t>
  </si>
  <si>
    <t xml:space="preserve">K2. Munkaadót terhelő járulékok és szoc. hozzáj. adó </t>
  </si>
  <si>
    <t xml:space="preserve">B3. Közhatalmi bevételek </t>
  </si>
  <si>
    <t>K1. Személyi juttatás</t>
  </si>
  <si>
    <t xml:space="preserve">B1. Működési célú támogatások államházt.-on belülről </t>
  </si>
  <si>
    <t>Előirányzat összege</t>
  </si>
  <si>
    <t xml:space="preserve">        Ezer Ft-ban</t>
  </si>
  <si>
    <t xml:space="preserve">A költségvetési évet követő három év tervezett előirányzatainak keretszámai főbb csoportokban </t>
  </si>
  <si>
    <t>20. melléklet</t>
  </si>
  <si>
    <t xml:space="preserve">Polgármesteri Hivatal </t>
  </si>
  <si>
    <t>Kistérségnél dolgozók bér és járulék költségének megtérítése</t>
  </si>
  <si>
    <t>TB alaptól kapott műk. Célú támogatás -OEP védőnői finanszírozás</t>
  </si>
  <si>
    <t>TB alaptól kapott műk. Célú támogatás -OEP iskola egészségügyi finanszírozás</t>
  </si>
  <si>
    <t>Egyéb működési célú támogatás KIK Gödöllői tanker. Zeneiskolai díjak</t>
  </si>
  <si>
    <t xml:space="preserve">B34. Vagyoni típusú adók </t>
  </si>
  <si>
    <t>Egyházi jogi személytől műk. Célú visszatérítendő támogatás -Református egyház</t>
  </si>
  <si>
    <t>Háztartásoktól műk. Célú kölcsön visszatérülése</t>
  </si>
  <si>
    <t>Egyéb vállalkozástól műk. Célú kölcsön visszatérülése -Kőrösik Bt.</t>
  </si>
  <si>
    <t>Egyéb vállalkozástól műk. Célú kölcsön visszatérülése -Novusz Immo</t>
  </si>
  <si>
    <t>Non-profit gazdasági társaságtól műk. Célú átvett pénzeszközök -régi csatorna közmű hátralék</t>
  </si>
  <si>
    <t>Kormányoktól műk. Célú átvett pénzeszköz -Szervezet fejlesztés a Polg. Hivatalban ÁROP projekt; Informatikai fejlesztés ASP központ-</t>
  </si>
  <si>
    <t>Háztartásoktól műk. Célú átvett pénzeszköz -medvepersely pénz</t>
  </si>
  <si>
    <t xml:space="preserve">B36. Egyéb közhatalmi bevételek </t>
  </si>
  <si>
    <t>Háztartásoktól felhalmozási célú átvett pénzeszköz -útközmű</t>
  </si>
  <si>
    <t>Egyéb vállalkozásoktól felh. Célú átvett pénzeszköz -MOL Alagi gázátadó</t>
  </si>
  <si>
    <t>Háztartásoktól felhalmozási célú átvett pénzeszköz -összközmű</t>
  </si>
  <si>
    <t>Polgármesteri Hivatal</t>
  </si>
  <si>
    <t>Házi segítségnyújtás</t>
  </si>
  <si>
    <t>Táborok támogatása</t>
  </si>
  <si>
    <t>Köztemetés támogatása</t>
  </si>
  <si>
    <t>Önkormányzat által saját hatáskörben (nem szociális és gyermekvédelmi ellátások alapján) adott természetbeni ellátás -70 év felettiek karácsonyi csomagja-</t>
  </si>
  <si>
    <t>Pénzbeli gyermekvédelmi támogatás -évente 2X Erzsébet utalvány-</t>
  </si>
  <si>
    <t>Egyéb civil szervezetek műk. Célú támogatása -Rendőrségi Alapítvány</t>
  </si>
  <si>
    <t>Egyéb civil szervezetek műk. Célú támogatása -Polgárőrség</t>
  </si>
  <si>
    <t>Egyéb nem pénzügyi vállalkozásnak műk. Célú támogatás -Kovilo, Ralamed</t>
  </si>
  <si>
    <t>Egyéb civil szervezetek műk. Célú támogatása -Sportkör</t>
  </si>
  <si>
    <t>Egyéb civil szervezetek műk. Célú támogatása -Drago Skorpio</t>
  </si>
  <si>
    <t>Egyéb civil szervezetek műk. Célú támogatása -egyes szakosztályok támogatása</t>
  </si>
  <si>
    <t>Egyéb civil szervezetek műk. Célú támogatása -Oktatási bizottság</t>
  </si>
  <si>
    <t>Egyéb civil szervezetek műk. Célú támogatása -Bursa, alapítványok</t>
  </si>
  <si>
    <t>Háztartásoknak egyéb műk. Célú támogatás nyújtása - egyéb</t>
  </si>
  <si>
    <t>Egyéb külföldinek nyújtott műk. Célú támogatás</t>
  </si>
  <si>
    <t>Veresegyházi Polgármesteri Hivatal</t>
  </si>
  <si>
    <t>Meseliget Városi Önkormányzati Bölcsöde</t>
  </si>
  <si>
    <t>Kéz a Kézben Óvoda</t>
  </si>
  <si>
    <t>Gazdasági Műszaki Ellátó Szervezet</t>
  </si>
  <si>
    <t>Kölcsey Ferenc Városi Könyvtár</t>
  </si>
  <si>
    <t>Idősek Otthona</t>
  </si>
  <si>
    <t xml:space="preserve">Munkajogi létszám (fő) </t>
  </si>
  <si>
    <t>Álláshelyek számából</t>
  </si>
  <si>
    <t>főállású dolgozó</t>
  </si>
  <si>
    <t>Kitöltési segédlet:</t>
  </si>
  <si>
    <t>Álláshelyek száma: Tartalmazza a ténylegesen betöltött és üres álláshelyek számát.</t>
  </si>
  <si>
    <t>A részmunkaidőben foglalkoztatott dolgozói létszámot át kell számítani napi 8 órás foglalkoztatásra.</t>
  </si>
  <si>
    <t xml:space="preserve">(Ide kell beszámítani a GYED-ben, GYES-ben részesülő dolgozói létszámot  is, de a helyettesítésükre </t>
  </si>
  <si>
    <t>felvett dolgozói létszámot nem)</t>
  </si>
  <si>
    <t>Munkajogi létszám: Munkaviszonyban álló dolgozók létszámadata</t>
  </si>
  <si>
    <t>Induló létszám: Ténylegesen betöltött álláshelyek száma.</t>
  </si>
  <si>
    <t xml:space="preserve">  18. melléklet </t>
  </si>
  <si>
    <t xml:space="preserve">Induló létszám (fő) </t>
  </si>
  <si>
    <t xml:space="preserve"> - Az 1991. évi LXXXII. Tv. 8. § alapján a környezetvédelmi berendezésekre adható kedvezmény.</t>
  </si>
  <si>
    <t xml:space="preserve"> - Az 1991. évi LXXXII. Tv. 5. § (a) pontja alapján költségvetési szerv mentessége </t>
  </si>
  <si>
    <t xml:space="preserve">                                            (f) pontja alapján a mozgáskorlátozottakat megillető mentesség.</t>
  </si>
  <si>
    <t xml:space="preserve">                                     2. § (4) bekezdése alapján mentes bejelentési kötelezettség</t>
  </si>
  <si>
    <t xml:space="preserve">                                     4. § (4) bekezdése alapján mentes lopás miatt rendőrségi igazolás</t>
  </si>
  <si>
    <t>Az 1990. évi C. Tv 3. § (2) bekezdése alapján Társ. Szerv. Alapítvány, ha társasági adófizetése nincs</t>
  </si>
  <si>
    <t>Kedvezményesen bérbeadott helyiség</t>
  </si>
  <si>
    <t>Térítésmentesen bérbeadott, használatba adott helyiségek, közterületek</t>
  </si>
  <si>
    <t>Ápolási díj (méltányossági)</t>
  </si>
  <si>
    <t>Helyi megállapítású közgyógy ellátás</t>
  </si>
  <si>
    <t>Pénzbeli gyermekvédelmi támogatás</t>
  </si>
  <si>
    <t>Foglalkoztatással, munkanélküliséggel kapcsolatos ellátások</t>
  </si>
  <si>
    <t>Rendszeres pénzbeli szociális segély</t>
  </si>
  <si>
    <t>Normatív lakásfenntartási támogatás</t>
  </si>
  <si>
    <t>Adósságcsökkentő támogatás</t>
  </si>
  <si>
    <t>Társulásnak és költségvetési szervének nyújtott működési támogatás - Kistérségi társulás támogatása</t>
  </si>
  <si>
    <t>Egyéb civil szervezetek műk. Célú támogatása -Környezetvédelmi Alap támogatása</t>
  </si>
  <si>
    <t>Egyéb civil szervezetek műk. Célú támogatása -Esélyegyenlőségi Alap támogatása</t>
  </si>
  <si>
    <t>Helyi önkormányzatok és költségvetési szervének nyújtott működési támogatás -Szolidaritási Alap</t>
  </si>
  <si>
    <t>Szervezet fejlesztés a Veresegyházi Polgármesteri Hivatalban</t>
  </si>
  <si>
    <t>ÁROP-3.A.2-2013</t>
  </si>
  <si>
    <t xml:space="preserve">EU-s forrás </t>
  </si>
  <si>
    <t xml:space="preserve">10.1. melléklet </t>
  </si>
  <si>
    <t xml:space="preserve">10.5. melléklet </t>
  </si>
  <si>
    <t xml:space="preserve">      10.7. melléklet</t>
  </si>
  <si>
    <t xml:space="preserve">11.1. melléklet </t>
  </si>
  <si>
    <t xml:space="preserve">      11.2. melléklet</t>
  </si>
  <si>
    <t xml:space="preserve">      11.3. melléklet</t>
  </si>
  <si>
    <t xml:space="preserve">      11.4. melléklet</t>
  </si>
  <si>
    <t xml:space="preserve">      11.6. melléklet</t>
  </si>
  <si>
    <t>12.1. melléklet</t>
  </si>
  <si>
    <t>12.2. melléklet</t>
  </si>
  <si>
    <t>12.3. melléklet</t>
  </si>
  <si>
    <t>12.4. melléklet</t>
  </si>
  <si>
    <t>12.5. melléklet</t>
  </si>
  <si>
    <t>12.6. melléklet</t>
  </si>
  <si>
    <t>12.7. melléklet</t>
  </si>
  <si>
    <t>Támogatott megnevezése</t>
  </si>
  <si>
    <t>GAMESZ</t>
  </si>
  <si>
    <t>Bölcsőde</t>
  </si>
  <si>
    <t>Óvoda</t>
  </si>
  <si>
    <t>Könyvtár</t>
  </si>
  <si>
    <t>Művelődési Ház</t>
  </si>
  <si>
    <t xml:space="preserve">K915. Központi, irányítószervi működési támogatás folyósítása </t>
  </si>
  <si>
    <t>12.8. melléklet</t>
  </si>
  <si>
    <t xml:space="preserve">K915. Központi, irányítószervi felhalmozási támogatás folyósítása </t>
  </si>
  <si>
    <t>Önkormányzat kormányzati funkció összesen</t>
  </si>
  <si>
    <t>Bruttó</t>
  </si>
  <si>
    <t>013 350 Az önkormányzati vagyonnal való gazdálkodással kapcsolatos feladatok (nem szociális bérlakás)</t>
  </si>
  <si>
    <t>052 080-1 Szennyvízcsatorna építése, fenntartása, üzemeltetésének kiadásai</t>
  </si>
  <si>
    <t>066 020 Város-, községgazdálkodási egyéb szolgáltatások</t>
  </si>
  <si>
    <t>092 120 Köznevelési intézmény 5-8. évfolyamán tanulók nevelésével, oktatásával összefüggő működtetési feladatok</t>
  </si>
  <si>
    <t>082 091 Közművelődés – közösségi és társadalmi részvétel fejlesztése</t>
  </si>
  <si>
    <t>091 140 Óvodai nevelés, ellátás működtetési feladatai</t>
  </si>
  <si>
    <t>Veresegyház Város Önkormányzat Tervezett felújítások összesen:</t>
  </si>
  <si>
    <t>felvétel ideje</t>
  </si>
  <si>
    <t>kölcsönadó</t>
  </si>
  <si>
    <t>felvett (nyitó)            hitel-kölcsön   összege</t>
  </si>
  <si>
    <t>kamat</t>
  </si>
  <si>
    <t>visszafizetés  várható ideje</t>
  </si>
  <si>
    <t>(részlet)               visszafizetés                        napja</t>
  </si>
  <si>
    <t>hitel-kölcsön állománya   Ft</t>
  </si>
  <si>
    <t>Társulásnak és költségvetési szervének felhalmozási célú támogatás- DMRV fejlesztési hányad</t>
  </si>
  <si>
    <t>GAMESZ (Téli közfoglalkoztatás)</t>
  </si>
  <si>
    <t>Váci Mihály Művelődési Ház</t>
  </si>
  <si>
    <t>20.3. melléklet</t>
  </si>
  <si>
    <t>GAZDASÁGI MŰSZAKI ELLÁTÓ SZERVEZET</t>
  </si>
  <si>
    <t>20.4. melléklet</t>
  </si>
  <si>
    <t>20.5. melléklet</t>
  </si>
  <si>
    <t>20.6. melléklet</t>
  </si>
  <si>
    <t>20.7. melléklet</t>
  </si>
  <si>
    <t>20.8. melléklet</t>
  </si>
  <si>
    <t>IDŐSEK OTTHONA</t>
  </si>
  <si>
    <t>20.1. melléklet</t>
  </si>
  <si>
    <t>KÉZ A KÉZBEN ÓVODA</t>
  </si>
  <si>
    <t>MESELIGET BÖLCSŐDE</t>
  </si>
  <si>
    <t>KÖLCSEY FERENC KÖNYVTÁR</t>
  </si>
  <si>
    <t>VÁCI MIHÁLY MŰVELŐDÉSI HÁZ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</si>
  <si>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</si>
  <si>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</si>
  <si>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</si>
  <si>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</si>
  <si>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</si>
  <si>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</si>
  <si>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</si>
  <si>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</si>
  <si>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</si>
  <si>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</si>
  <si>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</si>
  <si>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</si>
  <si>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</si>
  <si>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</si>
  <si>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</si>
  <si>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</si>
  <si>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</si>
  <si>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</si>
  <si>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</si>
  <si>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</si>
  <si>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</si>
  <si>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</si>
  <si>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</si>
  <si>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</si>
  <si>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Óvodai, iskolai, bölcsődei étkezés térítési díjának támogatása</t>
  </si>
  <si>
    <t>Kölcsön felvételéből eredő aktuális tőketartozás (TRAVILL)</t>
  </si>
  <si>
    <t>Általános tartalék</t>
  </si>
  <si>
    <t>rész-foglalkoztatott</t>
  </si>
  <si>
    <t>Közfoglalkoztatottak engedelyezett létszáma 2015. évre vonatkozóan</t>
  </si>
  <si>
    <t>KORMÁNYZATI FUNKCIÓ</t>
  </si>
  <si>
    <t>084 040 Egyházközösségi tevékenység támogatása</t>
  </si>
  <si>
    <t>EGYÉB</t>
  </si>
  <si>
    <t>VERESEGYHÁZ VÁROS ÖNKORMÁNYZAT TERVEZETT FELÚJÍTÁSI FELADAT 2015. ÉV</t>
  </si>
  <si>
    <t>DINKA JÓZSEF: FŐ ÚT 106 NAPPALI MELEGEDŐ ÁTALAKÍTÁSI MUNKÁI</t>
  </si>
  <si>
    <t>DMRV ZRT: VERESEGYHÁZ 1.SZ.ÁTEMELŐ FLYGT3300 452 SZIVATTYÚ FELÚJÍTÁSA</t>
  </si>
  <si>
    <t>DMRV ZRT: VERESEGYHÁZ 2-ES ÁTEMELŐ FLYGT CP 3127 SZIVATTYÚ FELÚJÍTÁS</t>
  </si>
  <si>
    <t>NAGY LÁSZLÓ: VHÁZ 40/1HRSZ RK.PLEBÁNIA ÉPÜLET ÁTALAKÍTÁS KIVITELI TERV</t>
  </si>
  <si>
    <t>FŐ TÉRI  SZÖKŐKÚT FELÚJÍTÁS</t>
  </si>
  <si>
    <t xml:space="preserve">NAGY LÁSZLÓ: VÁCI MIHÁLY MŰVELŐDÉSI HÁZ FELÚJÍTÁSI ENGDÉLYEZÉSI TERVEK ELKÉSZÍTÉSE </t>
  </si>
  <si>
    <t>MŰEMLÉK TEMPLOM</t>
  </si>
  <si>
    <t xml:space="preserve">BEDŐ CSONGOR LÁSZLÓ: RÓMAI KATOLIKUS TEMPLOM FASZOBRÁSZATI RESTAURÁLÁS </t>
  </si>
  <si>
    <t xml:space="preserve">FEJES ATTILA: RÓMAI KATOLIKUS TEMPLOM ÓLOMÜVEGEK RESTAURÁLÁSA </t>
  </si>
  <si>
    <t xml:space="preserve">EPU FA-KŐ RESTAURÁTOR- MŰVÉSZ KFT: RÓMAI KATOLIKUS TEMPLOM KŐRESTAURÁTORI MUNKÁK KIVITELEZÉSE </t>
  </si>
  <si>
    <t xml:space="preserve">FODOR EDINA: RÓMAI KATOLIKUS TEMPLOM BELSŐ FALFELÜLET, FŐOLTÁR RESTAURÁLÁS </t>
  </si>
  <si>
    <t>MÉZESVÖLGYI ISKOLA FELÚJÍTÁS - TERMEK FESTÉSE, LINÓLEUM CSERE, KŐBURKOLAT CSERE</t>
  </si>
  <si>
    <t>LÉVAI ÓVODA TERVEZÉS</t>
  </si>
  <si>
    <t>TÉMA</t>
  </si>
  <si>
    <t>VERESEGYHÁZ VÁROS ÖNKORMÁNYZAT TERVEZETT BERUHÁZÁSI FELADAT 2015. ÉV</t>
  </si>
  <si>
    <t>011 130 Önkormányzatok és önkormányzati hivatalok jogalkotó és általános igazgatási tevékenységének kiadásai</t>
  </si>
  <si>
    <t>FALIKÉP VÁSÁRLÁS</t>
  </si>
  <si>
    <t>013 320 Köztemető-fenntartás és működtetés</t>
  </si>
  <si>
    <t>KATOLIKUS TEMETŐ KERÍTÉS ÉPÍTÉS</t>
  </si>
  <si>
    <t>CBA BALDAUF INVEST KFT: 8833/4HRSZ 235NM INGATLAN VÉTELÁR</t>
  </si>
  <si>
    <t xml:space="preserve">JAKUBECZ FERENC: VERESEGYHÁZ 065/150HRSZ 297NM GYÜMÖLCSÖS VÉTELÁR            </t>
  </si>
  <si>
    <t xml:space="preserve">JAKUBECZ ZOLTÁN: VERESEGYHÁZ 065/151HRSZ 297NM GYÜMÖLCSÖS VÉTELÁR            </t>
  </si>
  <si>
    <t xml:space="preserve">MARCSÓ KÁROLYNÉ: VERESEGYHÁZ 065/152HRSZ 590NM GYÜMÖLCSÖS VÉTELÁR            </t>
  </si>
  <si>
    <t xml:space="preserve">HEGEDŰS LÁSZLÓNÉ: VERESEGYHÁZ 065/153HRSZ 878NM GYÜMÖLCSÖS VÉTELÁR            </t>
  </si>
  <si>
    <t xml:space="preserve">MARCSÓ MIHÁLYNÉ: VERESEGYHÁZ 065/154HRSZ 591NM GYÜMÖLCSÖS VÉTELÁR            </t>
  </si>
  <si>
    <t>BECSEY BALÁZS LÁSZLÓ: 065/14HRSZ SZÁNTÓ VÉTELÁR</t>
  </si>
  <si>
    <t>MEGTÉRT ISTVÁNNÉ: 059/28HRSZ 231NM SZÁNTÓ VÉTELÁR</t>
  </si>
  <si>
    <t>ISKOLA MELLETTI TERÜLET VÁSÁRLÁS</t>
  </si>
  <si>
    <t>EGYÉB FÖLD VÁSÁRLÁS</t>
  </si>
  <si>
    <t>EGYÉB TELEK VÁSÁRLÁS</t>
  </si>
  <si>
    <t>EGYÉB INGATLAN VÁSÁRLÁS</t>
  </si>
  <si>
    <t>TP KOMPLEX BERUHÁZÓ ZRT:  BÖLCSŐDE U.5., 5785/150HRSZ-Ú 13 LAKÁSOS  LAKÓÉPÜLET VÉTELÁR  (FORTUNA HÁZ)</t>
  </si>
  <si>
    <t>TP KOMPLEX BERUHÁZÓ ZRT:BÖLCSŐDE U. 3., 5785/151HRSZ-Ú 13 LAKÁSOS  LAKÓÉPÜLET VÉTELÁR  (APOLLO HÁZ)</t>
  </si>
  <si>
    <t>016 080 Kiemelt állami és önk-i rendezvények kiadásai</t>
  </si>
  <si>
    <t>RENDEZVÉNYEK</t>
  </si>
  <si>
    <t>OKTÓBER 6-AI SZOBOR BESZERZÉSE</t>
  </si>
  <si>
    <t>043 610 Egyéb energiaipar igazgatása és támogatása</t>
  </si>
  <si>
    <t>PORCIÓ KFT: KERTÉSZETI NAGYFOGYASZTÓ BEKAPCSOLÁSA A VERESEGYHÁZI TERMÁLFŰTÉSI RENDSZERBE</t>
  </si>
  <si>
    <t>CSÍKY ÉS TÁRSA KKT: KERTÉSZETI NAYFOGYASZTÓ BEKAPCSOLÁSA A VERESEGYHÁZI TERMÁLFŰTÉSI RENDSZERBE MŰSZAKI ELLENŐRZÉS</t>
  </si>
  <si>
    <t>044 110 Ásványianyag- (kivéve: szilárd ásványi fűtőanyag) bányászat igazgatása és támogatása</t>
  </si>
  <si>
    <t>VIKUV ZRT.: IV.TERMÁLKÚT FÚRÁSÁNAK KIVITELEZÉSE</t>
  </si>
  <si>
    <t>CSÍKY ÉS TÁRSA KKT: IV. SZ. TERMÁLKÚT FÚRÁS MŰSZAKI ELLENŐRZÉSE</t>
  </si>
  <si>
    <t>VIKUV ZRT: IV.TERMÁLKÚT KUTATÓFÚRÁS LEMÉLYÍTÉS</t>
  </si>
  <si>
    <t>PROTOTYP-7690 KFT: ZÚZOTTKŐ VÁSÁRLÁS, SZÁLLÍTÁS</t>
  </si>
  <si>
    <t>BLOGÉK KFT: KISGYÖNGYÖS U. ÚTALAP</t>
  </si>
  <si>
    <t>BLOGÉK KFT: DÉNÁR U. ÚTALAP</t>
  </si>
  <si>
    <t>BLOGÉK KFT: GARAS U. ÚTALAP</t>
  </si>
  <si>
    <t>SWIETELSKY MAGYARORSZÁG KFT: ARANYFORINT - TEMPLOM UTCA ASZFALTOZÁSA</t>
  </si>
  <si>
    <t>SWIETELSKY MAGYARORSZÁG KFT: JÁCINT - REPKÉNY UTCA ASZFALTOZÁSA</t>
  </si>
  <si>
    <t>SWIETELSKY MAGYARORSZÁG KFT:  KINIZSI - TULIPÁN - SZEGFŰ UTCA ASZFALTOZÁSA</t>
  </si>
  <si>
    <t>SWIETELSKY MAGYARORSZÁG KFT: PIPACS - FODORMENTA UTCA ASZFALTOZÁSA</t>
  </si>
  <si>
    <t>SWIETELSKY MAGYARORSZÁG KFT:  IBOLYA-ORGONA UTCA ASZFALTOZÁSA</t>
  </si>
  <si>
    <t>SWIETELSKY MAGYARORSZÁG KFT:  FENYVES-IVACS ÖSSZZEKÖTŐ ÚT,ELŐD,BÁNKI U. BURKOLAT FELÚJÍTÁS</t>
  </si>
  <si>
    <t>MONOVIA BT: BUDAPESTI ÚT SZERVIZ ÚT JOBB OLDAL, SZENT ERZSÉBET GYÓGYSZERTÁR, NEMZETI DOHÁNYBOLT ELŐTTI ÚT ÉS PARKOLÓ ÉPÍTÉSI MUNKÁI III.</t>
  </si>
  <si>
    <t>B ÉS M ÉPÍTŐ BT: RIGÓ U. ÚTALAP ÉPÍTÉSE</t>
  </si>
  <si>
    <t>MONOVIA BT: ELŐD UTCA TÉRKŐBURKOLAT ÉPÍTÉS</t>
  </si>
  <si>
    <t>MONOVIA BT: TAS UTCA TÉRKŐBURKOLAT ÉPÍTÉS</t>
  </si>
  <si>
    <t>SWIETELSKY MAGYARORSZÁG KFT: ÖREGHEGYSOR U. BURKOLAT FELÚJÍTÁS (BERKENYE-SZADAI HATÁR U. KÖZÖTT)</t>
  </si>
  <si>
    <t>SWIETELSKY MAGYARORSZÁG KFT: BERKENYE,KARACS,RÉT,BARÁZDA,FILLÉR,SZEGFŰ UTCÁK ASZFALTOZÁSA</t>
  </si>
  <si>
    <t>SWIETELSKY MAGYARORSZÁG KFT:  ÖREGHEGY SOR U. BURKOLAT FELÚJÍTÁS</t>
  </si>
  <si>
    <t xml:space="preserve">SKS TERV KFT: 28 UTCA TERVEZÉSE </t>
  </si>
  <si>
    <t>UTAK BP-I-CSOMÁDI KÖRFORGALOM</t>
  </si>
  <si>
    <t>ELMŰ HÁLÓZATI KFT: 0,4KV-OS SZABADVEZETÉK BONTÁS KÖRFORG.ÉP.</t>
  </si>
  <si>
    <t>TIGÁZ DSO KFT: KÖZMŰKIVÁLTÁS,KÁRTALANÍTÁSI DÍJ BP-I-CSOMÁDI KÖRFORGALOM</t>
  </si>
  <si>
    <t xml:space="preserve">B ÉS M ÉPÍTŐ BT: JÁRDA ÉPÍTÉS ERKEL U.-BAN CBA PARKOLÓ-IMAHÁZ KÖZÖTT         </t>
  </si>
  <si>
    <t>ÉSZAK TÉRKŐ KFT: ZÚZOTTKŐ VÁSÁRLÁS, SZÁLLÍTÁS</t>
  </si>
  <si>
    <t>EGYÉB ÚTÉPÍTÉS</t>
  </si>
  <si>
    <t>MONOVIA BT: VERESEGYHÁZ,LOVÁSZ KÖZ JÁRDAÉPÍTÉS,TÉRKÖVEZÉS</t>
  </si>
  <si>
    <t>MONOVIA BT: TPATAK KÖZ ÚTALAP ÉPÍTÉS</t>
  </si>
  <si>
    <t>B ÉS M ÉPÍTŐ BT: MESTER U. MEGHOSSZABBÍTÁSA</t>
  </si>
  <si>
    <t>FŐ ÚT GYALOGÁTKELŐHELY ÉPÍTÉSE</t>
  </si>
  <si>
    <t>DMRV ZRT: HIENSE 2,5KW TÍPUSÚ KLÍMA BERENDEZÉS BESZERZÉS, BEÉPÍTÉS</t>
  </si>
  <si>
    <t>DMRV ZRT: VERESEGYHÁZ 4. ÁTEMELŐ FLYGT NP 3085 SZIVATTYÚ BESZERZÉS</t>
  </si>
  <si>
    <t>NO-LA ÉPÍTŐIPARI KER ÉS SZOLG. BT: 031/10HRSZ SZENNYVÍZÁTEMELŐ SZIVATTYÚ CSERE</t>
  </si>
  <si>
    <t>SZENNYVÍZ CSATORNA ÉPÍTÉS</t>
  </si>
  <si>
    <t>MÉZESVÖLGYI ALKÖZPONT FEJLESZTÉSE SORÁN SZENNYVÍZVEZETÉK KIVÁLTÁS (KÖZBESZERZÉS)</t>
  </si>
  <si>
    <t>054 020 Védett természeti területek és természeti értékek bemutatása, megőrzése és fenntartása</t>
  </si>
  <si>
    <t>ÓVÁRI LÁSZLÓ: MŰSZAKI ELLENŐRZÉS ÁLOMHEGYI VÍZTÁROZÓ</t>
  </si>
  <si>
    <t>MŰTÁRGY (GÁT) ÉS KOTRÁS</t>
  </si>
  <si>
    <t>064 010-1 Közvilágítás kiadása</t>
  </si>
  <si>
    <t>JUKO KFT: ÜNNEPI DÍSZVILÁGÍTÁS BŐVÍTÉS</t>
  </si>
  <si>
    <t>KERTESI VASÚTÁLLOMÁS FELÉ GYALOGÖSVÉNY KÖZVIL.HÁLÓZAT BŐVÍT.</t>
  </si>
  <si>
    <t>VICZIÁN U. 20KVOS SZABADVEZTEÉK HÁLÓZAT KIVLÁTÁS,FÖLDKÁBELRE</t>
  </si>
  <si>
    <t xml:space="preserve">JUKO KFT: 2014 ÉVI LÁMPATEST SŰRÍTÉSEK                                </t>
  </si>
  <si>
    <t>VICZIÁN U. KÖZVILÁGÍTÁS ÉPÍTÉS</t>
  </si>
  <si>
    <t>PLANTOR KFT: ZÁRT CSATORNA KIVITELI TERV, VÍZJOGI LÉT ENG.</t>
  </si>
  <si>
    <t>BLOGÉK KFT: DÉNÁR U. CSAPADÉKVÍZ CSATORNA ÉPÍTÉS</t>
  </si>
  <si>
    <t>PLASTFER KFT: ARANYFORINT, TEMPLOM, KISGYÖNGYÖS, GARAS,DÉNÁR,FILLÉR U. CSAPADÉKVÍZCSATORNÁZÁSHOZ SZÜKSÉGES ANYAGOK VÁSÁRLÁSA</t>
  </si>
  <si>
    <t>MONOVIA BT: PATAK KÖZ CSAPADÉKCSATORNA ÉPÍTÉS</t>
  </si>
  <si>
    <t>BLOGÉK KFT: RÉT U. CSAPADÉKCSATORNA ÉPÍTÉS</t>
  </si>
  <si>
    <t>PLANTOR KFT: PATAK U. CSAPADÉKVÍZCSATORNA ÉPÍTÉS TERVEZÉSE</t>
  </si>
  <si>
    <t>EPOSZ KFT: VERESEGYHÁZ-IVACS ÁLLOMÁSOK KÖZÖTTI TELEKOMMUNIKÁCIÓS RENDSZER KIÉPÍTÉS</t>
  </si>
  <si>
    <t>PENTA KFT: TALÁLKOZÓK ÚTJÁN ÜZEMZAVAR MIATTI IVÓVÍZCSŐ KIVÁLTÁS</t>
  </si>
  <si>
    <t>081 030 Sportlétesítmények, edzőtáborok működtetése és fejlesztése</t>
  </si>
  <si>
    <t xml:space="preserve">ÚJ SPORTCSARNOK ÉPÍTÉSE </t>
  </si>
  <si>
    <t>DOBOS ÉS IVÁCSON KFT: INOX TETŐJAVÍTÁS</t>
  </si>
  <si>
    <t>EGYÉB MUNKÁLATOK</t>
  </si>
  <si>
    <t>081 061 Szabadidős park, fürdő és strandszolgáltatás</t>
  </si>
  <si>
    <t>TERMÁLFÜRDŐ</t>
  </si>
  <si>
    <t>HÓBOR TIBOR: STRANDFÜRDŐ PROJEKT GEODÉZIAI PÓTMUNKÁK</t>
  </si>
  <si>
    <t>MÉZESVÖLGYI ALKÖZPONT IVÓVÍZVEZETÉK ÁTALAKÍTÁS</t>
  </si>
  <si>
    <t>082 064 Múzeumi közművelődési, közönségkapcsolati tevékenység</t>
  </si>
  <si>
    <t>TÁJHÁZ</t>
  </si>
  <si>
    <t>TÁJHÁZ REKOSTRUKCIÓ</t>
  </si>
  <si>
    <t>082 080 Növény és állatkertek működtetése és megőrzése</t>
  </si>
  <si>
    <t>VERES-BAU TEAM KFT: MEDVEOTTHON TERÜLETÉN ÚJ FARKASKIFUTÓ ÉPÍTÉSE</t>
  </si>
  <si>
    <t xml:space="preserve">MEDVEOTTON BEÉPÍTÉSI TERV </t>
  </si>
  <si>
    <t xml:space="preserve">MEDVEOTTHON EGYÉB BEÉPÍTÉS </t>
  </si>
  <si>
    <t>ÚJ RK TEMPLOM ÉPÍTÉSE VERESEGYHÁZON KÖZBESZERZÉSI TANÁCSADÁS</t>
  </si>
  <si>
    <t>SZENTLÉLEK TEMPLOM ÉPÍTÉSE</t>
  </si>
  <si>
    <t xml:space="preserve">BKM ORGONAÜZEM KFT: ORGONA TERVEZÉS </t>
  </si>
  <si>
    <t xml:space="preserve">ÚJ TEMPLOM MŰVÉSZETI ELEMEK VÁSÁRLÁSA </t>
  </si>
  <si>
    <t xml:space="preserve">CSÍKY ÉS TÁRSA KKT: MŰSZAKI ELLENŐRZÉS F.J.ÁLT ISK. EMELETRÁÉPÍTÉS ÉS FELÚJÍTÁS </t>
  </si>
  <si>
    <t>PRÍM ÉPÍTŐ KFT: F.J.ÁLT.ISK. EMELETRÁÉPÍTÉS II.ÜTEM KIVITELEZÉS</t>
  </si>
  <si>
    <t>KVADRUM ÉPÍTÉSZ KFT: ELEKTROMOS,BELSŐÉPÍTÉSZETI TERVEZŐI MŰVEZETÉS FJ.ÁLT.ISK.EMELETÁRÉPÍTÉSE</t>
  </si>
  <si>
    <t>GENIUS BUILDER KFT: WÜRTZ KERÁMIA FALIKÉP RESTAURÁLÁSA FJ. ÁLT. ISK.</t>
  </si>
  <si>
    <t>GENIUS BUILDER KFT: KUN ÉVA KERÁMIÁK VÁSÁRLÁSA - FJ. ÁLT. ISKOLÁBA</t>
  </si>
  <si>
    <t>ALEX FÉMBÚTOR KFT: F.J. ÁLTALÁNOS ISKOLA ESZKÖZBESZERZÉS</t>
  </si>
  <si>
    <t>KUN ÉVA: FJ ÁLT ISK. HOMLOKZATHOZ DÍSZLAPOK,MŰVÉSZETI ELEMEK</t>
  </si>
  <si>
    <t>ILÉS-MUSZKA RUDOLF: DOMBORMŰVEK,GIPSZ PLAKETTEK ÚJ ISKOLASZÁRNY TANTERMEIBE 9DB</t>
  </si>
  <si>
    <t>KVADRUM ÉPÍTÉS KFT: EGYMI ISKOLA ÉPÍTÉSI ENGEDÉLYEZÉSI ÉS KIVITELI TERVEK ELKÉSZÍTÉSE</t>
  </si>
  <si>
    <t>EGYMI ISKOLA ÉPÍTÉS</t>
  </si>
  <si>
    <t>FABRICZIUS ISKOLA BŐVÍTÉS TERVEZÉS - KONYHA, ÉTKEZŐ, TORNATEREM</t>
  </si>
  <si>
    <t>092 260 Gimnázium és szakképző iskola tanulóinak közismereti és szakmai elméleti oktatásával összefüggő működtetési feladatok</t>
  </si>
  <si>
    <t>IPOLYSZÖGI ZSOLT: FJ ESTI GIMNÁZIUMBAN KLÍMABERENDEZÉS TELEPÍTÉS,SZERELÉS</t>
  </si>
  <si>
    <t>ÚJ GIMNÁZIUM ÉPÍÉS TERVEZÉSE</t>
  </si>
  <si>
    <t>Veresegyház Város Önkormányzat Tervezett  beruházások összesen</t>
  </si>
  <si>
    <t>Kormányzati funkció</t>
  </si>
  <si>
    <t>MEGJ.</t>
  </si>
  <si>
    <t>Veresegyházi Polgármesteri hivatal tervezett beruházási feladat 2015.év</t>
  </si>
  <si>
    <t>Hivatali kormányzati funkció összesen</t>
  </si>
  <si>
    <t>TEAM VIEWER VÁSÁRLÁSA</t>
  </si>
  <si>
    <t>MÉRNÖKI, TERVEZŐ SZOFTVER VÁSÁRLÁSA</t>
  </si>
  <si>
    <t>HUMÁNPOLITIKAI SZOFTVER BESZERZÉS</t>
  </si>
  <si>
    <t>KÖZPONTI LAKCÍM- ÉS GÉPJÁRMŰ - NYILVÁNTARTÁS</t>
  </si>
  <si>
    <t>EGYÉB SZOFTVERVÁSÁRLÁS (OFFICE)</t>
  </si>
  <si>
    <t>INF. ESZK. BESZERZÉSE</t>
  </si>
  <si>
    <t>KÖZPONTI SZERVER BESZERZÉS</t>
  </si>
  <si>
    <t>20 DB KILENS SZÁMÍTÓGÉP BESZERZÉS</t>
  </si>
  <si>
    <t>SZKENNEREK BESZERZÉSE</t>
  </si>
  <si>
    <t>PREZENTÁCIÓS LAPTOP BESZERZÉSE</t>
  </si>
  <si>
    <t>MIKROVOKS RÖGZÍTŐ RENDSZERHEZ LAPTOP BESZERZÉS</t>
  </si>
  <si>
    <t>INFORMÁCIÓS PULT LÉTREHOZÁSA, WI-FI</t>
  </si>
  <si>
    <t>MENEDZSELHETŐ 48 PORTOS SWITCH VÁSÁRLÁS</t>
  </si>
  <si>
    <t xml:space="preserve">KISÉRTÉKŰ INFORMATIKAI ESZKÖZÖK BESZERZÉSE </t>
  </si>
  <si>
    <t>WORKDOG KFT: CYBORTRA CY152RHU MIKROCHIP LEOLVASÓ VÁSÁRLÁSA</t>
  </si>
  <si>
    <t>VONALKÓDOS CÍMKÉZŐ NYOMTATÓ</t>
  </si>
  <si>
    <t>VONALKÓDOS LEOLVASÓ</t>
  </si>
  <si>
    <t>INFORMATIKAI BIZTONSÁGI TÖRVÉNYNEK VALÓ MEGFELELÉS</t>
  </si>
  <si>
    <t xml:space="preserve">EGYÉB KISÉRTÉKŰ INFORMATIKAI ESZKÖZÖK VÁSÁRLÁSA </t>
  </si>
  <si>
    <t>TRITEL KFT: 2DB NOKIA GSM ADAPTER VÁSÁRLÁSA,HIBÁS KICSERÉLÉSE</t>
  </si>
  <si>
    <t>KARBANTARTÁSHOZ SZERSZÁM BESZERZÉS</t>
  </si>
  <si>
    <t>PÁCOLT PROFILOZOTT TÖMÖRFA PÁRKÁNY, FÉMNYMÁSOLÓ SZEKRÉNY, NYITOTT FALI POLCOK VÁSÁRLÁSA</t>
  </si>
  <si>
    <t>BÚTOROK VÁSÁRLÁSA</t>
  </si>
  <si>
    <t>EGYÉB KISÉRTÉKŰ ESZKÖZBESZERZÉS</t>
  </si>
  <si>
    <t>POLCOS IRATSZEKRÉNYEK VÁSÁRLÁSA</t>
  </si>
  <si>
    <t>Veresegyházi Városfejlesztő Kft  termálfürdő beruházással kapcsolatos szaktanácsadói feladatok, kiviteli tervek elkészítése</t>
  </si>
  <si>
    <t xml:space="preserve">FÖLDVÁSÁRLÁS </t>
  </si>
  <si>
    <t>ESTI GIMNÁZIUM</t>
  </si>
  <si>
    <t xml:space="preserve">EGYMI ISKOLA ÉPÍTÉS </t>
  </si>
  <si>
    <t xml:space="preserve">MEDVEOTTHON BŐVÍTÉS </t>
  </si>
  <si>
    <t>IVÓVÍZ</t>
  </si>
  <si>
    <t xml:space="preserve">TELEK VÁSÁRLÁS </t>
  </si>
  <si>
    <t xml:space="preserve">a közvetett támogatások 2015. évi tervezett összegéről </t>
  </si>
  <si>
    <t>ÓVODA</t>
  </si>
  <si>
    <t>MÉZESVÖLGYI ISKOLA</t>
  </si>
  <si>
    <t>VERESEGYHÁZ VÁROS ÖNKORMÁNYZATA Mindösszesen</t>
  </si>
  <si>
    <t>2015.évi  előirányzat-felhasználási ütemterv</t>
  </si>
  <si>
    <t>27.1. melléklet</t>
  </si>
  <si>
    <t>B E V É T E L E K</t>
  </si>
  <si>
    <t>2015.TERV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</si>
  <si>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</si>
  <si>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</si>
  <si>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</si>
  <si>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</si>
  <si>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</si>
  <si>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</si>
  <si>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</si>
  <si>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</si>
  <si>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</si>
  <si>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</si>
  <si>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</si>
  <si>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</si>
  <si>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B1</t>
  </si>
  <si>
    <t>Műk.célú tám. államh. belülről</t>
  </si>
  <si>
    <t>B2</t>
  </si>
  <si>
    <t>Közhatalmi bevételek</t>
  </si>
  <si>
    <t>B3</t>
  </si>
  <si>
    <t>Működési bevételek</t>
  </si>
  <si>
    <t>B4</t>
  </si>
  <si>
    <t>Műk.célú átvett pénzeszközök</t>
  </si>
  <si>
    <t>A</t>
  </si>
  <si>
    <t>Műk. kv.bevételek összesen:</t>
  </si>
  <si>
    <t>B (B8)</t>
  </si>
  <si>
    <t>Finanszírozási bevételek</t>
  </si>
  <si>
    <t>B813</t>
  </si>
  <si>
    <t>ebből: Maradvány igénybev.</t>
  </si>
  <si>
    <t>C</t>
  </si>
  <si>
    <t>Működési bevételek (A+B)</t>
  </si>
  <si>
    <t>Felhalm.c. tám.államh.belülről</t>
  </si>
  <si>
    <t>B5</t>
  </si>
  <si>
    <t>Felhalm. Bevételek</t>
  </si>
  <si>
    <t>B7</t>
  </si>
  <si>
    <t>Felhalm.c. átvett pénzeszközök</t>
  </si>
  <si>
    <t>D</t>
  </si>
  <si>
    <t>Felhalm.kv. Bevételek</t>
  </si>
  <si>
    <t>E (B8)</t>
  </si>
  <si>
    <t>F</t>
  </si>
  <si>
    <t>Felhalmozási bevételek (D+E)</t>
  </si>
  <si>
    <t>G</t>
  </si>
  <si>
    <t>Bevételek (C+F)</t>
  </si>
  <si>
    <t>K I A D Á S O K</t>
  </si>
  <si>
    <t>K1</t>
  </si>
  <si>
    <t>Személyi juttatások</t>
  </si>
  <si>
    <t>K2</t>
  </si>
  <si>
    <t>Munkaadót terhelő j. és szoc. h.adó</t>
  </si>
  <si>
    <t>K3</t>
  </si>
  <si>
    <t>Dologi kiadások</t>
  </si>
  <si>
    <t>K4</t>
  </si>
  <si>
    <t>Ellátottak pénzbeli juttatásai</t>
  </si>
  <si>
    <t>K5</t>
  </si>
  <si>
    <t>Egyéb műk.célú kiadások</t>
  </si>
  <si>
    <t>ebből: Általános tartalék</t>
  </si>
  <si>
    <t>ebből: Céltartalék</t>
  </si>
  <si>
    <t>Műk. Kv. Kiadások</t>
  </si>
  <si>
    <t>B (K9)</t>
  </si>
  <si>
    <t>Finanszírozási kiadások</t>
  </si>
  <si>
    <t>Működési kiadások (A+B)</t>
  </si>
  <si>
    <t>K6</t>
  </si>
  <si>
    <t>Beruházáok</t>
  </si>
  <si>
    <t>K7</t>
  </si>
  <si>
    <t>Felújítások</t>
  </si>
  <si>
    <t>K8</t>
  </si>
  <si>
    <t>Egyéb felhalm.c.kiadások</t>
  </si>
  <si>
    <t>Felhalm.kv. Kiadások</t>
  </si>
  <si>
    <t>E</t>
  </si>
  <si>
    <t>Áltlalános tartalék</t>
  </si>
  <si>
    <t>F (K9)</t>
  </si>
  <si>
    <t>Felhalm. Kiadások (D+E+F)</t>
  </si>
  <si>
    <t>H</t>
  </si>
  <si>
    <t>Kiadások (C+G)</t>
  </si>
  <si>
    <t>VERESEGYHÁZ VÁROS ÖNKORMÁNYZATA</t>
  </si>
  <si>
    <t>27.1.1. melléklet</t>
  </si>
  <si>
    <t>VERESEGYHÁZ POLGÁRMESTERI HIVATAL</t>
  </si>
  <si>
    <t>27.1.2. melléklet</t>
  </si>
  <si>
    <t>27.1.3. melléklet</t>
  </si>
  <si>
    <t>27.1.4. melléklet</t>
  </si>
  <si>
    <t>MESELIGET VÁROSI ÖNKORMÁNYZATI BÖLCSŐDE</t>
  </si>
  <si>
    <t>27.1.5. melléklet</t>
  </si>
  <si>
    <t>KÖLCSEY FERENC VÁROSI KÖNYVTÁR</t>
  </si>
  <si>
    <t>27.1.6. melléklet</t>
  </si>
  <si>
    <t>27.1.7. melléklet</t>
  </si>
  <si>
    <t>VERESEGYHÁZ VÁROS IDŐSEK OTTHONA</t>
  </si>
  <si>
    <t>27.1.8. melléklet</t>
  </si>
  <si>
    <t>B115. Működési célú költségvetési támogatások és kiegészítő támogatások</t>
  </si>
  <si>
    <t>Misszió Egészségügyi Központ  működési támogatás visszatérítése</t>
  </si>
  <si>
    <t>Közfogalkoztatás támogatása</t>
  </si>
  <si>
    <t>Könyvtári állomány gyarapítása</t>
  </si>
  <si>
    <t>Művelődési Ház  NKA támogatás</t>
  </si>
  <si>
    <t>B4. Működési bevételek</t>
  </si>
  <si>
    <t>ÖNKORMÁNYZAT</t>
  </si>
  <si>
    <t>POLGÁRMESTERI HIVATAL</t>
  </si>
  <si>
    <t xml:space="preserve">      10.11. melléklet</t>
  </si>
  <si>
    <t>Nemzeti Sportközpont EGYMI iskola támogatása</t>
  </si>
  <si>
    <t xml:space="preserve">      11.5 melléklet</t>
  </si>
  <si>
    <t>Telekértékesítés bevétrelei</t>
  </si>
  <si>
    <t>Lakóépület értékesítés bevételei</t>
  </si>
  <si>
    <t>Egyéb építmény értékesítés bevétele</t>
  </si>
  <si>
    <t xml:space="preserve">      11.7. melléklet</t>
  </si>
  <si>
    <r>
      <t>Önkormányzat által saját hatáskörben (nem szociális és gyermekvédelmi ellátások alapján) adott természetbeni ellátás -</t>
    </r>
    <r>
      <rPr>
        <b/>
        <sz val="8"/>
        <rFont val="Arial CE"/>
        <charset val="238"/>
      </rPr>
      <t>szociális étkezés-</t>
    </r>
  </si>
  <si>
    <t>Természetbeni gyermekvédelmi támogatás buszbérlet</t>
  </si>
  <si>
    <t>Egyéb önkormányzati pénzbeli családi támogatás (bizottási döntés alapján)</t>
  </si>
  <si>
    <t>Osztálykirándulások</t>
  </si>
  <si>
    <t>Átmeneti pénzbeli segély - felnőtt, temetési-</t>
  </si>
  <si>
    <t>Egyéb önkormányzat rendeletében megállapított pénzbeli juttatás (polgárm.)</t>
  </si>
  <si>
    <t xml:space="preserve">Pénzbeli gyermekvédelmi tám. Óvoda 50% és 100 % </t>
  </si>
  <si>
    <t>Pénzbeli gyermekvédelmi támogatás -iskola 50% és 100 %</t>
  </si>
  <si>
    <t>Pénzbeli gyermekvédelmi támogatás -bölcsőde 50% és 100 %</t>
  </si>
  <si>
    <t>Egyéb civil szervezetek műk. Célú támogatása -Sportcentrum</t>
  </si>
  <si>
    <t>Háztartásoknak egyéb műk. Célú támogatás nyújtása -sport célra</t>
  </si>
  <si>
    <t>Egyéb civil szervezetek műk. Célú támogatása -Egyesületek, alapítványok, stb.</t>
  </si>
  <si>
    <t>Egyéb civil szervezetek műk. Célú támogatása -Veresegy Színház</t>
  </si>
  <si>
    <t>Egyéb civil szervezetek műk. Célú támogatása -Katonai hagyományőrzők</t>
  </si>
  <si>
    <t>Egyéb civil szervezetek műk. Célú támogatása -Támaszpont</t>
  </si>
  <si>
    <t>Egyéb nem pénzügyi vállalkozásnak műk. Célú támogatás -orvosi ügyelet támog.</t>
  </si>
  <si>
    <t>2015. ......................... hó</t>
  </si>
  <si>
    <t>Veresegyház Város Önkormányzata</t>
  </si>
  <si>
    <t>BÁNÓCZI ZSUZSANNA-BÁNÓCZI PÁL: VHÁZ 332HRSZ 1301NM, 333HRSZ 173NM,334HRSZ 538NM INGATLAN VÉTELÁR - TEMETŐ BŐVÍTÉS</t>
  </si>
  <si>
    <t>MARUSZKI JÁNOS-JÁNOSNÉ 632/1HRSZ INGATLAN VÁSÁRLÁSA - SPORTPÁLYA BŐVÍTÉS</t>
  </si>
  <si>
    <t>FELCSUTI LÁSZLÓ JÓZSEF: VERESEGHYÁZ HÁRSFA U. 2. 624NM 1106NM INGATLAN VÉTELÁR - SPORTPÁLYA BŐVÍTÉS</t>
  </si>
  <si>
    <t>TÓTH FERENCNÉ: FŐ ÚT 130. 627. NM INGATLAN VÁSÁRLÁS - KÖZPARK LÉTESÍTÉS</t>
  </si>
  <si>
    <t>MIHÁLY PÉTER: VERESEGYHÁZ 1545HRSZ 755NM HAJDI U. 3. INGATLAN VÉTELÁR - PARKOLÓ LÉTESÍTÉS BELVÁROSI RÉSZHEZ</t>
  </si>
  <si>
    <t>SZABADSÁGNAP 19 KFT: VERESEGYHÁZ 9045/40HRSZ,9045/41HRSZ 2474NM INGATLAN VÉTELÁR - KÖZPARK LÉTESÍTÉS</t>
  </si>
  <si>
    <t>HAJDI IMRE: VERESEGYHÁZ 784/5HRSZ 1403NM,784/11HRSZ 2826NM ING.VÉTELÁR - REFORMÁTUS TEMETŐ PARKOLÓ LÉTESÍTÉS</t>
  </si>
  <si>
    <t>LESZÁK PÉTER - LESZÁK SÁNDORNÉ: VERESEGYHÁZ MOGYORÓDI U. 6. 1574HRSZ 615NM INGATLAN VÉTELÁR - REFORMÁTUS ISKOLA PARKOLÓ LÉTESÍTÉS</t>
  </si>
  <si>
    <t>CZELLER BOLDIZSÁRNÉ: 784/12HRSZ INGATLAN VÁSÁRLÁS REFORMÁTUS TEMETŐ PARKOLÓ LÉTESÍTÉS</t>
  </si>
  <si>
    <t>Egyéb vállalkozástól felhalmozási kölcsön visszatérülés        TIGÁZ fejlesztési kölcsön visszatérülés</t>
  </si>
  <si>
    <t>114/2014 (VII.24.) Kt. Határozat szerint</t>
  </si>
  <si>
    <t>Általános működési tartalék</t>
  </si>
  <si>
    <t>Általános felhalmozási tartalék</t>
  </si>
  <si>
    <t>KISÉRTÉKŰ EGYÉB GÉP, BERENDEZÉS</t>
  </si>
  <si>
    <t>EGYÉB GÉP, BERENDEZÉS</t>
  </si>
  <si>
    <t xml:space="preserve"> ( a hitel kamattal együtt)</t>
  </si>
  <si>
    <t>2016.év</t>
  </si>
  <si>
    <t>2017.év</t>
  </si>
  <si>
    <t>2018.év</t>
  </si>
  <si>
    <t>2019.év</t>
  </si>
  <si>
    <t xml:space="preserve">2019. év után </t>
  </si>
  <si>
    <t>Hitel törlesztés:</t>
  </si>
  <si>
    <t>Fejlesztési hitel 1.390.000 eFt tőkeösszeg</t>
  </si>
  <si>
    <t>Adósságmegújító hitel 1.110.000 eFt tőkeösszeg</t>
  </si>
  <si>
    <t>Ingatlan vásárlás</t>
  </si>
  <si>
    <t xml:space="preserve">5785/152. hrsz 13 lakás  és  5785/141. 13 lakás </t>
  </si>
  <si>
    <t>5785/132 hrsz  30 lakásos épület</t>
  </si>
  <si>
    <t>Átadott pénz  fejlesztésre</t>
  </si>
  <si>
    <t>Veresegyházi Városfejl. Termálfürdő építéséhez</t>
  </si>
  <si>
    <t>BURSA ösztöndíj</t>
  </si>
  <si>
    <t>Beruházások</t>
  </si>
  <si>
    <t>Szentlélek templom építéséhez</t>
  </si>
  <si>
    <t>Hitel felvételéből eredő aktuális tőketartozás: fejlesztési hitel, folyószámla hitel</t>
  </si>
  <si>
    <t>Murvai Károlyné Veresegyház és Vidéke Takarékszöv. (lejárat 2015.09.11.)</t>
  </si>
  <si>
    <t>Matyéka Andrásné Veresegyház és Vidéke Takszöv. (lejárat 2015.09.04.)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</si>
  <si>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</si>
  <si>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</si>
  <si>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</si>
  <si>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</si>
  <si>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</si>
  <si>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</si>
  <si>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</si>
  <si>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</si>
  <si>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</si>
  <si>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</si>
  <si>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Városrendezési célokhoz kapcs.ingatlan vásárlások</t>
  </si>
  <si>
    <t>Belterületi  utak építése</t>
  </si>
  <si>
    <t>Szennyvíztisztítás: tározó tó építés</t>
  </si>
  <si>
    <t>Szennyvízcsatorna átépítés , kiváltás</t>
  </si>
  <si>
    <t>Ivóvíz  vezeték kiváltás</t>
  </si>
  <si>
    <t>Közvilágítás építés</t>
  </si>
  <si>
    <t>Csapadékcsatorna építés</t>
  </si>
  <si>
    <t>Közoktatás: iskola bővítés-emeletráépítés</t>
  </si>
  <si>
    <t>Közoktatás: iskola konyha bővítés, tornaterem bővítés</t>
  </si>
  <si>
    <t>Köztemető fenntartás: kerítés építés</t>
  </si>
  <si>
    <t>Ifjúsági és sportfeladatok: sportcsarnok építés</t>
  </si>
  <si>
    <t>EGYMI  iskola építés (381 mil beruh - 111 mil átvett pánz)</t>
  </si>
  <si>
    <t xml:space="preserve">II. Adósságot keletkeztető más ügyletek </t>
  </si>
  <si>
    <t>Adósságmegújító hitel azonos ügyletérték mellett</t>
  </si>
  <si>
    <t>Áthúzódó szállítói számla kifizetése</t>
  </si>
  <si>
    <t>20.2. melléklet</t>
  </si>
  <si>
    <t>MÉRLEG</t>
  </si>
  <si>
    <t>MISSZIÓ eü Közp</t>
  </si>
  <si>
    <t>értékvesztés</t>
  </si>
  <si>
    <t>IDEIGLENESEN ÁTADOTT</t>
  </si>
  <si>
    <t>8086/2014</t>
  </si>
  <si>
    <t>8085/2014</t>
  </si>
  <si>
    <t>500 MIL</t>
  </si>
  <si>
    <t>150mil</t>
  </si>
  <si>
    <t>110 MIL</t>
  </si>
  <si>
    <t>K&amp;H</t>
  </si>
  <si>
    <t>Eredeti előirányzat</t>
  </si>
  <si>
    <t>Teljesítés 2015.06.30.</t>
  </si>
  <si>
    <t>Módosított előirányzat 2015.06.30</t>
  </si>
  <si>
    <t>Költségvetési szervek</t>
  </si>
  <si>
    <t>Eredeti előirányzat 2015. év</t>
  </si>
  <si>
    <t>2015.év</t>
  </si>
  <si>
    <t>Szociális ágazati pótlék</t>
  </si>
  <si>
    <t>Könyvtár érdekeltségnövelő támogatás</t>
  </si>
  <si>
    <t>Nyári gyermekétkezés</t>
  </si>
  <si>
    <t>Bérkompenzálás</t>
  </si>
  <si>
    <t>Agrártermelési támogatások</t>
  </si>
  <si>
    <t>Időközi választásra átvett</t>
  </si>
  <si>
    <t>Egyéb vállalkozástól</t>
  </si>
  <si>
    <t>Medveotthon</t>
  </si>
  <si>
    <t>közvilágítás korszerűsítés kiadása</t>
  </si>
  <si>
    <t>KEOP-5.5.0/A/12-2013-0241</t>
  </si>
  <si>
    <t xml:space="preserve">           egyéb: foglalkoztatás segítő</t>
  </si>
  <si>
    <t>Civil szervezetnek nyújtott felhalmozási támogatás:     ÉVÖGY harcművészeti központ Sport u</t>
  </si>
  <si>
    <t>Közvilágítás korszerűsítése Veresegyházon</t>
  </si>
  <si>
    <t>2015.évben visszafiz</t>
  </si>
  <si>
    <t>5 DB</t>
  </si>
  <si>
    <t>Adott kölcsönök</t>
  </si>
  <si>
    <t>adatok Ft-ban</t>
  </si>
  <si>
    <t>TRAVILL INVEST ZRt</t>
  </si>
  <si>
    <t>nyitó állomány</t>
  </si>
  <si>
    <t xml:space="preserve">K &amp; H </t>
  </si>
  <si>
    <t>2015.0.2.03</t>
  </si>
  <si>
    <t>2015 év forgalma</t>
  </si>
  <si>
    <t>összes állomány</t>
  </si>
  <si>
    <t xml:space="preserve"> 2015.évben visszafizetett összeg</t>
  </si>
  <si>
    <t>folyószámla hitel</t>
  </si>
  <si>
    <t>Felvett kölcsönök forgalma 2015.év</t>
  </si>
  <si>
    <t>Veresegyházi Medveotthon</t>
  </si>
  <si>
    <t>Idősek Otthona közfogl.</t>
  </si>
  <si>
    <t>VERESEGYHÁZI MEDVEOTTHON</t>
  </si>
  <si>
    <t>Közvilágítás korszerűsítés pályázat</t>
  </si>
  <si>
    <t xml:space="preserve">B74. Felhalmozási célú visszatérítendő támogatások, kölcsönök visszatérülése államháztartáson kívülről  </t>
  </si>
  <si>
    <t xml:space="preserve">B75. Egyéb felhalmozási célú átvett pénzeszközök </t>
  </si>
  <si>
    <t>K512. Egyéb működési célú támogatások államháztartáson kívülre</t>
  </si>
  <si>
    <t>KSZ FKV</t>
  </si>
  <si>
    <t>PSZ FKV</t>
  </si>
  <si>
    <t>GORDIUSZ AZONOSÍTÓ</t>
  </si>
  <si>
    <t>ÁFA</t>
  </si>
  <si>
    <t>EREDETI ELŐIRÁNYZAT</t>
  </si>
  <si>
    <t>MÓDOSÍTOTT ELŐIRÁNYZAT 2015.06.30.</t>
  </si>
  <si>
    <t>Szakfeladat összesen EREDETI ÖNKÉNT VÁLLALT</t>
  </si>
  <si>
    <t>Szakfeladat összesen MÓDOSÍTOTT 2015.06.30. ÖNKÉNT VÁLLALT</t>
  </si>
  <si>
    <t>Szakfeladat összesen  EREDETI KÖTELEZŐ</t>
  </si>
  <si>
    <t>Szakfeladat összesen  MÓDOSÍTOTT 2015.06.30. KÖTELEZŐ</t>
  </si>
  <si>
    <t>TELJESÍTÉS 2015.06.30</t>
  </si>
  <si>
    <t>Önkormányzat kormányzati funkció összesen TELJESÍTÉS 2015.06.30</t>
  </si>
  <si>
    <t>ÖNKÉNT VÁLLALT FELADATOK</t>
  </si>
  <si>
    <t>KÖTELEZŐ FELADATOK</t>
  </si>
  <si>
    <t>05643</t>
  </si>
  <si>
    <t>151232</t>
  </si>
  <si>
    <t>VÁRHATÓ KÖTVÁLL</t>
  </si>
  <si>
    <t>EGYÉB TÁRGYI ESZKÖZ</t>
  </si>
  <si>
    <t>T15/575</t>
  </si>
  <si>
    <t>AAM</t>
  </si>
  <si>
    <t xml:space="preserve">BARABÁS GÉZA:  PÁDLY ALADÁR- ARABOK C FESTMÉNY VÁSÁRLÁSA     </t>
  </si>
  <si>
    <t>151231</t>
  </si>
  <si>
    <t>Z15/318</t>
  </si>
  <si>
    <t>SONARMED KFT: ULTRAHANG-DIAGNOSZTIKAI KÉSZÜLÉK BESZERZÉSE</t>
  </si>
  <si>
    <t>ANALITIKAI KORREKCIÓ</t>
  </si>
  <si>
    <t>05633</t>
  </si>
  <si>
    <t>15122</t>
  </si>
  <si>
    <t>Z15/236</t>
  </si>
  <si>
    <t xml:space="preserve">INFORMATIKAI ESZKÖZÖK </t>
  </si>
  <si>
    <t>E-SZOFTVERFEJLESZTŐ KFT: E-KATA KATASZTERI VAGYONGAZDÁLKODÁSI SZOFTVER</t>
  </si>
  <si>
    <t>056221</t>
  </si>
  <si>
    <t>KATOLIKUS TEMETŐ</t>
  </si>
  <si>
    <t>151211</t>
  </si>
  <si>
    <t>Z14/466</t>
  </si>
  <si>
    <t>ÁFÁS</t>
  </si>
  <si>
    <t>Z15/12</t>
  </si>
  <si>
    <t>M</t>
  </si>
  <si>
    <t>Z15/13</t>
  </si>
  <si>
    <t>Z15/14</t>
  </si>
  <si>
    <t>Z15/15</t>
  </si>
  <si>
    <t>Z15/16</t>
  </si>
  <si>
    <t>Z15/38</t>
  </si>
  <si>
    <t>Z15/85</t>
  </si>
  <si>
    <t>Z15/129</t>
  </si>
  <si>
    <t>WISNOVSZKY GÁBOR GYÖRGY: VERESEGYHÁZ 052/4HRSZ 3429NM SZÁNTÓ VÉTELÁR</t>
  </si>
  <si>
    <t>Z15/134</t>
  </si>
  <si>
    <t>BRÉSKA SÁNDOR: 059/28HRSZ 231NM SZÁNTÓ VÉTELÁR</t>
  </si>
  <si>
    <t>Z15/206</t>
  </si>
  <si>
    <t>ANTOSIK FERENC GYULÁNÉ: VERESEGYHÁZ 065/23HRSZ 380NM SZÁNTÓ VÉTELÁR</t>
  </si>
  <si>
    <t>Z15/207</t>
  </si>
  <si>
    <t>BÖSZÖRMÉNYI PÉTER: VERESEGYHÁZ 065/130HRSZ 295NM GYÜMÖLCSÖS VÉTELÁR</t>
  </si>
  <si>
    <t>Z15/208</t>
  </si>
  <si>
    <t>SÁNTA JÓZSEF: VERESEGYHÁZ 065/83HRSZ 297NM GYÜMÖLCSÖS VÉTELÁR</t>
  </si>
  <si>
    <t>Z15/209</t>
  </si>
  <si>
    <t>WÉBER FERENC: VERESEGYHÁZ 065/44HRSZ 596NM GYÜMÖLCSÖS VÉTELÁR</t>
  </si>
  <si>
    <t>Z15/210</t>
  </si>
  <si>
    <t>SÁRKÖZI ISTVÁN: VERESEGYHÁZ 065/42HRSZ 301NM GYÜMÖLCSÖS VÉTELÁR</t>
  </si>
  <si>
    <t>Z15/238</t>
  </si>
  <si>
    <t>FARKAS MARGIT - KISDI MÁRTONNÉ: VERESEGYHÁZ 065/21HRSZ 1853NM SZÁNTÓ VÉTELÁR</t>
  </si>
  <si>
    <t>Z15/239</t>
  </si>
  <si>
    <t>ANKA LÁSZLÓ IMRÉNÉ: VHÁZ 065/135HRSZ 1752NM,065/136HRSZ 1462NM INGATLAN VÉTELÁR</t>
  </si>
  <si>
    <t>Z15/240</t>
  </si>
  <si>
    <t>TROMBITÁS GYULA: VERESEGYHÁZ 065/115HRSZ 295NM GYÜMÖLCSÖS VÉTELÁR</t>
  </si>
  <si>
    <t>Z15/241</t>
  </si>
  <si>
    <t>OLÁH FERECN ISTVÁNNÉ - BERKI ANNA: VERESEGYHÁZ 065/32HRSZ 1454NM SZÁNTÓ VÉTELÁR</t>
  </si>
  <si>
    <t>Z15/320</t>
  </si>
  <si>
    <t>PAULUSZ KATALIN ESZTER: VERESEGYHÁZ 065/198HRSZ 338NM GYÜMÖLCSÖS VÉTELÁR</t>
  </si>
  <si>
    <t>Z15/321</t>
  </si>
  <si>
    <t>KAPRONCZAYNÉ KARÁDI MAGDOLNA: VERESEGYHÁZ, 065/72HRSZ 297NM GYÜMÖLCSÖS VÉTELÁR</t>
  </si>
  <si>
    <t>Z15/322</t>
  </si>
  <si>
    <t>HÁRSSZEGI TIBORNÉ: VERESEGYHÁZ 065/6HRSZ 382NM SZÁNTÓ VÉTELÁR</t>
  </si>
  <si>
    <t>Z15/323</t>
  </si>
  <si>
    <t>MONÁR REZSŐ: VERESEGYHÁZ 065/116 883NM GYÜMÖLCSÖS VÉTELÁR</t>
  </si>
  <si>
    <t>Z15/324</t>
  </si>
  <si>
    <t>BAKÓ JÓZSEF LÁSZLÓ: VERESEGYHÁZ 065/121HRSZ 587NMJ GYÜMÖLCSÖS VÉTELÁR</t>
  </si>
  <si>
    <t>Z15/325</t>
  </si>
  <si>
    <t>BORBÍRÓ NÁNDOR PÉTER: VERESEGYHÁZ 065/3HRSZ 1579NM SZÁNTÓ VÉTELÁR</t>
  </si>
  <si>
    <t>Z15/326</t>
  </si>
  <si>
    <t>SÖRÖS ANDRÁS: VERESEGYHÁZ 065/76HRSZ 297NM GYÜMÖLCSÖS VÉTELÁR</t>
  </si>
  <si>
    <t>Z15/330</t>
  </si>
  <si>
    <t>BARCZA GYÖRGY - BARCZA EDINA: VERESEGYHÁZ 065/143HRSZ 297NM GYÜMÖLCSÖS VÉTELÁR</t>
  </si>
  <si>
    <t>Z15/331</t>
  </si>
  <si>
    <t>NÉMETH ZOLTÁN: VERESEGYHÁZ 065/199HRSZ 751NM GYÜMÖLCSÖS VÉTELÁR</t>
  </si>
  <si>
    <t>Z15/332</t>
  </si>
  <si>
    <t>SÁNDOR MÁRIA: VERESGYHÁZ 065/111HRSZ 586NM GYÜMÖLCSÖS VÉTELÁR</t>
  </si>
  <si>
    <t>Z15/333</t>
  </si>
  <si>
    <t>BÁNSZKY-PUSKÁS-TAMÁSNÉ: VERESEGYHÁZ 065/7HRSZ 1870NM  SZÁNTÓ VÉTELÁR</t>
  </si>
  <si>
    <t>Z15/335</t>
  </si>
  <si>
    <t>TORONYI ANDRÁS VILMOS: VERESEGYHÁZ 065/190HRSZ 287NM GYÜMÖLCSÖS VÉTELÁR</t>
  </si>
  <si>
    <t>Z15/344</t>
  </si>
  <si>
    <t>MIXTAY FERENCNÉ: VERESEGYHÁZ  065/8HRSZ 1120NM SZÁNTÓ VÉTELÁR</t>
  </si>
  <si>
    <t>Z15/345</t>
  </si>
  <si>
    <t>KAJÁRI ILONA: VERESEGYHÁZ 065/56HRSZ 902NM GYÜMÖLCSÖS VÉTELÁR</t>
  </si>
  <si>
    <t>Z15/346</t>
  </si>
  <si>
    <t>SÁRKÖZI JÁNOS FERENC: VERESEGYHÁZ 065/43HRSZ 300NM GYÜMÖLCSÖS VÉTELÁR</t>
  </si>
  <si>
    <t>Z15/360</t>
  </si>
  <si>
    <t>KIS SÁNDORNÉ: VERESEGYHÁZ 059/1HRSZ 7026NM GYÜMÖLCSÖS VÉTELÁR</t>
  </si>
  <si>
    <t>Z15/361</t>
  </si>
  <si>
    <t>DEÁK JÁNOS: VERESEGYHÁZ 043/16HRSZ SZÁNTÓ 9417NM SZÁNTÓ VÉTELÁR</t>
  </si>
  <si>
    <t>Z15/362</t>
  </si>
  <si>
    <t>DEÁK JÁNOS: VERESEGYHÁZ 059/1HRSZ 15016NM GYÜMÖLCSÖS VÉTELÁR</t>
  </si>
  <si>
    <t>Z15/363</t>
  </si>
  <si>
    <t>NELL ISTVÁN - TÓTH CSILLA: VERESEGYHÁZ 059/1HRSZ 16754NM, GYÜMÖLCSÖS VÉTELÁR</t>
  </si>
  <si>
    <t>Z15/364</t>
  </si>
  <si>
    <t>TOLNAI EMESE - TOLNAI KRISZTINA: VERESEGYHÁZ 065/6HRSZ 382NM SZÁNTÓ VÉTELÁR</t>
  </si>
  <si>
    <t>Z15/372</t>
  </si>
  <si>
    <t>BERTÓK TIVADARNÉ: VERESEGYHÁZ 065/134 HRSZ 295 NM GYÜMÖLCSÖS VÉTELÁR</t>
  </si>
  <si>
    <t>Z15/422</t>
  </si>
  <si>
    <t>KALMÁR KÁLMÁN: VERESEGYHÁZ 065/4HRSZ 758NM SZÁNTÓ VÉTELÁR</t>
  </si>
  <si>
    <t>Z15/461</t>
  </si>
  <si>
    <t>SZILÁGYI LAJOS: VERESEGYHÁZ 065/4HRSZ 758NM SZÁNTÓ VÉTELÁR</t>
  </si>
  <si>
    <t>Z15/482</t>
  </si>
  <si>
    <t>TILDY ZSOLT: VERESEGYHÁZ 065/197HRSZ 299NM GYÜMÖLCSÖS VÉTELÁR</t>
  </si>
  <si>
    <t>056231</t>
  </si>
  <si>
    <t>1512121</t>
  </si>
  <si>
    <t>Z14/707</t>
  </si>
  <si>
    <t>BALDAUF LÁSZLÓ: VERESEGYHÁZ, 9386/2HRSZ 6004NM INGATLAN VÁSÁRLÁS</t>
  </si>
  <si>
    <t>Z14/719</t>
  </si>
  <si>
    <t>Z14/915</t>
  </si>
  <si>
    <t>Z15/18</t>
  </si>
  <si>
    <t>Z15/19</t>
  </si>
  <si>
    <t>Z15/359</t>
  </si>
  <si>
    <t>Z15/54</t>
  </si>
  <si>
    <t>MOLNÁR BÉLÁNÉ-TOMCSÁNYI ATTILA- KÖNYVESI CSABÁNÉ-TOMCSÁNYI CSILLA VHÁZ, 4HRSZ INGATLAN VÁSÁRLÁS (ÚJISKOLA U. 6.) - ISKOLA PARKOLÓ LÉTESÍTÉS</t>
  </si>
  <si>
    <t>Z15/116</t>
  </si>
  <si>
    <t>SZABÓ JÓZSEF-JÓZSEFNÉ: VERESEGYHÁZ ÚJISKOLA U. 13. 1982NM INGATLAN VÉTELÁR</t>
  </si>
  <si>
    <t>Z15/228</t>
  </si>
  <si>
    <t>SZABÓ JÓZSEF-JÓZSEFNÉ: ÚJISKOLA U. 13., 28HRSZ 28NM INGATLAN VÉTELÁR</t>
  </si>
  <si>
    <t>Z15/347</t>
  </si>
  <si>
    <t>DUDÁS ÉVA: VERESEGYHÁZ 1570HRSZ 1552NM KÁLVIN U.1. INGATLAN VÉTELÁR</t>
  </si>
  <si>
    <t>K</t>
  </si>
  <si>
    <t>159/2015(VI.26.)hat.,160/2015(VI.26.)hat.,161/2015(VI.26.)hat.,168/2015(VI.26.)hat./INGATLAN VÁSÁRLÁS</t>
  </si>
  <si>
    <t>FÁBIÁN JÓZSEFNÉ- SZÉCSÉNYI SÁNDORNÉ: VERESEGYHÁZ 258/1HRSZ 594NM INGATLAN VÉTELÁR</t>
  </si>
  <si>
    <t>DÉCSI GYÖRGY KÁROLYNÉ-KÁCSER TIBOR-DRENKOVICS JÓZSEFNÉ-KÁCSER PÁL ZOLTÁN-KÁCSER KATALIN ZSUZSANNA: ÚJISKOLA U. 7. 1550NM INGATLAN VÉTELÁR</t>
  </si>
  <si>
    <t>Z15/471</t>
  </si>
  <si>
    <t>KISS LAJOS-BECSEI LÁSZLÓNÉ-KISS ATTILA: VERESEGYHÁZ, 298/2HRSZ, TEMETŐ U. 4. 608NM INGATLAN VÉTELÁR</t>
  </si>
  <si>
    <t>Z15/494</t>
  </si>
  <si>
    <t>BECSEY BALÁZS LÁSZLÓ: VERESEGYHÁZ, 298/2HRSZ, TOMPA M. U. 2. 545NM INGATLAN VÉTELÁR</t>
  </si>
  <si>
    <t>Z15/440</t>
  </si>
  <si>
    <t>AMBRUZS FERENC: ERDŐKERTES 3908HRSZ LOMB U. 21. 861NM TELEK VÉTELÁR</t>
  </si>
  <si>
    <t>Z15/421</t>
  </si>
  <si>
    <t>NAGY IMRE-NAGY IMRÉNÉ: 730HRSZ 638NM INGATLAN VÉTELÁR (PÁZMÁNY U 24)</t>
  </si>
  <si>
    <t>1512122</t>
  </si>
  <si>
    <t>Z14/1018</t>
  </si>
  <si>
    <t>RÓMAI KAOLIKUS EGYHÁZKÖZSÉG: VERESEGYHÁZ 041HRSZ 2413NM,042HRSZ 2586NM INGATLAN VÉTELÁR - KÖZTÉR LÉTESÍTÉS</t>
  </si>
  <si>
    <t>Z15/20</t>
  </si>
  <si>
    <t>Z15/26</t>
  </si>
  <si>
    <t>Z15/28</t>
  </si>
  <si>
    <t>Z15/40</t>
  </si>
  <si>
    <t>1512131</t>
  </si>
  <si>
    <t>Z14/738</t>
  </si>
  <si>
    <t xml:space="preserve">BÉRLAKÁS VÁSÁRLÁS </t>
  </si>
  <si>
    <t>Z14/739</t>
  </si>
  <si>
    <t>Z15/174</t>
  </si>
  <si>
    <t>TP KOMPLEX BERUHÁZÓ ZRT:  BÖLCSŐDE U. 1. 5785/152HRSZ 13 LAKÁSOS LAKÓÉPÜLET VÉTELÁR (MINERVA HÁZ)</t>
  </si>
  <si>
    <t>Z15/232</t>
  </si>
  <si>
    <t>TP KOMPLEX BERUHÁZÓ ZRT:  KERTÉSZ U. 5. 5785/141HRSZ 13 LAKÁSOS LAKÓÉPÜLET VÉTELÁR (THÁLIA HÁZ)</t>
  </si>
  <si>
    <t>Z14/663</t>
  </si>
  <si>
    <t>TIGÁZ DSO FÖLDGÁZELOSZTÓ KFT: CSATLAKOZÁSI DÍJ VISSZATÉRÍTÉS KERTÉSZ UTCA 5785/148 HRSZ</t>
  </si>
  <si>
    <t>151214</t>
  </si>
  <si>
    <t>042 220 Erdőgazdálkodás</t>
  </si>
  <si>
    <t xml:space="preserve">ERDŐTELEPÍTÉS </t>
  </si>
  <si>
    <t>ERDŐTELEPÍTÉS</t>
  </si>
  <si>
    <t>Z15/301</t>
  </si>
  <si>
    <t>ER-TERV BT: ŐRBOTTYÁN 0110/3,/4HRSZ CSEREERDŐ TALAJELŐKÉSZÍTÉS, TELEPÍTÉS</t>
  </si>
  <si>
    <t>Z15/302</t>
  </si>
  <si>
    <t>ER-TERV BT: TERVDOKUMENTÁCIÓ CSEREERDŐ TELEPÍTÉS ŐRBOTTYÁN0130/49HRSZ, VERESEGYHÁZ083HRSZ</t>
  </si>
  <si>
    <t>Z15/446</t>
  </si>
  <si>
    <t>ER-TERV BT: ERDŐTELEPÍTÉSI TERV KÉSZÍTÉSE ŐRBOTTYÁN 0110/3;/4 HRSZ</t>
  </si>
  <si>
    <t>Z15/447</t>
  </si>
  <si>
    <t>Z14/807</t>
  </si>
  <si>
    <t>FA</t>
  </si>
  <si>
    <t>EGYÉB TERMÁL REND.KIÉP.</t>
  </si>
  <si>
    <t>Z14/808</t>
  </si>
  <si>
    <t>EI ÁTCSOP</t>
  </si>
  <si>
    <t xml:space="preserve">TERMÁLVEZETÉK ÉPÍTÉS </t>
  </si>
  <si>
    <t>EI ÁTCSOPORTOSÍTÁS =&gt; IDŐSEK OTTHONA</t>
  </si>
  <si>
    <t>EI ÁTCSOPORTOSÍTÁS =&gt; IV. TERMÁLKÚT GÉPÉSZETI TECHNOLÓGI KIVITELEZÉS</t>
  </si>
  <si>
    <t>Z15/442</t>
  </si>
  <si>
    <t>NO-LA BT: TERMÁLVEZETÉK ÉPÍTÉS KIVITELEZÉSE A KISRÉT UTCÁBAN</t>
  </si>
  <si>
    <t>Z15/194</t>
  </si>
  <si>
    <t>PORCIÓ KFT: GE AVIATION GYÁRBŐVÍTÉS - TERMÁL RENDSZER KIVITELEZÉSE</t>
  </si>
  <si>
    <t>Z15/429</t>
  </si>
  <si>
    <t>VERESEGYHÁZI VÁROSFEJLESZTŐ KFT: TERMÁLVEZETÉK ÉPÍTÉS KOORDINÁLÁSA 4.SZÁMÚ TERMÁLKÚTHOZ</t>
  </si>
  <si>
    <t>Z15/479</t>
  </si>
  <si>
    <t>CSÍKY ÉS TÁRSA KKT: MŰSZAKI ELLENŐRZÉS TERMÁLVEZETÉK ÉPÍTÉS A KISRÉT U.-BAN</t>
  </si>
  <si>
    <t>Z14/368</t>
  </si>
  <si>
    <t>Z14/474</t>
  </si>
  <si>
    <t>Z14/948</t>
  </si>
  <si>
    <t>Z15/136</t>
  </si>
  <si>
    <t>ELMŰ HÁLÓZATI KFT: VISSZASAJTOLÓ KÚT ENERGIA BŐVÍTÉS</t>
  </si>
  <si>
    <t>Z15/443</t>
  </si>
  <si>
    <t>PORCIÓ KFT: IV.TERMÁLKÚT GÉPÉSZETI TECHNOLÓGIA KIVITELEZÉS</t>
  </si>
  <si>
    <t>Z15/398</t>
  </si>
  <si>
    <t>PINTÉR BALÁZS: IV. TERMÁLKÚT SZIVATTYÚHÁZÁNAK ÉPÍTÉSI ENGEDÉLYEZÉSI ÉS KIVITELI TERVEK</t>
  </si>
  <si>
    <t>Z15/431</t>
  </si>
  <si>
    <t>VERES FA-LAK-AT KFT: VERESEGYHÁZI SZIVATTYÚ GÉPHÁZ ÉPÍTÉSE</t>
  </si>
  <si>
    <t>IV. TERMÁLKÚT FÚRÁS KORREKCIÓ</t>
  </si>
  <si>
    <t>045120 Út, autópálya építése</t>
  </si>
  <si>
    <t>Z14/623</t>
  </si>
  <si>
    <t>UTAK KÖZBESZERZÉS</t>
  </si>
  <si>
    <t>Z14/593</t>
  </si>
  <si>
    <t>UTAK</t>
  </si>
  <si>
    <t>Z14/594</t>
  </si>
  <si>
    <t>Z14/596</t>
  </si>
  <si>
    <t>Z14/708</t>
  </si>
  <si>
    <t>Z14/709</t>
  </si>
  <si>
    <t>Z14/710</t>
  </si>
  <si>
    <t>Z14/711</t>
  </si>
  <si>
    <t>Z14/712</t>
  </si>
  <si>
    <t>Z14/898</t>
  </si>
  <si>
    <t>Z14/951</t>
  </si>
  <si>
    <t>Z14/931</t>
  </si>
  <si>
    <t>Z14/932</t>
  </si>
  <si>
    <t>Z14/933</t>
  </si>
  <si>
    <t>Z14/991</t>
  </si>
  <si>
    <t>Z14/998</t>
  </si>
  <si>
    <t>Z14/1010</t>
  </si>
  <si>
    <t>Z14/1011</t>
  </si>
  <si>
    <t>Z12/527</t>
  </si>
  <si>
    <t>Z13/247</t>
  </si>
  <si>
    <t>Z15/2</t>
  </si>
  <si>
    <t>Z15/197</t>
  </si>
  <si>
    <t>SKS TERV KFT: ÚTÉPÍTÉS ENGEDÉLYES KIVITELI TERVEK 6 DB UTCA</t>
  </si>
  <si>
    <t>Z15/196</t>
  </si>
  <si>
    <t>SKS TERV KFT: VICZINÁN U. 2104-ES J. KÖZÚT KÖRFORGALOM ENGEDÉLYEZÉSI TERV</t>
  </si>
  <si>
    <t>Z15/198</t>
  </si>
  <si>
    <t xml:space="preserve">SKS TERV KFT: ANDRÁSSY ÚT KÖRFORGALOM TANULMÁNTERV </t>
  </si>
  <si>
    <t>Z15/37</t>
  </si>
  <si>
    <t>Z15/53</t>
  </si>
  <si>
    <t>Z15/80</t>
  </si>
  <si>
    <t>Z15/127</t>
  </si>
  <si>
    <t>BLOGÉK KFT: REGE U. ÚTALAP ÉPÍTÉS (HARANGKÚT U.-BARÁZDA U.-IG)</t>
  </si>
  <si>
    <t>Z15/143</t>
  </si>
  <si>
    <t>B ÉS M ÉPÍTŐ BT: MESTER U. MEGHOSSZABBÍTÁSA, TÉRKŐBURKOLATÚ PARKOLÓ ÉPÍTÉSE</t>
  </si>
  <si>
    <t>Z15/139</t>
  </si>
  <si>
    <t>EKO SPEKTRUM KFT:  FŐ ÚT 17+575KM SZELVÉNYÉBEN GYALOGOS ÁTKELŐHELY LÉTESÍTÉSE</t>
  </si>
  <si>
    <t>Z15/140</t>
  </si>
  <si>
    <t>UCS-TERV MÉRNÖKIRODA KFT: MŰSZAKI ELLENŐRZÉS FŐ ÚT 17+575 KM SZELVÉNYÉBEN ÁTKELŐHELY LÉTESÍTÉS</t>
  </si>
  <si>
    <t>Z15/141</t>
  </si>
  <si>
    <t>SWIETELSKY MAGYARORSZÁG KFT: RÖNK,HORDÓ,FILLÉR,DUKÁT,PATAK KÖZ UTCÁK ÚTÉPÍTÉS</t>
  </si>
  <si>
    <t>Z15/142</t>
  </si>
  <si>
    <t>SWIETELSKY MAGYARORSZÁG KFT: TÓ, FÁCÁNSOR, RIGÓ UTCÁK ÚTÉPÍTÉSE</t>
  </si>
  <si>
    <t>Z15/151</t>
  </si>
  <si>
    <t>SKS TERV KFT: FÁCÁN,DARU,FÜRJ,RIGÓ,SIRÁLY,ÁRPÁD,TAVASZ U. ÚTÉPÍTÉSI, CSAPADÉKELVEZETÉSI TERVEK ELKÉSZÍTÉSE, ENGEDÉLYEZTETÉSI ELJÁRÁS LEFOLYTATÁSA</t>
  </si>
  <si>
    <t>Z15/161</t>
  </si>
  <si>
    <t>B ÉS M ÉPÍTŐ BT: HARMÓNIA U. 3DB FORGALOM LASSÍTÓ SZIGET ÉPÍTÉSE</t>
  </si>
  <si>
    <t>Z15/162</t>
  </si>
  <si>
    <t>B ÉS M ÉPÍTŐ BT: KÁLVIN U. JÁRDAÉPÍTÉSE (KÁLVIN TÉR SAROK-NEVELÉSI TANÁCSAD.)</t>
  </si>
  <si>
    <t>Z15/163</t>
  </si>
  <si>
    <t>MONOVIA BT: GE PARKOLÓ (LÉVAI U.) ÚTALAP ÉPÍTÉS</t>
  </si>
  <si>
    <t>Z15/199</t>
  </si>
  <si>
    <t>SKS TERV KFT: GYALOGOS ÁTKELŐHELYEK, KÖRFORGALOM,KERÉKPÁRÚT NYOMVONAL TERV</t>
  </si>
  <si>
    <t>Z15/229</t>
  </si>
  <si>
    <t>SWIETELSKY MAGYARORSZÁG KFT: KISGYÖNGYÖS,DÉNÁR,MESTER UTCÁK ÚTÉPÍTÉSE</t>
  </si>
  <si>
    <t>Z15/230</t>
  </si>
  <si>
    <t>SWIETELSKY MAGYARORSZÁG KFT: REGE,RÉT,BARÁZDA UTCÁK ÚTÉPÍTÉSE</t>
  </si>
  <si>
    <t>Z15/248</t>
  </si>
  <si>
    <t>B ÉS M ÉPÍTŐ BT: KÁLVIN UTCA JÁRDAÉPÍTÉS- AKADÁLYMENTESÍTÉS</t>
  </si>
  <si>
    <t>Z15/249</t>
  </si>
  <si>
    <t>SKS TERV KFT: VERESEGYHÁZ PATAK UTCA ÚTÉPÍTÉSI ENGEDÉLYES TERV ELKÉSZÍTÉSE</t>
  </si>
  <si>
    <t>Z15/251</t>
  </si>
  <si>
    <t>B ÉS M ÉPÍTŐ BT: DÖBRENTEI GÁBOR UTCA ÚTALAP ÉPÍTÉS</t>
  </si>
  <si>
    <t>Z15/254</t>
  </si>
  <si>
    <t>MONOVIA BT: 10 BUSZMEGÁLLÓ TÉRKÖVEZÉSE</t>
  </si>
  <si>
    <t>Z15/273</t>
  </si>
  <si>
    <t>B ÉS M ÉPÍTŐ BT: SZEMERE U. ÚTÉPÍTÉS (SZÉCHENYI TÉR-CSERJE U. KÖZÖTT)</t>
  </si>
  <si>
    <t>Z15/274</t>
  </si>
  <si>
    <t>B ÉS M ÉPÍTŐ BT: VÁSÁRHELYI ÉS RÁDAY U. KÖZÖTT ÚTÉPÍTÉS 105FM HOSSZBAN</t>
  </si>
  <si>
    <t>Z15/283</t>
  </si>
  <si>
    <t>EKOSPEKTRUM KFT: FŐ ÚT 17+575KM SZELVÉNYÉBEN GYALOGOS ÁTKELŐHELY ÉPÍTÉSE</t>
  </si>
  <si>
    <t>Z15/303</t>
  </si>
  <si>
    <t>B ÉS M ÉPÍTŐ BT: TAVASZ U. FORGALOMLASSÍTÓ SZIGET ÉPÍTÉSE</t>
  </si>
  <si>
    <t>Z15/304</t>
  </si>
  <si>
    <t>B ÉS M ÉPÍTŐ BT: KÁLVIN U. INNOVÁCIÓS KÖZPONT TÉRBURKOLATOS PARKOLÓ ÉPÍTÉSE</t>
  </si>
  <si>
    <t>Z15/305</t>
  </si>
  <si>
    <t xml:space="preserve">B ÉS M ÉPÍTŐ BT: KARACS TERÉZ U. ÚTÉPÍTÉS </t>
  </si>
  <si>
    <t>Z15/376</t>
  </si>
  <si>
    <t>BLOGÉK KFT: HARANGKÚT UTCA FOLYT., ERDEI ÚT ÚTALAP ÉPÍTÉSI MUNKÁI</t>
  </si>
  <si>
    <t>Z15/413</t>
  </si>
  <si>
    <t>UCS-TERV MÉRNÖKIRODA KFT: MŰSZAKI ELLENŐRZÉS KÖNYVES KÖRFORG. ZEBRA,CSATLAKOZÓ JÁRDA</t>
  </si>
  <si>
    <t>Z15/414</t>
  </si>
  <si>
    <t>PENTA KFT: KÖNYVES K. KÖRGORG. GYALOGOS ÁTKELŐHELY,JÁRDA ÉPÍTÉSE</t>
  </si>
  <si>
    <t>Z14/1009</t>
  </si>
  <si>
    <t>Z15/463</t>
  </si>
  <si>
    <t xml:space="preserve">SKS TERV KFT: FÁCÁN U.,CSATLAKOZÓ UTCÁK ENGEDÉLYES TERV,ÉPÍTÉSI ENGEDÉLYEK         </t>
  </si>
  <si>
    <t>151292</t>
  </si>
  <si>
    <t>Z15/22</t>
  </si>
  <si>
    <t>KISÉRTÉKŰ EGYÉB GÉP BERENDEZÉS BESZERZÉS</t>
  </si>
  <si>
    <t>Z15/50</t>
  </si>
  <si>
    <t>Z15/24</t>
  </si>
  <si>
    <t>EGYÉB GÉP, TÁRGYI ESZKÖZ BESZERZÉS</t>
  </si>
  <si>
    <t>EGYÉB SZENNYVÍZCSATORNA ÉPÍTÉS</t>
  </si>
  <si>
    <t>Z12/360</t>
  </si>
  <si>
    <t>ÁLOMHEGYI VÍZTÁROZÓ</t>
  </si>
  <si>
    <t>Z15/428</t>
  </si>
  <si>
    <t>VERESEGYHÁZI VÁROSFEJLESZTŐ KFT: ÁLOMHGYI VÍZTÁROZÓ ZSILIP,GÁT ÉPÍTÉS,TÓMÉLYÍTÉS KOORDINÁLÁS</t>
  </si>
  <si>
    <t>Z14/981</t>
  </si>
  <si>
    <t>VILLANYHÁLÓZAT ÉPÍTÉS</t>
  </si>
  <si>
    <t>Z14/982</t>
  </si>
  <si>
    <t>Z14/983</t>
  </si>
  <si>
    <t>Z15/6</t>
  </si>
  <si>
    <t>Z15/135</t>
  </si>
  <si>
    <t>JUKO KFT: VICZIÁN U. KÖZVILÁGÍTÁS LÉTESÍTÉS (KÚTFŐ-LÉVAI U.)</t>
  </si>
  <si>
    <t>Z15/234</t>
  </si>
  <si>
    <t>JUKO KFT: BUDAPESTI ÚT-PACSIRTA U.SAROK GYALOGOSÁTKELŐ VILÁGÍTÁS LÉT.</t>
  </si>
  <si>
    <t>Z15/277</t>
  </si>
  <si>
    <t>JUKO KFT: SZŐLŐFÜRT U. KÖZVILÁGÍTÁSI HÁLÓZAT BŐVÍTÉS</t>
  </si>
  <si>
    <t>Z15/427</t>
  </si>
  <si>
    <t>JUKO KFT: KÖNYVES K. - BP-I ÚT KÖRFORGALOM KÖZVILÁGÍTÁS BŐVÍTÉS</t>
  </si>
  <si>
    <t>KÖZVILÁGÍTÁS KORSZERŰSÍTÉS PÁLYÁZAT</t>
  </si>
  <si>
    <t>PERFECT PROJECT KFT: VERESEGYHÁZ KÖZVILÁGÍTÁS KORSZERŰSÍTÉS ENERGETIKAI AUDIT</t>
  </si>
  <si>
    <t>Z14/78</t>
  </si>
  <si>
    <t>CSAPADÉK CSATORNA ÉPÍTÉS</t>
  </si>
  <si>
    <t>Z14/598</t>
  </si>
  <si>
    <t>Z14/602</t>
  </si>
  <si>
    <t>Z15/125</t>
  </si>
  <si>
    <t>BLOGÉK KFT: DUKÁT U. CSAPADÉKVÍZ ELVEZETŐ VÍZNYELŐAKNA ÉPÍTÉSE</t>
  </si>
  <si>
    <t>Z15/126</t>
  </si>
  <si>
    <t>B ÉS M ÉPÍTŐ BT: MESTER U. CSPADÉKCSATORNA ÉPÍTÉSE</t>
  </si>
  <si>
    <t>Z15/441</t>
  </si>
  <si>
    <t>Z15/173</t>
  </si>
  <si>
    <t>MONOVIA BT: TAS UTCA CSAPADÉKCSATORNA BEKÖTÉS</t>
  </si>
  <si>
    <t>Z15/159</t>
  </si>
  <si>
    <t>PLASTFER KFT: RÉT U. CSAPADÉKVÍZ ELVEZETÉSHEZ TOKOS CSATORNACSŐ VÁSÁRLÁSA</t>
  </si>
  <si>
    <t>Z15/243</t>
  </si>
  <si>
    <t>PLASTFER KFT: ÖNTÖTTVAS CSATORNA FEDLAP BESZERZÉS CSAPADÉKVÍZ ÉPÍTÉSHEZ</t>
  </si>
  <si>
    <t>Z15/337</t>
  </si>
  <si>
    <t>B ÉS M ÉPÍTŐ BT: CSAPADÉKVÍZ CSATORNA ÉPÍTÉS VÁSÁRHELYI U.-BAN</t>
  </si>
  <si>
    <t>Z15/339</t>
  </si>
  <si>
    <t>B ÉS M ÉPÍTŐ BT: VÁSÁRHELYI U. CSAPADÉKVÍZ CSATORNA ÉPÍTÉS (CSERJE - KARACS T. U. KÖZÖTT)</t>
  </si>
  <si>
    <t>Z15/375</t>
  </si>
  <si>
    <t>BLOGÉK KFT: CSAPADÉKVÍZ ELVEZETÉS BŐVÍTÉSE PATAK U-MEDVEFARM PÉNZTÁR</t>
  </si>
  <si>
    <t>Z14/877</t>
  </si>
  <si>
    <t>IVACSI MEGÁLLÓ KIHANGOSÍTÓ RENDSZER ÉPÍTÉS</t>
  </si>
  <si>
    <t>Z15/10</t>
  </si>
  <si>
    <t>Z15/417</t>
  </si>
  <si>
    <t>DOBOS ÉS IVÁCSON FÁY U. KÖLCSEY U. SAROK STREEWORKOUT PÁLYA BŐVÍTÉSE</t>
  </si>
  <si>
    <t>151291</t>
  </si>
  <si>
    <t>Z15/144</t>
  </si>
  <si>
    <t>P+R KAMERARENDSZER</t>
  </si>
  <si>
    <t>FALCON-POOL SECURITY KFT KFT: VERESEGYHÁZ - P+R KAMERARENDSZER CSERÉJE</t>
  </si>
  <si>
    <t>1512133</t>
  </si>
  <si>
    <t>ÚJ SPORTCSARNOK</t>
  </si>
  <si>
    <t>Z15/155</t>
  </si>
  <si>
    <t>DOBOS ÉS IVÁCSON ÉPÍTŐMESTER KFT: BUDAPESTI ÚTI RÉGI ÖNTŐDE BONTÁSI MUNKÁI</t>
  </si>
  <si>
    <t>Z15/156</t>
  </si>
  <si>
    <t>Z15/233</t>
  </si>
  <si>
    <t>KRIZSÁN MIHÁLY: TERÜLETTAKARÍTÁS (VOLT BETONÜZEM)</t>
  </si>
  <si>
    <t>Z15/90</t>
  </si>
  <si>
    <t>Z15/74</t>
  </si>
  <si>
    <t>VERESEGYHÁZI VÁROSFEJLESZTŐ KFT: SZAKTANÁCSADÓI FELADATOK TERMÁL ÉS GYÓGYFÜRDŐ FEJLESZTÉS</t>
  </si>
  <si>
    <t>Z15/108</t>
  </si>
  <si>
    <t>ELMŰ HÁLÓZATI KFT: MOGYORÓDI U. FÜRDŐ KOMPLEXUM 1869/5HRSZ HÁLÓZAT LÉTESÍTÉS</t>
  </si>
  <si>
    <t>Z15/102</t>
  </si>
  <si>
    <t>PENTA KFT: MÉZESVÖLGYI ALKÖZPONT SZENNYVÍZCSATORNA ÁTALAKÍTÁS</t>
  </si>
  <si>
    <t>Z15/270</t>
  </si>
  <si>
    <t>Z15/475</t>
  </si>
  <si>
    <t>JUKO KFT: MÉZESVÖLGY, FÜRDŐ ÉS KÖRNYZETE VILLAMOS HÁLÓZAT TERVEZÉSE</t>
  </si>
  <si>
    <t>Z15/444</t>
  </si>
  <si>
    <t>ILLÉSMESTER KFT: TÁJHÁZ FELÚJÍTÁS KIVITELEZÉS</t>
  </si>
  <si>
    <t>Z14/654</t>
  </si>
  <si>
    <t>TARTALÉKKERET NÖVELÉS 2015.04.10.</t>
  </si>
  <si>
    <t>Z15/396</t>
  </si>
  <si>
    <t>PROKAR MBH: 5 DB ELEKTROMOS MERCEDES GYEREKAUTÓ BESZERZÉSE MEDVEOTTHONBA</t>
  </si>
  <si>
    <t>Z14/1007</t>
  </si>
  <si>
    <t xml:space="preserve">ÚJ RÓMAI KAT.TEMPLOM ÉP. </t>
  </si>
  <si>
    <t>Z15/130</t>
  </si>
  <si>
    <t>Z15/131</t>
  </si>
  <si>
    <t>CSÍKY ÉS TÁRSA KKFT: ÚJ RÓMAI KATOLIKUS TEMPLOM ÉPÍTÉS KÖZBESZERZÉS</t>
  </si>
  <si>
    <t>Z15/132</t>
  </si>
  <si>
    <t>CSÍKY ÉS TÁRSA KKFT: ÚJ RÓMAI KATOLIKUS TEMPLOM ÉPÍTÉS MŰSZAKI ELLENŐRZÉSE</t>
  </si>
  <si>
    <t>ELŐIRÁNYZAT NÖVELÉS TÖBBLETBEVÉTEL MIATT 7/2015 (V.4) KT RENDELET</t>
  </si>
  <si>
    <t>Z15/281</t>
  </si>
  <si>
    <t>ZAÉV ÉPÍTŐIPARI ZRT - LATEREX ÉPÍTŐ ZRT:  ÚJ RÓMAI KATOLIKUS TEMPLOM ÉPÍTÉSE</t>
  </si>
  <si>
    <t>Z15/282</t>
  </si>
  <si>
    <t>Z15/357</t>
  </si>
  <si>
    <t>GÁL LEHEL JÓZSEF: ÚJ KATOLIKUS TEMPLOM - DÍSZÜVEGEZÉSI MUNKÁI</t>
  </si>
  <si>
    <t>Z15/358</t>
  </si>
  <si>
    <t>SZÉP MŰ BT: ÚJ KATOLIKUS TEMPLOM FESZÍTETT KRISZTUS SZOBOR KÉSZÍTÉS</t>
  </si>
  <si>
    <t>Z15/365</t>
  </si>
  <si>
    <t>KUN ÉVA: ÚJ KATOLIKUS TEMPLOM KERÁMIA DÍSZEK LEGYÁRTÁSA</t>
  </si>
  <si>
    <t>Z15/366</t>
  </si>
  <si>
    <t>PALMETTA MŰVEK BT: ÚJ KATOLIKUS TEMPLOM KERÁMIA DÍSZEK LEGYÁRTÁSA</t>
  </si>
  <si>
    <t>Z15/392</t>
  </si>
  <si>
    <t>ERSTYL MŰVÉSZETI SZOLGÁLTATÓ BT: ÚJ KATOLIKUS TEMPLOM 12DB APOSTOL SZOBOR KIVIETLEZÉSE</t>
  </si>
  <si>
    <t>Z15/310</t>
  </si>
  <si>
    <t>NAGY LÁSZLÓ: ÚJ RK TEMPLOM KIVIETLEZÉS ÉPÍTÉSZETI MŰVEZETÉS</t>
  </si>
  <si>
    <t>Z13/779</t>
  </si>
  <si>
    <t xml:space="preserve">ISKOLA EMELET RÁÉP. </t>
  </si>
  <si>
    <t>Z14/106</t>
  </si>
  <si>
    <t>Z14/358</t>
  </si>
  <si>
    <t>Z14/540</t>
  </si>
  <si>
    <t>Z14/541</t>
  </si>
  <si>
    <t>Z14/653</t>
  </si>
  <si>
    <t>Z14/586</t>
  </si>
  <si>
    <t>FJ. ÁLT. ISK</t>
  </si>
  <si>
    <t>Z15/33</t>
  </si>
  <si>
    <t>168/2015. (VII.3.) KT HATÁROZAT ALAPJÁN ELŐIRÁNYZAT CSÖKKENTÉS =&gt;TARTALÉKKERET NÖVELÉS CÉLJÁBÓL</t>
  </si>
  <si>
    <t>Z15/27</t>
  </si>
  <si>
    <t>056421</t>
  </si>
  <si>
    <t>Z15/8</t>
  </si>
  <si>
    <t>ÚJ GIMNÁZIUM ÉPÍTÉS</t>
  </si>
  <si>
    <t>102 021 Időskorúak , demens betegek tartós bentlakásos ellátása</t>
  </si>
  <si>
    <t>Idősek otthona</t>
  </si>
  <si>
    <t>IDŐSEK OTTHONA KONYHABŐVÍTÉS</t>
  </si>
  <si>
    <t>05713</t>
  </si>
  <si>
    <t>1522133</t>
  </si>
  <si>
    <t>Z14/1004</t>
  </si>
  <si>
    <t>REFORMÁTUS RAVATALOZÓ</t>
  </si>
  <si>
    <t>ILLÉSMESTER KFT: REF TEMETŐ RAVATALOZÓ TETŐSZERKEZET-VÉDŐTETŐ ÖSSZEKAPCSOLÁSA</t>
  </si>
  <si>
    <t>05712</t>
  </si>
  <si>
    <t>Z15/3</t>
  </si>
  <si>
    <t xml:space="preserve">VÁROSI BÉRLEMÉNYEK </t>
  </si>
  <si>
    <t>05732</t>
  </si>
  <si>
    <t>152231</t>
  </si>
  <si>
    <t>Z15/23</t>
  </si>
  <si>
    <t>SZENNYVÍZ SZIVATTYÚ</t>
  </si>
  <si>
    <t>Z15/25</t>
  </si>
  <si>
    <t>Z15/56</t>
  </si>
  <si>
    <t xml:space="preserve">RÓMAI KATOLIKUS PLEBÁNIA </t>
  </si>
  <si>
    <t>FŐ TÉRI SZÖKŐKÚT</t>
  </si>
  <si>
    <t>152214</t>
  </si>
  <si>
    <t>Z15/200</t>
  </si>
  <si>
    <t>T.M. HIDRO-SZER KFT: PH ELŐTTI SZÖKŐKÚT JAVÍTÁSI, FELÚJÍTÁSI MUNKÁK</t>
  </si>
  <si>
    <t>Z13/155</t>
  </si>
  <si>
    <t xml:space="preserve">MŰVELŐDÉSI HÁZ FELÚJÍTÁS </t>
  </si>
  <si>
    <t>Z13/196</t>
  </si>
  <si>
    <t>aam</t>
  </si>
  <si>
    <t>Z13/200</t>
  </si>
  <si>
    <t>Z13/213</t>
  </si>
  <si>
    <t>Z13/214</t>
  </si>
  <si>
    <t>Z15/45</t>
  </si>
  <si>
    <t>NAGY LÁSZLÓ: RK TEMPLOM RÉGÉSZETI,MŰV.TÖRTÉNETI FELTÁRÁSOK KIVITELI TERV</t>
  </si>
  <si>
    <t>Z15/430</t>
  </si>
  <si>
    <t>VERESMESTER INGATLANFEJLESZTŐ KFT: MÉZESVÖLGYI ÁLT.ISK. MELEGBURKOLAT CSERÉK ÉS JAVÍTÁSI MUNKÁK</t>
  </si>
  <si>
    <t>SZÉCHENYI TÉRI ÓVODA ÁTÉPÍTÉS</t>
  </si>
  <si>
    <t>Z15/400</t>
  </si>
  <si>
    <t>VERESMESTER INGATLANFEJLESZTŐ KFT: SZÉCHENYI TÉRI ÓVODA BŐVÍTÉS TEREPRENDEZÉS,TELEKALAKÍTÁS</t>
  </si>
  <si>
    <t>Z15/399</t>
  </si>
  <si>
    <t>AXIS ÉPÍTÉSZIRODA KFT: LÉVAI U.-I ÓVODA FELÚJÍTÁS,BŐVÍTÉS,ÉP ENG-I,KIVITEI TERVEK</t>
  </si>
  <si>
    <t>Z15/98</t>
  </si>
  <si>
    <t>AQUA OPTIMA KFT - DOT -COMPKER ACCESSORIES KFT: VÍRUSIRTÓ VÁSÁRLÁSA</t>
  </si>
  <si>
    <t>Z15/5</t>
  </si>
  <si>
    <t>Z15/72</t>
  </si>
  <si>
    <t>PCX KFT: KÁBEL,SWITCH,TÁPEGYSÉG VÁSÁRLÁS</t>
  </si>
  <si>
    <t>Z15/91</t>
  </si>
  <si>
    <t>GLOBOMAX ZRT: MIKROVOKS VEZÉRLŐ LAPTOP ÉS WINDOWS VÁSÁRLÁSA</t>
  </si>
  <si>
    <t>GLOBOMAX ZRT: MIKROVOKS 7 UPGRADE,OKTATÁS</t>
  </si>
  <si>
    <t>P15/125</t>
  </si>
  <si>
    <t>AUCHAN MAGYARORSZÁG KFT: FÉNYKÉPEZŐGÉP KÁRTYA BESZERZÉS (FUJI DIGITÁLIS)</t>
  </si>
  <si>
    <t>Z15/4</t>
  </si>
  <si>
    <t>TÍMÁR VASKERESKEDELMI KFT: PH KARBANTARTÁSÁHOZ MUNKA ESZKÖZÖK BESZERZÉSE</t>
  </si>
  <si>
    <t xml:space="preserve">DANTE INTERNATIONAL SA: PHILIPS SAECO MOLTIO HD8769/19 ESZPRESSO KÁVÉFŐZŐ VÁSÁRLÁS  </t>
  </si>
  <si>
    <t>D PROJEKT BÚTOR KFT: PH TITKÁRSÁG RÉSZÉRE CSERESZNYE SZÍNŰ IRODABÚTOROK VÁSÁRLÁSA</t>
  </si>
  <si>
    <t>Z15/81</t>
  </si>
  <si>
    <t xml:space="preserve">D PROJEKT BÚTOR KFT: PH RÉSZÉRE IRODABÚTOROK VÁSÁRLÁSA                           </t>
  </si>
  <si>
    <t>P15/24</t>
  </si>
  <si>
    <t>TELENOR ZRT: MOBIL TELEFON VÉTELÁR (MÁDL HAJNALKA)</t>
  </si>
  <si>
    <t>AUCHAN MAGYARORSZÁG KFT: FÉNYKÉPEZŐGÉP BESZERZÉS (FUJI DIGITÁLIS)</t>
  </si>
  <si>
    <t>Z15/95</t>
  </si>
  <si>
    <t>JÁRMŰ BESZERZÉS, LÉTESÍTÉS</t>
  </si>
  <si>
    <t>PÁGYOR MIHÁLYNÉ: OPEL ASTRA GÉPJÁRMŰ VÁSÁRLÁS NDN-948</t>
  </si>
  <si>
    <t>031 030 Közterület rendjének fenntartása</t>
  </si>
  <si>
    <t>Z15/67</t>
  </si>
  <si>
    <t>KÖZPONTI GAZDASÁGI ELLÁTÓ IGAZGATÓSÁG: KÖZTERÜLET FELÜGYELŐ RÉSZRÉE BILINCS, TONFA, KÖNNYGÁZ SPARY BESZERZÉS</t>
  </si>
  <si>
    <t>2015.MÓD.</t>
  </si>
  <si>
    <t>2015.TELJ.</t>
  </si>
  <si>
    <t>eredeti</t>
  </si>
  <si>
    <t>mód.</t>
  </si>
  <si>
    <t>telj.</t>
  </si>
  <si>
    <t>B6</t>
  </si>
  <si>
    <t>Függő bevétel</t>
  </si>
  <si>
    <t>BEVÉTELEK</t>
  </si>
  <si>
    <t>Függő kiadások</t>
  </si>
  <si>
    <t>KIADÁSOK</t>
  </si>
  <si>
    <t>PÉNZKÉSZLET (bev.-kiad.)</t>
  </si>
  <si>
    <t>27.1.9. melléklet</t>
  </si>
  <si>
    <t>adatok ezer Ft-ban</t>
  </si>
  <si>
    <t xml:space="preserve">B65. Egyéb működési célú átvett pénzeszközök </t>
  </si>
  <si>
    <t>K502. Elvonások és befizetések</t>
  </si>
  <si>
    <t>Meseliget Bölcsöde</t>
  </si>
  <si>
    <t>12.9. melléklet</t>
  </si>
  <si>
    <t>K513 Tartalékok</t>
  </si>
  <si>
    <t xml:space="preserve">GEOTERM. TERMÁLKÚT </t>
  </si>
  <si>
    <t>Veresegyházi Polgármesteri Hivatal tervezett beruházások összesen</t>
  </si>
  <si>
    <t>adatok Forintban</t>
  </si>
  <si>
    <t>K &amp; H</t>
  </si>
  <si>
    <t>Költségvetési intézmények beruházásai összesen</t>
  </si>
  <si>
    <t>Kisértékű egyéb eszközök beszerzése</t>
  </si>
  <si>
    <t>Személygépkocsi beszerzése</t>
  </si>
  <si>
    <t>Informatikai eszközök beszerzése</t>
  </si>
  <si>
    <t>Állatsimogató kialakítása</t>
  </si>
  <si>
    <t>Kisértékű tárgyi eszközök beszerzése(polcok, porszívó)</t>
  </si>
  <si>
    <t>Kölcsey Ferenc Könyvtár</t>
  </si>
  <si>
    <t>Könyvbeszerzés</t>
  </si>
  <si>
    <t>Informatikai eszközök és szoftverek beszerzése</t>
  </si>
  <si>
    <t>Kisértékű tárgyi eszközök beszerzése</t>
  </si>
  <si>
    <t>Innováció Centrum tűzjelző rendszerének üzemképessé tétele</t>
  </si>
  <si>
    <t>Kisértékű tárgyi eszközök elhasználódás miatti cseréje (porszívók)</t>
  </si>
  <si>
    <t>Meseliget Bölcsőde</t>
  </si>
  <si>
    <t>2 db számítógép bezserzése (a régi gépek elavultak, cseréjük a napi munkavégzés miatt szükséges)</t>
  </si>
  <si>
    <t>Fénymásoló, nyomtató beszerzése</t>
  </si>
  <si>
    <t>Kisértékű eszközök beszerzése (mosógépek, szőnyegek, stb.)</t>
  </si>
  <si>
    <t>Konyhai eszközök beszerzése (szeletelő, hűtő)</t>
  </si>
  <si>
    <t>Számítógép  beszerzése</t>
  </si>
  <si>
    <t>Hévízkút: búvárszivattyúk beszerzése (tartalék képzés), hőmennyiségmérők cseréje</t>
  </si>
  <si>
    <t>Medveotthon: hűtőgép, pénztárgépek cseréje</t>
  </si>
  <si>
    <t>Zeneiskola: hangszerek beszerzése</t>
  </si>
  <si>
    <t>Termálfürdő: pénztárgép, szárítógép beszerzése, víztartály cseréje</t>
  </si>
  <si>
    <t>Makita fúró-vésőgép "nagy"</t>
  </si>
  <si>
    <t>Stihl láncfűrészgép (362)</t>
  </si>
  <si>
    <t>CO hegesztő készülék (teljes fekszerelés)</t>
  </si>
  <si>
    <t>Kézi szalagcsiszoló</t>
  </si>
  <si>
    <t>Gérvágó</t>
  </si>
  <si>
    <t xml:space="preserve">Csatorna gyökérvágó mosófej </t>
  </si>
  <si>
    <t>Lapvibrátor</t>
  </si>
  <si>
    <t>Citroen tehergépkocsi</t>
  </si>
  <si>
    <t>Karbantartás elhasználódott kisértékű eszközök cseréje, új eszközök beszerzése</t>
  </si>
  <si>
    <t>Gyermekliget kapu csere</t>
  </si>
  <si>
    <t>Mezőőrség: éjjellátó, 2 db vadkamera</t>
  </si>
  <si>
    <t>Iskolai konyha: pohár mosogatógép, kisértékű eszközök</t>
  </si>
  <si>
    <t>Iskola bővítés kapcsán megkezdett eszközbeszerzések (bútorok)</t>
  </si>
  <si>
    <t>Sportlétesítmények/Uszoda: kisértékű sporteszközök pótlása, cseréje, távolugró gödör kialakítása</t>
  </si>
  <si>
    <t>Védőnői szolgálat egészségügyi eszközök</t>
  </si>
  <si>
    <t>Kertészet: 2 db Stihl fűkasza, 2 db Stihl motorosfűrész, magassági ágvágó, 2 db szívó-fúvó gép, aggregátor, szivattyú, rotációs kapa</t>
  </si>
  <si>
    <t>Városőrség kisértékű eszközök beszerzése</t>
  </si>
  <si>
    <t>Informatiai fejlesztés, szerver bővítés, munkaállomások cseréje, iktató program cseréje</t>
  </si>
  <si>
    <t>KÖLTSÉGVETÉSI INTÉZMÉNY ÖSSZESEN</t>
  </si>
  <si>
    <t>KÖTELELZŐ</t>
  </si>
  <si>
    <t>ÖNKÉNT VÁLLALT</t>
  </si>
  <si>
    <t>Teljesítés
2015.06.30.</t>
  </si>
  <si>
    <t>MÓDOSÍTOTT EI.
 2015.06.30.</t>
  </si>
  <si>
    <t>EI. MÓDOSÍTÁS
2015.06.30.</t>
  </si>
  <si>
    <t>EREDETI ELLŐIRÁNYZAT</t>
  </si>
  <si>
    <t>Költségvetési intézmények tervezett beruházási feladat 2015.év</t>
  </si>
  <si>
    <t>Költségvetési intézmény</t>
  </si>
  <si>
    <t>Költségvetési intézmények felújításai összesen</t>
  </si>
  <si>
    <t>Követ utca 14. Művelődési Ház büféjének felújítása</t>
  </si>
  <si>
    <t>Udvari játszótéri faeszközök felújítása</t>
  </si>
  <si>
    <t>A bölcsőde 2 (régi)egységének tisztasági festése</t>
  </si>
  <si>
    <t>Informatikai eszközök felújítása</t>
  </si>
  <si>
    <t>Fabriczius József Általános Iskola: lifit telefonos kapcsolatának felújítása</t>
  </si>
  <si>
    <t>Iskola bővítés kapcsán megkezdett eszközbeszerzések (függönyök, beltéri információs táblák)</t>
  </si>
  <si>
    <t>Sportlétesítmények/Uszoda: távolugró gödör kialakítása</t>
  </si>
  <si>
    <t>Hévízkút: SP90 és SP160 Franklin motor, SP90, SP160 búvárszivattyú felújítása</t>
  </si>
  <si>
    <t>Termálfürdő: medence burkola felújítása</t>
  </si>
  <si>
    <t>Gépjármű felújítás</t>
  </si>
  <si>
    <t>Költségvetési intézmények tervezett felújítási feladat 2015.év</t>
  </si>
  <si>
    <t>Veresegyház Város Önkormányzatának Idősek Otthona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</si>
</sst>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[$€-2]\ #,##0.00"/>
    <numFmt numFmtId="166" formatCode="#,##0_ ;[Red]\-#,##0\ "/>
  </numFmts>
  <fonts count="7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8"/>
      <name val="Arial CE"/>
      <charset val="238"/>
    </font>
    <font>
      <b/>
      <sz val="9"/>
      <name val="Arial CE"/>
      <charset val="238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sz val="7"/>
      <name val="Arial CE"/>
      <charset val="238"/>
    </font>
    <font>
      <sz val="1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7"/>
      <name val="Arial CE"/>
      <charset val="238"/>
    </font>
    <font>
      <b/>
      <sz val="7"/>
      <name val="Arial CE"/>
      <charset val="238"/>
    </font>
    <font>
      <b/>
      <i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3" fillId="0" borderId="0"/>
    <xf numFmtId="0" fontId="34" fillId="0" borderId="0"/>
    <xf numFmtId="0" fontId="33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41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0" fontId="1" fillId="0" borderId="0"/>
  </cellStyleXfs>
  <cellXfs count="133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1" xfId="0" applyFont="1" applyBorder="1"/>
    <xf numFmtId="0" fontId="0" fillId="0" borderId="1" xfId="0" applyBorder="1"/>
    <xf numFmtId="0" fontId="18" fillId="0" borderId="1" xfId="40" applyFont="1" applyBorder="1" applyAlignment="1">
      <alignment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" fontId="12" fillId="0" borderId="1" xfId="0" applyNumberFormat="1" applyFont="1" applyBorder="1"/>
    <xf numFmtId="0" fontId="20" fillId="0" borderId="1" xfId="0" applyFont="1" applyBorder="1" applyAlignment="1">
      <alignment vertical="center" wrapText="1"/>
    </xf>
    <xf numFmtId="0" fontId="16" fillId="0" borderId="0" xfId="40" applyAlignment="1"/>
    <xf numFmtId="0" fontId="19" fillId="0" borderId="0" xfId="0" applyFont="1" applyAlignment="1">
      <alignment horizontal="right"/>
    </xf>
    <xf numFmtId="0" fontId="12" fillId="0" borderId="0" xfId="0" applyFont="1" applyBorder="1"/>
    <xf numFmtId="16" fontId="12" fillId="0" borderId="0" xfId="0" applyNumberFormat="1" applyFont="1" applyBorder="1" applyAlignment="1">
      <alignment horizontal="right"/>
    </xf>
    <xf numFmtId="0" fontId="12" fillId="0" borderId="1" xfId="0" applyFont="1" applyBorder="1" applyAlignment="1"/>
    <xf numFmtId="0" fontId="20" fillId="0" borderId="1" xfId="0" applyFont="1" applyBorder="1" applyAlignment="1">
      <alignment horizontal="center" vertical="center"/>
    </xf>
    <xf numFmtId="0" fontId="20" fillId="0" borderId="0" xfId="0" applyFont="1" applyBorder="1"/>
    <xf numFmtId="0" fontId="12" fillId="0" borderId="0" xfId="0" applyFont="1" applyAlignment="1">
      <alignment horizontal="centerContinuous"/>
    </xf>
    <xf numFmtId="0" fontId="20" fillId="0" borderId="0" xfId="0" applyFont="1"/>
    <xf numFmtId="0" fontId="0" fillId="0" borderId="2" xfId="0" applyBorder="1" applyAlignment="1">
      <alignment horizontal="center"/>
    </xf>
    <xf numFmtId="3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/>
    </xf>
    <xf numFmtId="3" fontId="20" fillId="0" borderId="5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0" applyFont="1"/>
    <xf numFmtId="3" fontId="12" fillId="0" borderId="3" xfId="0" applyNumberFormat="1" applyFont="1" applyBorder="1" applyAlignment="1">
      <alignment horizontal="right" vertical="center"/>
    </xf>
    <xf numFmtId="3" fontId="20" fillId="0" borderId="3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right"/>
    </xf>
    <xf numFmtId="0" fontId="0" fillId="0" borderId="0" xfId="0" applyFill="1"/>
    <xf numFmtId="3" fontId="0" fillId="0" borderId="1" xfId="0" applyNumberFormat="1" applyBorder="1"/>
    <xf numFmtId="3" fontId="0" fillId="0" borderId="0" xfId="0" applyNumberFormat="1"/>
    <xf numFmtId="3" fontId="12" fillId="0" borderId="1" xfId="0" applyNumberFormat="1" applyFont="1" applyBorder="1" applyAlignment="1"/>
    <xf numFmtId="164" fontId="12" fillId="0" borderId="1" xfId="1" applyNumberFormat="1" applyFont="1" applyBorder="1" applyAlignment="1">
      <alignment horizontal="right" vertical="center"/>
    </xf>
    <xf numFmtId="164" fontId="12" fillId="0" borderId="5" xfId="1" applyNumberFormat="1" applyFont="1" applyBorder="1" applyAlignment="1">
      <alignment horizontal="right" vertical="center"/>
    </xf>
    <xf numFmtId="164" fontId="20" fillId="0" borderId="5" xfId="1" applyNumberFormat="1" applyFont="1" applyBorder="1" applyAlignment="1">
      <alignment horizontal="right" vertical="center"/>
    </xf>
    <xf numFmtId="3" fontId="20" fillId="0" borderId="5" xfId="0" applyNumberFormat="1" applyFont="1" applyBorder="1" applyAlignment="1">
      <alignment horizontal="right" vertical="center" wrapText="1"/>
    </xf>
    <xf numFmtId="3" fontId="20" fillId="0" borderId="14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3" fontId="20" fillId="0" borderId="5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2" fillId="0" borderId="27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/>
    <xf numFmtId="3" fontId="12" fillId="0" borderId="5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3" fontId="12" fillId="0" borderId="1" xfId="0" applyNumberFormat="1" applyFont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/>
    </xf>
    <xf numFmtId="3" fontId="20" fillId="2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/>
    <xf numFmtId="0" fontId="12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3" fontId="12" fillId="0" borderId="0" xfId="6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1" fillId="0" borderId="0" xfId="40" applyFont="1" applyAlignment="1">
      <alignment horizontal="right" vertical="center"/>
    </xf>
    <xf numFmtId="0" fontId="15" fillId="0" borderId="0" xfId="40" applyFont="1" applyAlignment="1">
      <alignment vertical="center"/>
    </xf>
    <xf numFmtId="0" fontId="21" fillId="0" borderId="1" xfId="40" applyFont="1" applyBorder="1" applyAlignment="1">
      <alignment vertical="center"/>
    </xf>
    <xf numFmtId="3" fontId="21" fillId="0" borderId="1" xfId="40" applyNumberFormat="1" applyFont="1" applyBorder="1" applyAlignment="1">
      <alignment vertical="center"/>
    </xf>
    <xf numFmtId="0" fontId="21" fillId="0" borderId="1" xfId="40" applyFont="1" applyBorder="1" applyAlignment="1">
      <alignment vertical="center" wrapText="1"/>
    </xf>
    <xf numFmtId="0" fontId="18" fillId="0" borderId="1" xfId="40" applyFont="1" applyBorder="1" applyAlignment="1">
      <alignment vertical="center"/>
    </xf>
    <xf numFmtId="3" fontId="18" fillId="0" borderId="1" xfId="40" applyNumberFormat="1" applyFont="1" applyBorder="1" applyAlignment="1">
      <alignment vertical="center"/>
    </xf>
    <xf numFmtId="0" fontId="17" fillId="0" borderId="0" xfId="40" applyFont="1" applyAlignment="1">
      <alignment vertical="center"/>
    </xf>
    <xf numFmtId="0" fontId="21" fillId="0" borderId="0" xfId="40" applyFont="1" applyAlignment="1">
      <alignment horizontal="left" vertical="center" wrapText="1"/>
    </xf>
    <xf numFmtId="0" fontId="15" fillId="0" borderId="0" xfId="40" applyFont="1" applyAlignment="1">
      <alignment horizontal="center" vertical="center"/>
    </xf>
    <xf numFmtId="3" fontId="17" fillId="0" borderId="1" xfId="4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18" fillId="0" borderId="1" xfId="40" applyNumberFormat="1" applyFont="1" applyBorder="1" applyAlignment="1">
      <alignment horizontal="right" vertical="center"/>
    </xf>
    <xf numFmtId="0" fontId="15" fillId="0" borderId="0" xfId="40" applyFont="1" applyAlignment="1">
      <alignment vertical="center" wrapText="1"/>
    </xf>
    <xf numFmtId="0" fontId="15" fillId="0" borderId="0" xfId="4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/>
    <xf numFmtId="0" fontId="20" fillId="0" borderId="0" xfId="0" applyFont="1" applyFill="1" applyAlignment="1">
      <alignment horizontal="center" vertical="center" wrapText="1"/>
    </xf>
    <xf numFmtId="3" fontId="20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20" fillId="0" borderId="25" xfId="0" applyFont="1" applyFill="1" applyBorder="1" applyAlignment="1">
      <alignment horizontal="left" vertical="center" wrapText="1"/>
    </xf>
    <xf numFmtId="3" fontId="20" fillId="0" borderId="25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3" fontId="20" fillId="0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19" fillId="0" borderId="1" xfId="0" applyFont="1" applyBorder="1" applyAlignment="1">
      <alignment horizontal="left" vertical="center" wrapText="1"/>
    </xf>
    <xf numFmtId="14" fontId="21" fillId="0" borderId="23" xfId="6" applyNumberFormat="1" applyFont="1" applyFill="1" applyBorder="1" applyAlignment="1">
      <alignment horizontal="center" vertical="center" wrapText="1"/>
    </xf>
    <xf numFmtId="3" fontId="21" fillId="0" borderId="22" xfId="6" applyNumberFormat="1" applyFont="1" applyFill="1" applyBorder="1" applyAlignment="1">
      <alignment horizontal="center" vertical="center" wrapText="1"/>
    </xf>
    <xf numFmtId="14" fontId="28" fillId="0" borderId="22" xfId="6" applyNumberFormat="1" applyFont="1" applyFill="1" applyBorder="1" applyAlignment="1">
      <alignment horizontal="center" vertical="center" wrapText="1"/>
    </xf>
    <xf numFmtId="3" fontId="21" fillId="0" borderId="28" xfId="6" applyNumberFormat="1" applyFont="1" applyFill="1" applyBorder="1" applyAlignment="1">
      <alignment horizontal="center" vertical="center" wrapText="1"/>
    </xf>
    <xf numFmtId="1" fontId="21" fillId="0" borderId="28" xfId="6" applyNumberFormat="1" applyFont="1" applyFill="1" applyBorder="1" applyAlignment="1">
      <alignment horizontal="center" vertical="center" wrapText="1"/>
    </xf>
    <xf numFmtId="3" fontId="21" fillId="0" borderId="29" xfId="6" applyNumberFormat="1" applyFont="1" applyFill="1" applyBorder="1" applyAlignment="1">
      <alignment vertical="center"/>
    </xf>
    <xf numFmtId="14" fontId="39" fillId="0" borderId="30" xfId="6" applyNumberFormat="1" applyFont="1" applyFill="1" applyBorder="1" applyAlignment="1">
      <alignment vertical="center"/>
    </xf>
    <xf numFmtId="14" fontId="21" fillId="0" borderId="31" xfId="6" applyNumberFormat="1" applyFont="1" applyFill="1" applyBorder="1" applyAlignment="1">
      <alignment vertical="center"/>
    </xf>
    <xf numFmtId="3" fontId="21" fillId="0" borderId="26" xfId="6" applyNumberFormat="1" applyFont="1" applyFill="1" applyBorder="1" applyAlignment="1">
      <alignment vertical="center"/>
    </xf>
    <xf numFmtId="165" fontId="21" fillId="0" borderId="26" xfId="6" applyNumberFormat="1" applyFont="1" applyFill="1" applyBorder="1" applyAlignment="1">
      <alignment vertical="center" wrapText="1"/>
    </xf>
    <xf numFmtId="14" fontId="28" fillId="0" borderId="26" xfId="6" applyNumberFormat="1" applyFont="1" applyFill="1" applyBorder="1" applyAlignment="1">
      <alignment horizontal="left" vertical="center" wrapText="1"/>
    </xf>
    <xf numFmtId="14" fontId="21" fillId="0" borderId="26" xfId="6" applyNumberFormat="1" applyFont="1" applyFill="1" applyBorder="1" applyAlignment="1">
      <alignment vertical="center"/>
    </xf>
    <xf numFmtId="14" fontId="28" fillId="0" borderId="25" xfId="6" applyNumberFormat="1" applyFont="1" applyFill="1" applyBorder="1" applyAlignment="1">
      <alignment vertical="center" wrapText="1"/>
    </xf>
    <xf numFmtId="3" fontId="21" fillId="0" borderId="17" xfId="6" applyNumberFormat="1" applyFont="1" applyFill="1" applyBorder="1" applyAlignment="1">
      <alignment vertical="center"/>
    </xf>
    <xf numFmtId="1" fontId="21" fillId="0" borderId="26" xfId="6" applyNumberFormat="1" applyFont="1" applyFill="1" applyBorder="1" applyAlignment="1">
      <alignment vertical="center"/>
    </xf>
    <xf numFmtId="14" fontId="28" fillId="0" borderId="32" xfId="6" applyNumberFormat="1" applyFont="1" applyFill="1" applyBorder="1" applyAlignment="1">
      <alignment vertical="center" wrapText="1"/>
    </xf>
    <xf numFmtId="14" fontId="39" fillId="0" borderId="33" xfId="6" applyNumberFormat="1" applyFont="1" applyFill="1" applyBorder="1" applyAlignment="1">
      <alignment vertical="center"/>
    </xf>
    <xf numFmtId="14" fontId="21" fillId="0" borderId="34" xfId="6" applyNumberFormat="1" applyFont="1" applyFill="1" applyBorder="1" applyAlignment="1">
      <alignment vertical="center" wrapText="1" shrinkToFit="1"/>
    </xf>
    <xf numFmtId="3" fontId="21" fillId="0" borderId="25" xfId="6" applyNumberFormat="1" applyFont="1" applyFill="1" applyBorder="1" applyAlignment="1">
      <alignment vertical="center"/>
    </xf>
    <xf numFmtId="3" fontId="28" fillId="0" borderId="25" xfId="6" applyNumberFormat="1" applyFont="1" applyFill="1" applyBorder="1" applyAlignment="1">
      <alignment vertical="center" wrapText="1"/>
    </xf>
    <xf numFmtId="166" fontId="28" fillId="0" borderId="25" xfId="6" applyNumberFormat="1" applyFont="1" applyFill="1" applyBorder="1" applyAlignment="1">
      <alignment horizontal="left" vertical="center"/>
    </xf>
    <xf numFmtId="14" fontId="21" fillId="0" borderId="25" xfId="6" applyNumberFormat="1" applyFont="1" applyFill="1" applyBorder="1" applyAlignment="1">
      <alignment vertical="center"/>
    </xf>
    <xf numFmtId="14" fontId="21" fillId="0" borderId="25" xfId="6" applyNumberFormat="1" applyFont="1" applyFill="1" applyBorder="1" applyAlignment="1">
      <alignment vertical="center" wrapText="1"/>
    </xf>
    <xf numFmtId="1" fontId="21" fillId="0" borderId="25" xfId="6" applyNumberFormat="1" applyFont="1" applyFill="1" applyBorder="1" applyAlignment="1">
      <alignment vertical="center"/>
    </xf>
    <xf numFmtId="0" fontId="12" fillId="0" borderId="34" xfId="6" applyFont="1" applyFill="1" applyBorder="1" applyAlignment="1">
      <alignment vertical="center"/>
    </xf>
    <xf numFmtId="10" fontId="28" fillId="0" borderId="25" xfId="6" applyNumberFormat="1" applyFont="1" applyFill="1" applyBorder="1" applyAlignment="1">
      <alignment horizontal="left" vertical="center"/>
    </xf>
    <xf numFmtId="9" fontId="28" fillId="0" borderId="25" xfId="6" applyNumberFormat="1" applyFont="1" applyFill="1" applyBorder="1" applyAlignment="1">
      <alignment horizontal="left" vertical="center"/>
    </xf>
    <xf numFmtId="14" fontId="30" fillId="0" borderId="25" xfId="6" applyNumberFormat="1" applyFont="1" applyFill="1" applyBorder="1" applyAlignment="1">
      <alignment vertical="center" wrapText="1"/>
    </xf>
    <xf numFmtId="0" fontId="12" fillId="0" borderId="35" xfId="6" applyFont="1" applyFill="1" applyBorder="1" applyAlignment="1">
      <alignment vertical="center"/>
    </xf>
    <xf numFmtId="3" fontId="28" fillId="0" borderId="24" xfId="6" applyNumberFormat="1" applyFont="1" applyFill="1" applyBorder="1" applyAlignment="1">
      <alignment vertical="center" wrapText="1"/>
    </xf>
    <xf numFmtId="14" fontId="21" fillId="0" borderId="24" xfId="6" applyNumberFormat="1" applyFont="1" applyFill="1" applyBorder="1" applyAlignment="1">
      <alignment vertical="center"/>
    </xf>
    <xf numFmtId="14" fontId="32" fillId="0" borderId="25" xfId="6" applyNumberFormat="1" applyFont="1" applyFill="1" applyBorder="1" applyAlignment="1">
      <alignment vertical="center"/>
    </xf>
    <xf numFmtId="3" fontId="29" fillId="0" borderId="25" xfId="6" applyNumberFormat="1" applyFont="1" applyFill="1" applyBorder="1" applyAlignment="1">
      <alignment vertical="center" wrapText="1"/>
    </xf>
    <xf numFmtId="0" fontId="12" fillId="0" borderId="36" xfId="6" applyFont="1" applyFill="1" applyBorder="1" applyAlignment="1">
      <alignment vertical="center"/>
    </xf>
    <xf numFmtId="3" fontId="28" fillId="0" borderId="17" xfId="6" applyNumberFormat="1" applyFont="1" applyFill="1" applyBorder="1" applyAlignment="1">
      <alignment vertical="center" wrapText="1"/>
    </xf>
    <xf numFmtId="14" fontId="28" fillId="0" borderId="17" xfId="6" applyNumberFormat="1" applyFont="1" applyFill="1" applyBorder="1" applyAlignment="1">
      <alignment horizontal="left" vertical="center"/>
    </xf>
    <xf numFmtId="14" fontId="21" fillId="0" borderId="17" xfId="6" applyNumberFormat="1" applyFont="1" applyFill="1" applyBorder="1" applyAlignment="1">
      <alignment vertical="center"/>
    </xf>
    <xf numFmtId="14" fontId="28" fillId="0" borderId="17" xfId="6" applyNumberFormat="1" applyFont="1" applyFill="1" applyBorder="1" applyAlignment="1">
      <alignment vertical="center" wrapText="1"/>
    </xf>
    <xf numFmtId="3" fontId="21" fillId="0" borderId="32" xfId="6" applyNumberFormat="1" applyFont="1" applyFill="1" applyBorder="1" applyAlignment="1">
      <alignment vertical="center"/>
    </xf>
    <xf numFmtId="3" fontId="21" fillId="0" borderId="18" xfId="6" applyNumberFormat="1" applyFont="1" applyFill="1" applyBorder="1" applyAlignment="1">
      <alignment vertical="center"/>
    </xf>
    <xf numFmtId="3" fontId="21" fillId="0" borderId="36" xfId="6" applyNumberFormat="1" applyFont="1" applyFill="1" applyBorder="1" applyAlignment="1">
      <alignment vertical="center"/>
    </xf>
    <xf numFmtId="3" fontId="22" fillId="0" borderId="22" xfId="6" applyNumberFormat="1" applyFont="1" applyFill="1" applyBorder="1" applyAlignment="1">
      <alignment vertical="center"/>
    </xf>
    <xf numFmtId="3" fontId="29" fillId="0" borderId="22" xfId="6" applyNumberFormat="1" applyFont="1" applyFill="1" applyBorder="1" applyAlignment="1">
      <alignment vertical="center" wrapText="1"/>
    </xf>
    <xf numFmtId="14" fontId="29" fillId="0" borderId="22" xfId="6" applyNumberFormat="1" applyFont="1" applyFill="1" applyBorder="1" applyAlignment="1">
      <alignment horizontal="left" vertical="center"/>
    </xf>
    <xf numFmtId="14" fontId="22" fillId="0" borderId="22" xfId="6" applyNumberFormat="1" applyFont="1" applyFill="1" applyBorder="1" applyAlignment="1">
      <alignment vertical="center"/>
    </xf>
    <xf numFmtId="3" fontId="22" fillId="0" borderId="28" xfId="6" applyNumberFormat="1" applyFont="1" applyFill="1" applyBorder="1" applyAlignment="1">
      <alignment vertical="center"/>
    </xf>
    <xf numFmtId="3" fontId="22" fillId="0" borderId="23" xfId="6" applyNumberFormat="1" applyFont="1" applyFill="1" applyBorder="1" applyAlignment="1">
      <alignment vertical="center"/>
    </xf>
    <xf numFmtId="1" fontId="22" fillId="0" borderId="23" xfId="6" applyNumberFormat="1" applyFont="1" applyFill="1" applyBorder="1" applyAlignment="1">
      <alignment vertical="center"/>
    </xf>
    <xf numFmtId="14" fontId="39" fillId="0" borderId="68" xfId="6" applyNumberFormat="1" applyFont="1" applyFill="1" applyBorder="1" applyAlignment="1">
      <alignment vertical="center"/>
    </xf>
    <xf numFmtId="1" fontId="21" fillId="0" borderId="36" xfId="6" applyNumberFormat="1" applyFont="1" applyFill="1" applyBorder="1" applyAlignment="1">
      <alignment vertical="center"/>
    </xf>
    <xf numFmtId="14" fontId="28" fillId="0" borderId="69" xfId="6" applyNumberFormat="1" applyFont="1" applyFill="1" applyBorder="1" applyAlignment="1">
      <alignment vertical="center" wrapText="1"/>
    </xf>
    <xf numFmtId="3" fontId="21" fillId="0" borderId="16" xfId="5" applyNumberFormat="1" applyFont="1" applyBorder="1" applyAlignment="1">
      <alignment horizontal="center" vertical="center" wrapText="1"/>
    </xf>
    <xf numFmtId="0" fontId="12" fillId="0" borderId="24" xfId="5" applyFont="1" applyBorder="1" applyAlignment="1">
      <alignment vertical="center"/>
    </xf>
    <xf numFmtId="3" fontId="21" fillId="0" borderId="24" xfId="5" applyNumberFormat="1" applyFont="1" applyBorder="1" applyAlignment="1">
      <alignment vertical="center"/>
    </xf>
    <xf numFmtId="3" fontId="21" fillId="0" borderId="24" xfId="5" applyNumberFormat="1" applyFont="1" applyFill="1" applyBorder="1" applyAlignment="1">
      <alignment vertical="center"/>
    </xf>
    <xf numFmtId="14" fontId="21" fillId="0" borderId="24" xfId="5" applyNumberFormat="1" applyFont="1" applyBorder="1" applyAlignment="1">
      <alignment vertical="center"/>
    </xf>
    <xf numFmtId="3" fontId="21" fillId="0" borderId="25" xfId="5" applyNumberFormat="1" applyFont="1" applyBorder="1" applyAlignment="1">
      <alignment vertical="center"/>
    </xf>
    <xf numFmtId="0" fontId="20" fillId="0" borderId="24" xfId="5" applyFont="1" applyBorder="1" applyAlignment="1">
      <alignment vertical="center"/>
    </xf>
    <xf numFmtId="3" fontId="22" fillId="0" borderId="24" xfId="5" applyNumberFormat="1" applyFont="1" applyBorder="1" applyAlignment="1">
      <alignment vertical="center"/>
    </xf>
    <xf numFmtId="14" fontId="22" fillId="0" borderId="24" xfId="5" applyNumberFormat="1" applyFont="1" applyBorder="1" applyAlignment="1">
      <alignment vertical="center"/>
    </xf>
    <xf numFmtId="3" fontId="22" fillId="0" borderId="24" xfId="5" applyNumberFormat="1" applyFont="1" applyFill="1" applyBorder="1" applyAlignment="1">
      <alignment vertical="center"/>
    </xf>
    <xf numFmtId="14" fontId="39" fillId="0" borderId="71" xfId="6" applyNumberFormat="1" applyFont="1" applyFill="1" applyBorder="1" applyAlignment="1">
      <alignment vertical="center"/>
    </xf>
    <xf numFmtId="0" fontId="12" fillId="0" borderId="19" xfId="6" applyFont="1" applyFill="1" applyBorder="1" applyAlignment="1">
      <alignment vertical="center"/>
    </xf>
    <xf numFmtId="3" fontId="21" fillId="0" borderId="20" xfId="6" applyNumberFormat="1" applyFont="1" applyFill="1" applyBorder="1" applyAlignment="1">
      <alignment vertical="center"/>
    </xf>
    <xf numFmtId="3" fontId="28" fillId="0" borderId="20" xfId="6" applyNumberFormat="1" applyFont="1" applyFill="1" applyBorder="1" applyAlignment="1">
      <alignment vertical="center" wrapText="1"/>
    </xf>
    <xf numFmtId="14" fontId="28" fillId="0" borderId="20" xfId="6" applyNumberFormat="1" applyFont="1" applyFill="1" applyBorder="1" applyAlignment="1">
      <alignment horizontal="left" vertical="center"/>
    </xf>
    <xf numFmtId="14" fontId="21" fillId="0" borderId="20" xfId="6" applyNumberFormat="1" applyFont="1" applyFill="1" applyBorder="1" applyAlignment="1">
      <alignment vertical="center"/>
    </xf>
    <xf numFmtId="3" fontId="21" fillId="0" borderId="21" xfId="6" applyNumberFormat="1" applyFont="1" applyFill="1" applyBorder="1" applyAlignment="1">
      <alignment vertical="center"/>
    </xf>
    <xf numFmtId="3" fontId="21" fillId="0" borderId="19" xfId="6" applyNumberFormat="1" applyFont="1" applyFill="1" applyBorder="1" applyAlignment="1">
      <alignment vertical="center"/>
    </xf>
    <xf numFmtId="14" fontId="28" fillId="0" borderId="72" xfId="6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0" fillId="0" borderId="1" xfId="0" applyFont="1" applyFill="1" applyBorder="1" applyAlignment="1">
      <alignment horizontal="left"/>
    </xf>
    <xf numFmtId="0" fontId="12" fillId="0" borderId="1" xfId="0" applyFont="1" applyBorder="1"/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3" fontId="12" fillId="0" borderId="0" xfId="0" applyNumberFormat="1" applyFont="1"/>
    <xf numFmtId="0" fontId="12" fillId="0" borderId="4" xfId="0" applyFont="1" applyBorder="1" applyAlignment="1">
      <alignment horizontal="left"/>
    </xf>
    <xf numFmtId="3" fontId="12" fillId="0" borderId="0" xfId="0" applyNumberFormat="1" applyFont="1" applyBorder="1" applyAlignment="1">
      <alignment horizontal="right"/>
    </xf>
    <xf numFmtId="0" fontId="12" fillId="2" borderId="1" xfId="0" applyFont="1" applyFill="1" applyBorder="1"/>
    <xf numFmtId="0" fontId="12" fillId="2" borderId="3" xfId="0" applyFont="1" applyFill="1" applyBorder="1"/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3" fontId="20" fillId="0" borderId="0" xfId="0" applyNumberFormat="1" applyFont="1" applyFill="1" applyBorder="1" applyAlignment="1">
      <alignment vertical="center"/>
    </xf>
    <xf numFmtId="0" fontId="12" fillId="0" borderId="6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" fontId="20" fillId="0" borderId="0" xfId="0" applyNumberFormat="1" applyFont="1" applyBorder="1" applyAlignment="1">
      <alignment horizontal="left"/>
    </xf>
    <xf numFmtId="3" fontId="20" fillId="0" borderId="2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left" vertical="center"/>
    </xf>
    <xf numFmtId="3" fontId="20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4" xfId="0" applyNumberFormat="1" applyFont="1" applyBorder="1" applyAlignment="1">
      <alignment horizontal="left"/>
    </xf>
    <xf numFmtId="3" fontId="20" fillId="0" borderId="4" xfId="0" applyNumberFormat="1" applyFont="1" applyBorder="1" applyAlignment="1">
      <alignment horizontal="center" vertical="center"/>
    </xf>
    <xf numFmtId="3" fontId="12" fillId="2" borderId="3" xfId="0" applyNumberFormat="1" applyFont="1" applyFill="1" applyBorder="1"/>
    <xf numFmtId="3" fontId="12" fillId="0" borderId="4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0" fillId="0" borderId="0" xfId="0" applyFont="1"/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0" fillId="0" borderId="0" xfId="0" applyAlignment="1"/>
    <xf numFmtId="0" fontId="12" fillId="0" borderId="2" xfId="0" applyFont="1" applyFill="1" applyBorder="1" applyAlignment="1">
      <alignment horizontal="left" vertical="center" wrapText="1"/>
    </xf>
    <xf numFmtId="14" fontId="21" fillId="0" borderId="16" xfId="5" applyNumberFormat="1" applyFont="1" applyBorder="1" applyAlignment="1">
      <alignment horizontal="center" vertical="center" wrapText="1"/>
    </xf>
    <xf numFmtId="0" fontId="21" fillId="0" borderId="16" xfId="5" applyFont="1" applyBorder="1" applyAlignment="1">
      <alignment horizontal="center" vertical="center" wrapText="1"/>
    </xf>
    <xf numFmtId="3" fontId="17" fillId="0" borderId="1" xfId="4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3" fontId="18" fillId="0" borderId="1" xfId="40" applyNumberFormat="1" applyFont="1" applyFill="1" applyBorder="1" applyAlignment="1">
      <alignment horizontal="right" vertical="center"/>
    </xf>
    <xf numFmtId="0" fontId="53" fillId="0" borderId="0" xfId="6" applyFont="1" applyFill="1" applyAlignment="1">
      <alignment vertical="center"/>
    </xf>
    <xf numFmtId="0" fontId="38" fillId="0" borderId="0" xfId="6" applyFont="1" applyFill="1" applyAlignment="1">
      <alignment vertical="center"/>
    </xf>
    <xf numFmtId="3" fontId="21" fillId="3" borderId="17" xfId="6" applyNumberFormat="1" applyFont="1" applyFill="1" applyBorder="1" applyAlignment="1">
      <alignment vertical="center"/>
    </xf>
    <xf numFmtId="14" fontId="39" fillId="0" borderId="0" xfId="6" applyNumberFormat="1" applyFont="1" applyFill="1" applyBorder="1" applyAlignment="1">
      <alignment vertical="center"/>
    </xf>
    <xf numFmtId="3" fontId="53" fillId="0" borderId="0" xfId="6" applyNumberFormat="1" applyFont="1" applyFill="1" applyAlignment="1">
      <alignment vertical="center"/>
    </xf>
    <xf numFmtId="0" fontId="53" fillId="0" borderId="0" xfId="6" applyFont="1" applyFill="1" applyAlignment="1">
      <alignment horizontal="left" vertical="center"/>
    </xf>
    <xf numFmtId="1" fontId="21" fillId="0" borderId="24" xfId="6" applyNumberFormat="1" applyFont="1" applyFill="1" applyBorder="1" applyAlignment="1">
      <alignment vertical="center"/>
    </xf>
    <xf numFmtId="14" fontId="52" fillId="0" borderId="76" xfId="6" applyNumberFormat="1" applyFont="1" applyFill="1" applyBorder="1" applyAlignment="1">
      <alignment vertical="center"/>
    </xf>
    <xf numFmtId="0" fontId="20" fillId="0" borderId="23" xfId="6" applyFont="1" applyFill="1" applyBorder="1" applyAlignment="1">
      <alignment vertical="center"/>
    </xf>
    <xf numFmtId="14" fontId="29" fillId="0" borderId="29" xfId="6" applyNumberFormat="1" applyFont="1" applyFill="1" applyBorder="1" applyAlignment="1">
      <alignment vertical="center" wrapText="1"/>
    </xf>
    <xf numFmtId="0" fontId="21" fillId="0" borderId="16" xfId="5" applyNumberFormat="1" applyFont="1" applyBorder="1" applyAlignment="1">
      <alignment horizontal="center" vertical="center" wrapText="1"/>
    </xf>
    <xf numFmtId="0" fontId="57" fillId="0" borderId="0" xfId="5" applyFont="1"/>
    <xf numFmtId="14" fontId="21" fillId="0" borderId="24" xfId="5" applyNumberFormat="1" applyFont="1" applyBorder="1" applyAlignment="1">
      <alignment horizontal="center" vertical="center"/>
    </xf>
    <xf numFmtId="0" fontId="21" fillId="0" borderId="24" xfId="5" applyNumberFormat="1" applyFont="1" applyBorder="1" applyAlignment="1">
      <alignment vertical="center" wrapText="1"/>
    </xf>
    <xf numFmtId="10" fontId="21" fillId="0" borderId="25" xfId="5" applyNumberFormat="1" applyFont="1" applyBorder="1" applyAlignment="1">
      <alignment horizontal="center" vertical="center"/>
    </xf>
    <xf numFmtId="14" fontId="21" fillId="0" borderId="24" xfId="5" applyNumberFormat="1" applyFont="1" applyBorder="1" applyAlignment="1">
      <alignment vertical="center" wrapText="1"/>
    </xf>
    <xf numFmtId="3" fontId="21" fillId="0" borderId="24" xfId="5" applyNumberFormat="1" applyFont="1" applyFill="1" applyBorder="1" applyAlignment="1">
      <alignment horizontal="center" vertical="center"/>
    </xf>
    <xf numFmtId="14" fontId="21" fillId="0" borderId="24" xfId="5" applyNumberFormat="1" applyFont="1" applyFill="1" applyBorder="1" applyAlignment="1">
      <alignment vertical="center"/>
    </xf>
    <xf numFmtId="14" fontId="22" fillId="0" borderId="24" xfId="5" applyNumberFormat="1" applyFont="1" applyBorder="1" applyAlignment="1">
      <alignment horizontal="center" vertical="center"/>
    </xf>
    <xf numFmtId="0" fontId="22" fillId="0" borderId="24" xfId="5" applyNumberFormat="1" applyFont="1" applyBorder="1" applyAlignment="1">
      <alignment vertical="center" wrapText="1"/>
    </xf>
    <xf numFmtId="10" fontId="22" fillId="0" borderId="25" xfId="5" applyNumberFormat="1" applyFont="1" applyBorder="1" applyAlignment="1">
      <alignment horizontal="center" vertical="center"/>
    </xf>
    <xf numFmtId="14" fontId="22" fillId="0" borderId="24" xfId="5" applyNumberFormat="1" applyFont="1" applyBorder="1" applyAlignment="1">
      <alignment vertical="center" wrapText="1"/>
    </xf>
    <xf numFmtId="0" fontId="58" fillId="0" borderId="0" xfId="5" applyFont="1"/>
    <xf numFmtId="0" fontId="57" fillId="0" borderId="0" xfId="5" applyFont="1" applyAlignment="1">
      <alignment horizontal="center"/>
    </xf>
    <xf numFmtId="0" fontId="57" fillId="0" borderId="0" xfId="5" applyNumberFormat="1" applyFont="1"/>
    <xf numFmtId="10" fontId="57" fillId="0" borderId="0" xfId="5" applyNumberFormat="1" applyFont="1"/>
    <xf numFmtId="14" fontId="57" fillId="0" borderId="0" xfId="5" applyNumberFormat="1" applyFont="1"/>
    <xf numFmtId="0" fontId="59" fillId="0" borderId="0" xfId="5" applyFont="1" applyAlignment="1">
      <alignment horizontal="center" vertical="center"/>
    </xf>
    <xf numFmtId="3" fontId="0" fillId="0" borderId="0" xfId="0" applyNumberFormat="1" applyFill="1" applyAlignment="1">
      <alignment vertical="center"/>
    </xf>
    <xf numFmtId="3" fontId="54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left" vertical="center"/>
    </xf>
    <xf numFmtId="0" fontId="63" fillId="0" borderId="1" xfId="0" applyFont="1" applyBorder="1" applyAlignment="1">
      <alignment vertical="center"/>
    </xf>
    <xf numFmtId="0" fontId="61" fillId="0" borderId="1" xfId="0" applyFont="1" applyBorder="1" applyAlignment="1">
      <alignment vertical="center"/>
    </xf>
    <xf numFmtId="0" fontId="63" fillId="0" borderId="1" xfId="0" applyFont="1" applyBorder="1" applyAlignment="1">
      <alignment vertical="center" wrapText="1"/>
    </xf>
    <xf numFmtId="16" fontId="63" fillId="0" borderId="1" xfId="0" applyNumberFormat="1" applyFont="1" applyBorder="1" applyAlignment="1">
      <alignment vertical="center"/>
    </xf>
    <xf numFmtId="16" fontId="61" fillId="0" borderId="1" xfId="0" applyNumberFormat="1" applyFont="1" applyBorder="1" applyAlignment="1">
      <alignment vertical="center"/>
    </xf>
    <xf numFmtId="0" fontId="63" fillId="0" borderId="0" xfId="0" applyFont="1" applyAlignment="1">
      <alignment vertical="center"/>
    </xf>
    <xf numFmtId="0" fontId="62" fillId="0" borderId="0" xfId="0" applyFont="1" applyAlignment="1">
      <alignment horizontal="right" vertical="center"/>
    </xf>
    <xf numFmtId="0" fontId="61" fillId="0" borderId="2" xfId="0" applyFont="1" applyBorder="1" applyAlignment="1">
      <alignment horizontal="left" vertical="center"/>
    </xf>
    <xf numFmtId="0" fontId="62" fillId="0" borderId="1" xfId="0" applyFont="1" applyBorder="1" applyAlignment="1">
      <alignment horizontal="left" vertical="center" wrapText="1"/>
    </xf>
    <xf numFmtId="0" fontId="62" fillId="0" borderId="0" xfId="0" applyFont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1" fillId="0" borderId="0" xfId="0" applyFont="1" applyFill="1"/>
    <xf numFmtId="0" fontId="19" fillId="0" borderId="0" xfId="0" applyFont="1" applyFill="1" applyAlignment="1">
      <alignment horizontal="right"/>
    </xf>
    <xf numFmtId="0" fontId="13" fillId="0" borderId="0" xfId="6" applyFill="1" applyAlignment="1">
      <alignment horizontal="right" vertical="center"/>
    </xf>
    <xf numFmtId="3" fontId="13" fillId="0" borderId="0" xfId="6" applyNumberFormat="1" applyFill="1" applyAlignment="1">
      <alignment horizontal="right" vertical="center"/>
    </xf>
    <xf numFmtId="3" fontId="12" fillId="0" borderId="0" xfId="6" applyNumberFormat="1" applyFont="1" applyFill="1" applyAlignment="1">
      <alignment horizontal="right" vertical="center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50" fillId="0" borderId="33" xfId="6" applyFont="1" applyFill="1" applyBorder="1" applyAlignment="1">
      <alignment horizontal="left" vertical="center"/>
    </xf>
    <xf numFmtId="3" fontId="12" fillId="0" borderId="25" xfId="6" applyNumberFormat="1" applyFont="1" applyFill="1" applyBorder="1" applyAlignment="1">
      <alignment horizontal="right" vertical="center"/>
    </xf>
    <xf numFmtId="3" fontId="12" fillId="0" borderId="32" xfId="6" applyNumberFormat="1" applyFont="1" applyFill="1" applyBorder="1" applyAlignment="1">
      <alignment horizontal="right" vertical="center"/>
    </xf>
    <xf numFmtId="0" fontId="12" fillId="0" borderId="33" xfId="6" applyFont="1" applyFill="1" applyBorder="1" applyAlignment="1">
      <alignment horizontal="left" vertical="center"/>
    </xf>
    <xf numFmtId="0" fontId="12" fillId="0" borderId="37" xfId="6" applyFont="1" applyFill="1" applyBorder="1" applyAlignment="1">
      <alignment horizontal="left" vertical="center"/>
    </xf>
    <xf numFmtId="3" fontId="12" fillId="0" borderId="16" xfId="6" applyNumberFormat="1" applyFont="1" applyFill="1" applyBorder="1" applyAlignment="1">
      <alignment horizontal="right" vertical="center"/>
    </xf>
    <xf numFmtId="3" fontId="12" fillId="0" borderId="38" xfId="6" applyNumberFormat="1" applyFont="1" applyFill="1" applyBorder="1" applyAlignment="1">
      <alignment horizontal="right" vertical="center"/>
    </xf>
    <xf numFmtId="0" fontId="8" fillId="0" borderId="73" xfId="6" applyFont="1" applyFill="1" applyBorder="1" applyAlignment="1">
      <alignment horizontal="left" vertical="center"/>
    </xf>
    <xf numFmtId="3" fontId="51" fillId="0" borderId="74" xfId="6" applyNumberFormat="1" applyFont="1" applyFill="1" applyBorder="1" applyAlignment="1">
      <alignment horizontal="right" vertical="center"/>
    </xf>
    <xf numFmtId="3" fontId="51" fillId="0" borderId="75" xfId="6" applyNumberFormat="1" applyFont="1" applyFill="1" applyBorder="1" applyAlignment="1">
      <alignment horizontal="right" vertical="center"/>
    </xf>
    <xf numFmtId="3" fontId="12" fillId="0" borderId="2" xfId="0" applyNumberFormat="1" applyFont="1" applyBorder="1" applyAlignment="1">
      <alignment horizontal="center" vertical="center" wrapText="1"/>
    </xf>
    <xf numFmtId="0" fontId="62" fillId="0" borderId="2" xfId="0" applyFont="1" applyBorder="1" applyAlignment="1">
      <alignment horizontal="left" vertical="center" wrapText="1"/>
    </xf>
    <xf numFmtId="0" fontId="64" fillId="0" borderId="3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20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 wrapText="1"/>
    </xf>
    <xf numFmtId="0" fontId="36" fillId="0" borderId="1" xfId="58" applyFont="1" applyFill="1" applyBorder="1" applyAlignment="1">
      <alignment horizontal="center" vertical="center" wrapText="1"/>
    </xf>
    <xf numFmtId="0" fontId="35" fillId="0" borderId="1" xfId="57" applyFont="1" applyFill="1" applyBorder="1" applyAlignment="1">
      <alignment horizontal="center" vertical="center" wrapText="1"/>
    </xf>
    <xf numFmtId="0" fontId="37" fillId="0" borderId="0" xfId="57" applyFont="1" applyFill="1"/>
    <xf numFmtId="0" fontId="35" fillId="0" borderId="5" xfId="57" applyFont="1" applyFill="1" applyBorder="1" applyAlignment="1">
      <alignment horizontal="center" vertical="center" wrapText="1"/>
    </xf>
    <xf numFmtId="49" fontId="65" fillId="0" borderId="1" xfId="58" applyNumberFormat="1" applyFont="1" applyFill="1" applyBorder="1" applyAlignment="1">
      <alignment vertical="center"/>
    </xf>
    <xf numFmtId="0" fontId="37" fillId="0" borderId="1" xfId="58" applyFont="1" applyFill="1" applyBorder="1" applyAlignment="1">
      <alignment vertical="center" wrapText="1"/>
    </xf>
    <xf numFmtId="9" fontId="35" fillId="0" borderId="1" xfId="59" applyFont="1" applyFill="1" applyBorder="1" applyAlignment="1">
      <alignment horizontal="center" vertical="center" wrapText="1"/>
    </xf>
    <xf numFmtId="0" fontId="37" fillId="0" borderId="1" xfId="60" applyFont="1" applyFill="1" applyBorder="1" applyAlignment="1">
      <alignment vertical="center"/>
    </xf>
    <xf numFmtId="3" fontId="37" fillId="0" borderId="1" xfId="57" applyNumberFormat="1" applyFont="1" applyFill="1" applyBorder="1" applyAlignment="1">
      <alignment horizontal="right" vertical="center" wrapText="1"/>
    </xf>
    <xf numFmtId="3" fontId="35" fillId="0" borderId="1" xfId="57" applyNumberFormat="1" applyFont="1" applyFill="1" applyBorder="1" applyAlignment="1">
      <alignment horizontal="center" vertical="center" wrapText="1"/>
    </xf>
    <xf numFmtId="3" fontId="35" fillId="0" borderId="1" xfId="57" applyNumberFormat="1" applyFont="1" applyFill="1" applyBorder="1" applyAlignment="1">
      <alignment horizontal="right" vertical="center" wrapText="1"/>
    </xf>
    <xf numFmtId="3" fontId="35" fillId="0" borderId="12" xfId="57" applyNumberFormat="1" applyFont="1" applyFill="1" applyBorder="1" applyAlignment="1">
      <alignment horizontal="right" vertical="center" wrapText="1"/>
    </xf>
    <xf numFmtId="1" fontId="35" fillId="0" borderId="1" xfId="57" applyNumberFormat="1" applyFont="1" applyFill="1" applyBorder="1" applyAlignment="1">
      <alignment horizontal="center" vertical="center" wrapText="1"/>
    </xf>
    <xf numFmtId="0" fontId="37" fillId="0" borderId="1" xfId="60" applyFont="1" applyFill="1" applyBorder="1" applyAlignment="1">
      <alignment vertical="center" wrapText="1"/>
    </xf>
    <xf numFmtId="0" fontId="52" fillId="0" borderId="1" xfId="58" applyFont="1" applyFill="1" applyBorder="1" applyAlignment="1">
      <alignment horizontal="center" vertical="center" wrapText="1"/>
    </xf>
    <xf numFmtId="1" fontId="35" fillId="0" borderId="12" xfId="57" applyNumberFormat="1" applyFont="1" applyFill="1" applyBorder="1" applyAlignment="1">
      <alignment horizontal="center" vertical="center" wrapText="1"/>
    </xf>
    <xf numFmtId="0" fontId="35" fillId="0" borderId="1" xfId="58" applyFont="1" applyFill="1" applyBorder="1" applyAlignment="1">
      <alignment horizontal="center" vertical="center" wrapText="1"/>
    </xf>
    <xf numFmtId="1" fontId="37" fillId="0" borderId="1" xfId="57" applyNumberFormat="1" applyFont="1" applyFill="1" applyBorder="1" applyAlignment="1">
      <alignment horizontal="center" vertical="center"/>
    </xf>
    <xf numFmtId="3" fontId="37" fillId="0" borderId="1" xfId="60" applyNumberFormat="1" applyFont="1" applyFill="1" applyBorder="1" applyAlignment="1">
      <alignment horizontal="left" vertical="center" wrapText="1"/>
    </xf>
    <xf numFmtId="3" fontId="37" fillId="0" borderId="1" xfId="57" applyNumberFormat="1" applyFont="1" applyFill="1" applyBorder="1" applyAlignment="1">
      <alignment horizontal="right" vertical="center"/>
    </xf>
    <xf numFmtId="0" fontId="37" fillId="0" borderId="78" xfId="60" applyFont="1" applyFill="1" applyBorder="1" applyAlignment="1">
      <alignment vertical="center" wrapText="1"/>
    </xf>
    <xf numFmtId="3" fontId="37" fillId="0" borderId="1" xfId="57" applyNumberFormat="1" applyFont="1" applyFill="1" applyBorder="1"/>
    <xf numFmtId="3" fontId="35" fillId="0" borderId="2" xfId="58" applyNumberFormat="1" applyFont="1" applyFill="1" applyBorder="1" applyAlignment="1">
      <alignment horizontal="center" vertical="center" wrapText="1"/>
    </xf>
    <xf numFmtId="0" fontId="35" fillId="0" borderId="12" xfId="58" applyFont="1" applyFill="1" applyBorder="1" applyAlignment="1">
      <alignment horizontal="center" vertical="center" wrapText="1"/>
    </xf>
    <xf numFmtId="3" fontId="35" fillId="0" borderId="1" xfId="57" applyNumberFormat="1" applyFont="1" applyFill="1" applyBorder="1" applyAlignment="1">
      <alignment vertical="center" wrapText="1"/>
    </xf>
    <xf numFmtId="0" fontId="37" fillId="0" borderId="3" xfId="58" applyFont="1" applyFill="1" applyBorder="1" applyAlignment="1">
      <alignment vertical="center" wrapText="1"/>
    </xf>
    <xf numFmtId="49" fontId="65" fillId="0" borderId="3" xfId="58" applyNumberFormat="1" applyFont="1" applyFill="1" applyBorder="1" applyAlignment="1">
      <alignment vertical="center"/>
    </xf>
    <xf numFmtId="1" fontId="37" fillId="0" borderId="3" xfId="57" applyNumberFormat="1" applyFont="1" applyFill="1" applyBorder="1" applyAlignment="1">
      <alignment horizontal="left" vertical="center" wrapText="1"/>
    </xf>
    <xf numFmtId="0" fontId="37" fillId="0" borderId="1" xfId="60" applyFont="1" applyFill="1" applyBorder="1" applyAlignment="1">
      <alignment horizontal="left" vertical="center" wrapText="1"/>
    </xf>
    <xf numFmtId="0" fontId="35" fillId="0" borderId="1" xfId="60" applyFont="1" applyFill="1" applyBorder="1" applyAlignment="1">
      <alignment horizontal="left" vertical="center" wrapText="1"/>
    </xf>
    <xf numFmtId="0" fontId="37" fillId="0" borderId="1" xfId="61" applyFont="1" applyFill="1" applyBorder="1" applyAlignment="1">
      <alignment horizontal="left" vertical="center" wrapText="1"/>
    </xf>
    <xf numFmtId="0" fontId="37" fillId="0" borderId="1" xfId="60" applyNumberFormat="1" applyFont="1" applyFill="1" applyBorder="1" applyAlignment="1">
      <alignment vertical="center" wrapText="1"/>
    </xf>
    <xf numFmtId="1" fontId="37" fillId="0" borderId="1" xfId="57" applyNumberFormat="1" applyFont="1" applyFill="1" applyBorder="1" applyAlignment="1">
      <alignment horizontal="left" vertical="center" wrapText="1"/>
    </xf>
    <xf numFmtId="14" fontId="53" fillId="0" borderId="1" xfId="57" applyNumberFormat="1" applyFont="1" applyFill="1" applyBorder="1" applyAlignment="1">
      <alignment horizontal="center" vertical="center" wrapText="1"/>
    </xf>
    <xf numFmtId="0" fontId="35" fillId="0" borderId="1" xfId="60" applyFont="1" applyFill="1" applyBorder="1" applyAlignment="1">
      <alignment vertical="center" wrapText="1"/>
    </xf>
    <xf numFmtId="3" fontId="37" fillId="0" borderId="1" xfId="58" applyNumberFormat="1" applyFont="1" applyFill="1" applyBorder="1" applyAlignment="1">
      <alignment horizontal="right" vertical="center"/>
    </xf>
    <xf numFmtId="0" fontId="37" fillId="0" borderId="1" xfId="57" applyFont="1" applyFill="1" applyBorder="1" applyAlignment="1">
      <alignment horizontal="left" vertical="center" wrapText="1"/>
    </xf>
    <xf numFmtId="1" fontId="66" fillId="0" borderId="1" xfId="57" applyNumberFormat="1" applyFont="1" applyFill="1" applyBorder="1" applyAlignment="1">
      <alignment horizontal="center" vertical="center" wrapText="1"/>
    </xf>
    <xf numFmtId="3" fontId="37" fillId="0" borderId="1" xfId="60" applyNumberFormat="1" applyFont="1" applyFill="1" applyBorder="1" applyAlignment="1">
      <alignment vertical="center" wrapText="1"/>
    </xf>
    <xf numFmtId="49" fontId="59" fillId="0" borderId="1" xfId="58" applyNumberFormat="1" applyFont="1" applyFill="1" applyBorder="1" applyAlignment="1">
      <alignment vertical="center"/>
    </xf>
    <xf numFmtId="1" fontId="67" fillId="0" borderId="1" xfId="57" applyNumberFormat="1" applyFont="1" applyFill="1" applyBorder="1" applyAlignment="1">
      <alignment horizontal="left" vertical="center" wrapText="1"/>
    </xf>
    <xf numFmtId="1" fontId="68" fillId="0" borderId="1" xfId="57" applyNumberFormat="1" applyFont="1" applyFill="1" applyBorder="1" applyAlignment="1">
      <alignment horizontal="center" vertical="center" wrapText="1"/>
    </xf>
    <xf numFmtId="0" fontId="67" fillId="0" borderId="1" xfId="58" applyFont="1" applyFill="1" applyBorder="1" applyAlignment="1">
      <alignment vertical="center" wrapText="1"/>
    </xf>
    <xf numFmtId="3" fontId="67" fillId="0" borderId="1" xfId="57" applyNumberFormat="1" applyFont="1" applyFill="1" applyBorder="1"/>
    <xf numFmtId="3" fontId="67" fillId="0" borderId="1" xfId="57" applyNumberFormat="1" applyFont="1" applyFill="1" applyBorder="1" applyAlignment="1">
      <alignment vertical="center"/>
    </xf>
    <xf numFmtId="0" fontId="67" fillId="0" borderId="0" xfId="57" applyFont="1" applyFill="1"/>
    <xf numFmtId="1" fontId="52" fillId="0" borderId="12" xfId="57" applyNumberFormat="1" applyFont="1" applyFill="1" applyBorder="1" applyAlignment="1">
      <alignment horizontal="center" vertical="center" wrapText="1"/>
    </xf>
    <xf numFmtId="0" fontId="37" fillId="5" borderId="0" xfId="57" applyFont="1" applyFill="1"/>
    <xf numFmtId="0" fontId="37" fillId="0" borderId="0" xfId="57" applyFont="1" applyFill="1" applyBorder="1"/>
    <xf numFmtId="3" fontId="37" fillId="0" borderId="1" xfId="57" applyNumberFormat="1" applyFont="1" applyFill="1" applyBorder="1" applyAlignment="1">
      <alignment vertical="center"/>
    </xf>
    <xf numFmtId="0" fontId="39" fillId="0" borderId="1" xfId="58" applyFont="1" applyFill="1" applyBorder="1" applyAlignment="1">
      <alignment vertical="center" wrapText="1"/>
    </xf>
    <xf numFmtId="1" fontId="35" fillId="0" borderId="3" xfId="57" applyNumberFormat="1" applyFont="1" applyFill="1" applyBorder="1" applyAlignment="1">
      <alignment horizontal="center" vertical="center" wrapText="1"/>
    </xf>
    <xf numFmtId="1" fontId="37" fillId="0" borderId="1" xfId="57" applyNumberFormat="1" applyFont="1" applyFill="1" applyBorder="1" applyAlignment="1">
      <alignment horizontal="center" vertical="center" wrapText="1"/>
    </xf>
    <xf numFmtId="49" fontId="35" fillId="0" borderId="1" xfId="57" applyNumberFormat="1" applyFont="1" applyFill="1" applyBorder="1" applyAlignment="1">
      <alignment vertical="center" wrapText="1"/>
    </xf>
    <xf numFmtId="49" fontId="35" fillId="0" borderId="1" xfId="57" applyNumberFormat="1" applyFont="1" applyFill="1" applyBorder="1" applyAlignment="1">
      <alignment horizontal="center" vertical="center" wrapText="1"/>
    </xf>
    <xf numFmtId="49" fontId="35" fillId="0" borderId="3" xfId="57" applyNumberFormat="1" applyFont="1" applyFill="1" applyBorder="1" applyAlignment="1">
      <alignment horizontal="center" vertical="center" wrapText="1"/>
    </xf>
    <xf numFmtId="1" fontId="52" fillId="0" borderId="1" xfId="61" applyNumberFormat="1" applyFont="1" applyFill="1" applyBorder="1" applyAlignment="1">
      <alignment horizontal="center" vertical="center" wrapText="1"/>
    </xf>
    <xf numFmtId="0" fontId="39" fillId="0" borderId="1" xfId="61" applyFont="1" applyFill="1" applyBorder="1" applyAlignment="1">
      <alignment vertical="center" wrapText="1"/>
    </xf>
    <xf numFmtId="3" fontId="35" fillId="0" borderId="15" xfId="57" applyNumberFormat="1" applyFont="1" applyFill="1" applyBorder="1" applyAlignment="1">
      <alignment horizontal="right" vertical="center"/>
    </xf>
    <xf numFmtId="3" fontId="35" fillId="0" borderId="1" xfId="57" applyNumberFormat="1" applyFont="1" applyFill="1" applyBorder="1" applyAlignment="1">
      <alignment horizontal="right" vertical="center"/>
    </xf>
    <xf numFmtId="3" fontId="35" fillId="0" borderId="10" xfId="57" applyNumberFormat="1" applyFont="1" applyFill="1" applyBorder="1" applyAlignment="1">
      <alignment horizontal="right" vertical="center"/>
    </xf>
    <xf numFmtId="0" fontId="38" fillId="0" borderId="1" xfId="57" applyFont="1" applyFill="1" applyBorder="1" applyAlignment="1">
      <alignment vertical="center" wrapText="1"/>
    </xf>
    <xf numFmtId="3" fontId="35" fillId="0" borderId="2" xfId="57" applyNumberFormat="1" applyFont="1" applyFill="1" applyBorder="1" applyAlignment="1">
      <alignment horizontal="right" vertical="center"/>
    </xf>
    <xf numFmtId="3" fontId="35" fillId="0" borderId="0" xfId="57" applyNumberFormat="1" applyFont="1" applyFill="1" applyAlignment="1">
      <alignment horizontal="center" vertical="center"/>
    </xf>
    <xf numFmtId="49" fontId="65" fillId="0" borderId="0" xfId="57" applyNumberFormat="1" applyFont="1" applyFill="1"/>
    <xf numFmtId="3" fontId="37" fillId="0" borderId="0" xfId="57" applyNumberFormat="1" applyFont="1" applyFill="1" applyAlignment="1">
      <alignment wrapText="1"/>
    </xf>
    <xf numFmtId="3" fontId="37" fillId="0" borderId="0" xfId="57" applyNumberFormat="1" applyFont="1" applyFill="1"/>
    <xf numFmtId="3" fontId="35" fillId="0" borderId="0" xfId="57" applyNumberFormat="1" applyFont="1" applyFill="1" applyAlignment="1">
      <alignment horizontal="center" vertical="center" wrapText="1"/>
    </xf>
    <xf numFmtId="0" fontId="37" fillId="0" borderId="0" xfId="57" applyFont="1" applyFill="1" applyBorder="1" applyAlignment="1">
      <alignment vertical="center"/>
    </xf>
    <xf numFmtId="3" fontId="37" fillId="0" borderId="14" xfId="57" applyNumberFormat="1" applyFont="1" applyFill="1" applyBorder="1" applyAlignment="1">
      <alignment horizontal="right" vertical="center" wrapText="1"/>
    </xf>
    <xf numFmtId="0" fontId="35" fillId="0" borderId="0" xfId="57" applyFont="1" applyFill="1"/>
    <xf numFmtId="0" fontId="35" fillId="0" borderId="0" xfId="57" applyFont="1" applyFill="1" applyAlignment="1">
      <alignment horizontal="right"/>
    </xf>
    <xf numFmtId="3" fontId="37" fillId="0" borderId="0" xfId="57" applyNumberFormat="1" applyFont="1" applyFill="1" applyBorder="1" applyAlignment="1">
      <alignment horizontal="right" vertical="center" wrapText="1"/>
    </xf>
    <xf numFmtId="3" fontId="37" fillId="0" borderId="0" xfId="57" applyNumberFormat="1" applyFont="1" applyFill="1" applyAlignment="1"/>
    <xf numFmtId="0" fontId="35" fillId="0" borderId="0" xfId="57" applyFont="1" applyFill="1" applyAlignment="1">
      <alignment horizontal="center" vertical="center"/>
    </xf>
    <xf numFmtId="0" fontId="37" fillId="0" borderId="0" xfId="57" applyFont="1" applyFill="1" applyAlignment="1">
      <alignment wrapText="1"/>
    </xf>
    <xf numFmtId="0" fontId="35" fillId="0" borderId="0" xfId="57" applyFont="1" applyFill="1" applyAlignment="1">
      <alignment horizontal="center" vertical="center" wrapText="1"/>
    </xf>
    <xf numFmtId="0" fontId="37" fillId="0" borderId="0" xfId="58" applyFont="1" applyFill="1"/>
    <xf numFmtId="0" fontId="37" fillId="0" borderId="0" xfId="58" applyFont="1" applyFill="1" applyAlignment="1">
      <alignment vertical="center"/>
    </xf>
    <xf numFmtId="0" fontId="35" fillId="0" borderId="5" xfId="58" applyFont="1" applyFill="1" applyBorder="1" applyAlignment="1">
      <alignment horizontal="center" vertical="center" wrapText="1"/>
    </xf>
    <xf numFmtId="1" fontId="35" fillId="0" borderId="12" xfId="58" applyNumberFormat="1" applyFont="1" applyFill="1" applyBorder="1" applyAlignment="1">
      <alignment horizontal="center" vertical="center" wrapText="1"/>
    </xf>
    <xf numFmtId="49" fontId="37" fillId="0" borderId="1" xfId="58" applyNumberFormat="1" applyFont="1" applyFill="1" applyBorder="1" applyAlignment="1">
      <alignment horizontal="left" vertical="center" wrapText="1"/>
    </xf>
    <xf numFmtId="49" fontId="37" fillId="0" borderId="3" xfId="58" applyNumberFormat="1" applyFont="1" applyFill="1" applyBorder="1" applyAlignment="1">
      <alignment horizontal="left" vertical="center" wrapText="1"/>
    </xf>
    <xf numFmtId="1" fontId="37" fillId="0" borderId="1" xfId="58" applyNumberFormat="1" applyFont="1" applyFill="1" applyBorder="1" applyAlignment="1">
      <alignment horizontal="center" vertical="center" wrapText="1"/>
    </xf>
    <xf numFmtId="1" fontId="35" fillId="0" borderId="1" xfId="58" applyNumberFormat="1" applyFont="1" applyFill="1" applyBorder="1" applyAlignment="1">
      <alignment horizontal="center" vertical="center" wrapText="1"/>
    </xf>
    <xf numFmtId="49" fontId="35" fillId="0" borderId="3" xfId="58" applyNumberFormat="1" applyFont="1" applyFill="1" applyBorder="1" applyAlignment="1">
      <alignment horizontal="center" vertical="center" wrapText="1"/>
    </xf>
    <xf numFmtId="0" fontId="37" fillId="0" borderId="1" xfId="58" applyFont="1" applyFill="1" applyBorder="1" applyAlignment="1">
      <alignment horizontal="left" vertical="center" wrapText="1"/>
    </xf>
    <xf numFmtId="3" fontId="35" fillId="0" borderId="1" xfId="58" applyNumberFormat="1" applyFont="1" applyFill="1" applyBorder="1" applyAlignment="1">
      <alignment horizontal="center" vertical="center" wrapText="1"/>
    </xf>
    <xf numFmtId="3" fontId="35" fillId="0" borderId="12" xfId="58" applyNumberFormat="1" applyFont="1" applyFill="1" applyBorder="1" applyAlignment="1">
      <alignment horizontal="right" vertical="center" wrapText="1"/>
    </xf>
    <xf numFmtId="49" fontId="39" fillId="0" borderId="1" xfId="58" applyNumberFormat="1" applyFont="1" applyFill="1" applyBorder="1" applyAlignment="1">
      <alignment vertical="center"/>
    </xf>
    <xf numFmtId="49" fontId="35" fillId="0" borderId="1" xfId="58" applyNumberFormat="1" applyFont="1" applyFill="1" applyBorder="1" applyAlignment="1">
      <alignment horizontal="center" vertical="center" wrapText="1"/>
    </xf>
    <xf numFmtId="3" fontId="37" fillId="0" borderId="1" xfId="58" applyNumberFormat="1" applyFont="1" applyFill="1" applyBorder="1" applyAlignment="1">
      <alignment horizontal="right" vertical="center" wrapText="1"/>
    </xf>
    <xf numFmtId="3" fontId="37" fillId="0" borderId="1" xfId="58" applyNumberFormat="1" applyFont="1" applyFill="1" applyBorder="1" applyAlignment="1">
      <alignment horizontal="center" vertical="center" wrapText="1"/>
    </xf>
    <xf numFmtId="0" fontId="37" fillId="0" borderId="1" xfId="61" applyFont="1" applyFill="1" applyBorder="1" applyAlignment="1">
      <alignment vertical="center" wrapText="1"/>
    </xf>
    <xf numFmtId="3" fontId="37" fillId="0" borderId="1" xfId="58" applyNumberFormat="1" applyFont="1" applyFill="1" applyBorder="1" applyAlignment="1">
      <alignment vertical="center"/>
    </xf>
    <xf numFmtId="0" fontId="37" fillId="0" borderId="1" xfId="58" applyFont="1" applyFill="1" applyBorder="1" applyAlignment="1">
      <alignment horizontal="center" vertical="center" wrapText="1"/>
    </xf>
    <xf numFmtId="1" fontId="37" fillId="0" borderId="1" xfId="58" applyNumberFormat="1" applyFont="1" applyFill="1" applyBorder="1" applyAlignment="1">
      <alignment horizontal="center" vertical="center"/>
    </xf>
    <xf numFmtId="3" fontId="37" fillId="0" borderId="1" xfId="58" applyNumberFormat="1" applyFont="1" applyFill="1" applyBorder="1" applyAlignment="1">
      <alignment vertical="center" wrapText="1"/>
    </xf>
    <xf numFmtId="3" fontId="35" fillId="0" borderId="1" xfId="58" applyNumberFormat="1" applyFont="1" applyFill="1" applyBorder="1" applyAlignment="1">
      <alignment horizontal="right" vertical="center" wrapText="1"/>
    </xf>
    <xf numFmtId="1" fontId="37" fillId="0" borderId="1" xfId="58" applyNumberFormat="1" applyFont="1" applyFill="1" applyBorder="1" applyAlignment="1">
      <alignment vertical="center"/>
    </xf>
    <xf numFmtId="49" fontId="37" fillId="0" borderId="1" xfId="58" applyNumberFormat="1" applyFont="1" applyFill="1" applyBorder="1" applyAlignment="1">
      <alignment horizontal="center" vertical="center"/>
    </xf>
    <xf numFmtId="0" fontId="38" fillId="0" borderId="1" xfId="58" applyFont="1" applyFill="1" applyBorder="1" applyAlignment="1">
      <alignment vertical="center" wrapText="1"/>
    </xf>
    <xf numFmtId="3" fontId="35" fillId="0" borderId="1" xfId="58" applyNumberFormat="1" applyFont="1" applyFill="1" applyBorder="1" applyAlignment="1">
      <alignment horizontal="right" vertical="center"/>
    </xf>
    <xf numFmtId="3" fontId="37" fillId="0" borderId="0" xfId="58" applyNumberFormat="1" applyFont="1" applyFill="1" applyAlignment="1">
      <alignment horizontal="center" vertical="center"/>
    </xf>
    <xf numFmtId="3" fontId="37" fillId="0" borderId="0" xfId="58" applyNumberFormat="1" applyFont="1" applyFill="1"/>
    <xf numFmtId="3" fontId="37" fillId="0" borderId="0" xfId="58" applyNumberFormat="1" applyFont="1" applyFill="1" applyAlignment="1">
      <alignment horizontal="center"/>
    </xf>
    <xf numFmtId="49" fontId="37" fillId="0" borderId="0" xfId="58" applyNumberFormat="1" applyFont="1" applyFill="1"/>
    <xf numFmtId="0" fontId="35" fillId="0" borderId="0" xfId="58" applyFont="1" applyFill="1"/>
    <xf numFmtId="0" fontId="37" fillId="0" borderId="0" xfId="58" applyFont="1" applyFill="1" applyAlignment="1">
      <alignment horizontal="center" vertical="center"/>
    </xf>
    <xf numFmtId="3" fontId="35" fillId="0" borderId="0" xfId="58" applyNumberFormat="1" applyFont="1" applyFill="1"/>
    <xf numFmtId="0" fontId="37" fillId="0" borderId="0" xfId="58" applyFont="1" applyFill="1" applyAlignment="1">
      <alignment horizontal="center"/>
    </xf>
    <xf numFmtId="49" fontId="65" fillId="0" borderId="0" xfId="58" applyNumberFormat="1" applyFont="1" applyFill="1"/>
    <xf numFmtId="0" fontId="20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35" fillId="0" borderId="1" xfId="58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0" fillId="0" borderId="0" xfId="64" applyFont="1" applyFill="1" applyBorder="1" applyAlignment="1">
      <alignment horizontal="left" vertical="center"/>
    </xf>
    <xf numFmtId="0" fontId="40" fillId="0" borderId="0" xfId="64" applyFont="1" applyFill="1" applyBorder="1" applyAlignment="1">
      <alignment vertical="center"/>
    </xf>
    <xf numFmtId="3" fontId="41" fillId="0" borderId="0" xfId="64" applyNumberFormat="1" applyFont="1" applyFill="1" applyAlignment="1">
      <alignment vertical="center"/>
    </xf>
    <xf numFmtId="0" fontId="40" fillId="0" borderId="0" xfId="64" applyFont="1" applyFill="1" applyBorder="1" applyAlignment="1">
      <alignment horizontal="right" vertical="center"/>
    </xf>
    <xf numFmtId="0" fontId="41" fillId="0" borderId="0" xfId="64" applyFont="1" applyFill="1" applyAlignment="1">
      <alignment vertical="center"/>
    </xf>
    <xf numFmtId="0" fontId="42" fillId="0" borderId="0" xfId="64" applyFont="1" applyFill="1" applyBorder="1" applyAlignment="1">
      <alignment horizontal="left" vertical="center"/>
    </xf>
    <xf numFmtId="3" fontId="43" fillId="0" borderId="0" xfId="64" applyNumberFormat="1" applyFont="1" applyFill="1" applyAlignment="1">
      <alignment vertical="center"/>
    </xf>
    <xf numFmtId="3" fontId="69" fillId="0" borderId="0" xfId="64" applyNumberFormat="1" applyFont="1" applyFill="1" applyAlignment="1">
      <alignment horizontal="right" vertical="center"/>
    </xf>
    <xf numFmtId="0" fontId="44" fillId="0" borderId="0" xfId="64" applyFont="1" applyFill="1" applyAlignment="1">
      <alignment vertical="center"/>
    </xf>
    <xf numFmtId="0" fontId="43" fillId="0" borderId="0" xfId="64" applyFont="1" applyFill="1" applyAlignment="1">
      <alignment vertical="center"/>
    </xf>
    <xf numFmtId="3" fontId="32" fillId="0" borderId="88" xfId="65" applyNumberFormat="1" applyFont="1" applyFill="1" applyBorder="1" applyAlignment="1">
      <alignment horizontal="center" vertical="center"/>
    </xf>
    <xf numFmtId="3" fontId="32" fillId="0" borderId="16" xfId="65" applyNumberFormat="1" applyFont="1" applyFill="1" applyBorder="1" applyAlignment="1">
      <alignment horizontal="center" vertical="center"/>
    </xf>
    <xf numFmtId="3" fontId="32" fillId="0" borderId="108" xfId="65" applyNumberFormat="1" applyFont="1" applyFill="1" applyBorder="1" applyAlignment="1">
      <alignment horizontal="center" vertical="center"/>
    </xf>
    <xf numFmtId="3" fontId="32" fillId="0" borderId="37" xfId="65" applyNumberFormat="1" applyFont="1" applyFill="1" applyBorder="1" applyAlignment="1">
      <alignment horizontal="center" vertical="center"/>
    </xf>
    <xf numFmtId="3" fontId="32" fillId="0" borderId="38" xfId="65" applyNumberFormat="1" applyFont="1" applyFill="1" applyBorder="1" applyAlignment="1">
      <alignment horizontal="center" vertical="center"/>
    </xf>
    <xf numFmtId="3" fontId="32" fillId="0" borderId="109" xfId="65" applyNumberFormat="1" applyFont="1" applyFill="1" applyBorder="1" applyAlignment="1">
      <alignment horizontal="center" vertical="center"/>
    </xf>
    <xf numFmtId="3" fontId="32" fillId="0" borderId="89" xfId="65" applyNumberFormat="1" applyFont="1" applyFill="1" applyBorder="1" applyAlignment="1">
      <alignment horizontal="center" vertical="center"/>
    </xf>
    <xf numFmtId="0" fontId="28" fillId="0" borderId="49" xfId="64" applyFont="1" applyFill="1" applyBorder="1" applyAlignment="1">
      <alignment horizontal="left" vertical="center"/>
    </xf>
    <xf numFmtId="0" fontId="28" fillId="0" borderId="50" xfId="64" applyFont="1" applyFill="1" applyBorder="1" applyAlignment="1">
      <alignment horizontal="left" vertical="center"/>
    </xf>
    <xf numFmtId="166" fontId="28" fillId="0" borderId="65" xfId="65" applyNumberFormat="1" applyFont="1" applyFill="1" applyBorder="1" applyAlignment="1">
      <alignment horizontal="right" vertical="center"/>
    </xf>
    <xf numFmtId="166" fontId="28" fillId="0" borderId="36" xfId="65" applyNumberFormat="1" applyFont="1" applyFill="1" applyBorder="1" applyAlignment="1">
      <alignment horizontal="right" vertical="center"/>
    </xf>
    <xf numFmtId="166" fontId="28" fillId="0" borderId="50" xfId="65" applyNumberFormat="1" applyFont="1" applyFill="1" applyBorder="1" applyAlignment="1">
      <alignment horizontal="right" vertical="center"/>
    </xf>
    <xf numFmtId="166" fontId="28" fillId="0" borderId="77" xfId="65" applyNumberFormat="1" applyFont="1" applyFill="1" applyBorder="1" applyAlignment="1">
      <alignment horizontal="right" vertical="center"/>
    </xf>
    <xf numFmtId="166" fontId="28" fillId="0" borderId="68" xfId="65" applyNumberFormat="1" applyFont="1" applyFill="1" applyBorder="1" applyAlignment="1">
      <alignment horizontal="right" vertical="center"/>
    </xf>
    <xf numFmtId="166" fontId="28" fillId="0" borderId="128" xfId="65" applyNumberFormat="1" applyFont="1" applyFill="1" applyBorder="1" applyAlignment="1">
      <alignment horizontal="right" vertical="center"/>
    </xf>
    <xf numFmtId="166" fontId="28" fillId="0" borderId="64" xfId="65" applyNumberFormat="1" applyFont="1" applyFill="1" applyBorder="1" applyAlignment="1">
      <alignment horizontal="right" vertical="center"/>
    </xf>
    <xf numFmtId="0" fontId="28" fillId="0" borderId="43" xfId="64" applyFont="1" applyFill="1" applyBorder="1" applyAlignment="1">
      <alignment horizontal="left" vertical="center"/>
    </xf>
    <xf numFmtId="0" fontId="28" fillId="0" borderId="44" xfId="64" applyFont="1" applyFill="1" applyBorder="1" applyAlignment="1">
      <alignment horizontal="left" vertical="center"/>
    </xf>
    <xf numFmtId="166" fontId="28" fillId="0" borderId="27" xfId="65" applyNumberFormat="1" applyFont="1" applyFill="1" applyBorder="1" applyAlignment="1">
      <alignment horizontal="right" vertical="center"/>
    </xf>
    <xf numFmtId="166" fontId="28" fillId="0" borderId="34" xfId="65" applyNumberFormat="1" applyFont="1" applyFill="1" applyBorder="1" applyAlignment="1">
      <alignment horizontal="right" vertical="center"/>
    </xf>
    <xf numFmtId="166" fontId="28" fillId="0" borderId="44" xfId="65" applyNumberFormat="1" applyFont="1" applyFill="1" applyBorder="1" applyAlignment="1">
      <alignment horizontal="right" vertical="center"/>
    </xf>
    <xf numFmtId="0" fontId="29" fillId="0" borderId="43" xfId="64" applyFont="1" applyFill="1" applyBorder="1" applyAlignment="1">
      <alignment horizontal="left" vertical="center"/>
    </xf>
    <xf numFmtId="0" fontId="29" fillId="0" borderId="44" xfId="64" applyFont="1" applyFill="1" applyBorder="1" applyAlignment="1">
      <alignment horizontal="left" vertical="center"/>
    </xf>
    <xf numFmtId="166" fontId="29" fillId="0" borderId="27" xfId="65" applyNumberFormat="1" applyFont="1" applyFill="1" applyBorder="1" applyAlignment="1">
      <alignment horizontal="right" vertical="center"/>
    </xf>
    <xf numFmtId="166" fontId="29" fillId="0" borderId="34" xfId="65" applyNumberFormat="1" applyFont="1" applyFill="1" applyBorder="1" applyAlignment="1">
      <alignment horizontal="right" vertical="center"/>
    </xf>
    <xf numFmtId="166" fontId="29" fillId="0" borderId="44" xfId="65" applyNumberFormat="1" applyFont="1" applyFill="1" applyBorder="1" applyAlignment="1">
      <alignment horizontal="right" vertical="center"/>
    </xf>
    <xf numFmtId="166" fontId="29" fillId="0" borderId="62" xfId="65" applyNumberFormat="1" applyFont="1" applyFill="1" applyBorder="1" applyAlignment="1">
      <alignment horizontal="right" vertical="center"/>
    </xf>
    <xf numFmtId="166" fontId="29" fillId="0" borderId="33" xfId="65" applyNumberFormat="1" applyFont="1" applyFill="1" applyBorder="1" applyAlignment="1">
      <alignment horizontal="right" vertical="center"/>
    </xf>
    <xf numFmtId="166" fontId="29" fillId="0" borderId="129" xfId="65" applyNumberFormat="1" applyFont="1" applyFill="1" applyBorder="1" applyAlignment="1">
      <alignment horizontal="right" vertical="center"/>
    </xf>
    <xf numFmtId="3" fontId="46" fillId="0" borderId="0" xfId="64" applyNumberFormat="1" applyFont="1" applyFill="1" applyAlignment="1">
      <alignment vertical="center"/>
    </xf>
    <xf numFmtId="0" fontId="47" fillId="0" borderId="0" xfId="64" applyFont="1" applyFill="1" applyAlignment="1">
      <alignment vertical="center"/>
    </xf>
    <xf numFmtId="0" fontId="31" fillId="0" borderId="43" xfId="64" applyFont="1" applyFill="1" applyBorder="1" applyAlignment="1">
      <alignment horizontal="left" vertical="center"/>
    </xf>
    <xf numFmtId="0" fontId="31" fillId="0" borderId="44" xfId="64" applyFont="1" applyFill="1" applyBorder="1" applyAlignment="1">
      <alignment horizontal="left" vertical="center"/>
    </xf>
    <xf numFmtId="166" fontId="31" fillId="0" borderId="27" xfId="65" applyNumberFormat="1" applyFont="1" applyFill="1" applyBorder="1" applyAlignment="1">
      <alignment horizontal="right" vertical="center"/>
    </xf>
    <xf numFmtId="166" fontId="31" fillId="0" borderId="34" xfId="65" applyNumberFormat="1" applyFont="1" applyFill="1" applyBorder="1" applyAlignment="1">
      <alignment horizontal="right" vertical="center"/>
    </xf>
    <xf numFmtId="166" fontId="31" fillId="0" borderId="44" xfId="65" applyNumberFormat="1" applyFont="1" applyFill="1" applyBorder="1" applyAlignment="1">
      <alignment horizontal="right" vertical="center"/>
    </xf>
    <xf numFmtId="166" fontId="31" fillId="0" borderId="62" xfId="65" applyNumberFormat="1" applyFont="1" applyFill="1" applyBorder="1" applyAlignment="1">
      <alignment horizontal="right" vertical="center"/>
    </xf>
    <xf numFmtId="166" fontId="31" fillId="0" borderId="33" xfId="65" applyNumberFormat="1" applyFont="1" applyFill="1" applyBorder="1" applyAlignment="1">
      <alignment horizontal="right" vertical="center"/>
    </xf>
    <xf numFmtId="166" fontId="31" fillId="0" borderId="129" xfId="65" applyNumberFormat="1" applyFont="1" applyFill="1" applyBorder="1" applyAlignment="1">
      <alignment horizontal="right" vertical="center"/>
    </xf>
    <xf numFmtId="3" fontId="48" fillId="0" borderId="0" xfId="64" applyNumberFormat="1" applyFont="1" applyFill="1" applyAlignment="1">
      <alignment vertical="center"/>
    </xf>
    <xf numFmtId="0" fontId="49" fillId="0" borderId="0" xfId="64" applyFont="1" applyFill="1" applyAlignment="1">
      <alignment vertical="center"/>
    </xf>
    <xf numFmtId="0" fontId="28" fillId="0" borderId="46" xfId="64" applyFont="1" applyFill="1" applyBorder="1" applyAlignment="1">
      <alignment horizontal="left" vertical="center"/>
    </xf>
    <xf numFmtId="0" fontId="28" fillId="0" borderId="47" xfId="64" applyFont="1" applyFill="1" applyBorder="1" applyAlignment="1">
      <alignment horizontal="left" vertical="center"/>
    </xf>
    <xf numFmtId="0" fontId="29" fillId="0" borderId="49" xfId="64" applyFont="1" applyFill="1" applyBorder="1" applyAlignment="1">
      <alignment horizontal="left" vertical="center"/>
    </xf>
    <xf numFmtId="0" fontId="29" fillId="0" borderId="50" xfId="64" applyFont="1" applyFill="1" applyBorder="1" applyAlignment="1">
      <alignment horizontal="left" vertical="center"/>
    </xf>
    <xf numFmtId="166" fontId="29" fillId="0" borderId="36" xfId="65" applyNumberFormat="1" applyFont="1" applyFill="1" applyBorder="1" applyAlignment="1">
      <alignment horizontal="right" vertical="center"/>
    </xf>
    <xf numFmtId="166" fontId="29" fillId="0" borderId="77" xfId="65" applyNumberFormat="1" applyFont="1" applyFill="1" applyBorder="1" applyAlignment="1">
      <alignment horizontal="right" vertical="center"/>
    </xf>
    <xf numFmtId="166" fontId="29" fillId="0" borderId="68" xfId="65" applyNumberFormat="1" applyFont="1" applyFill="1" applyBorder="1" applyAlignment="1">
      <alignment horizontal="right" vertical="center"/>
    </xf>
    <xf numFmtId="166" fontId="29" fillId="0" borderId="128" xfId="65" applyNumberFormat="1" applyFont="1" applyFill="1" applyBorder="1" applyAlignment="1">
      <alignment horizontal="right" vertical="center"/>
    </xf>
    <xf numFmtId="166" fontId="29" fillId="0" borderId="50" xfId="65" applyNumberFormat="1" applyFont="1" applyFill="1" applyBorder="1" applyAlignment="1">
      <alignment horizontal="right" vertical="center"/>
    </xf>
    <xf numFmtId="166" fontId="31" fillId="0" borderId="36" xfId="65" applyNumberFormat="1" applyFont="1" applyFill="1" applyBorder="1" applyAlignment="1">
      <alignment horizontal="right" vertical="center"/>
    </xf>
    <xf numFmtId="166" fontId="31" fillId="0" borderId="77" xfId="65" applyNumberFormat="1" applyFont="1" applyFill="1" applyBorder="1" applyAlignment="1">
      <alignment horizontal="right" vertical="center"/>
    </xf>
    <xf numFmtId="166" fontId="31" fillId="0" borderId="68" xfId="65" applyNumberFormat="1" applyFont="1" applyFill="1" applyBorder="1" applyAlignment="1">
      <alignment horizontal="right" vertical="center"/>
    </xf>
    <xf numFmtId="166" fontId="31" fillId="0" borderId="128" xfId="65" applyNumberFormat="1" applyFont="1" applyFill="1" applyBorder="1" applyAlignment="1">
      <alignment horizontal="right" vertical="center"/>
    </xf>
    <xf numFmtId="166" fontId="31" fillId="0" borderId="50" xfId="65" applyNumberFormat="1" applyFont="1" applyFill="1" applyBorder="1" applyAlignment="1">
      <alignment horizontal="right" vertical="center"/>
    </xf>
    <xf numFmtId="0" fontId="29" fillId="0" borderId="51" xfId="64" applyFont="1" applyFill="1" applyBorder="1" applyAlignment="1">
      <alignment horizontal="left" vertical="center"/>
    </xf>
    <xf numFmtId="0" fontId="29" fillId="0" borderId="52" xfId="64" applyFont="1" applyFill="1" applyBorder="1" applyAlignment="1">
      <alignment horizontal="left" vertical="center"/>
    </xf>
    <xf numFmtId="166" fontId="29" fillId="0" borderId="90" xfId="65" applyNumberFormat="1" applyFont="1" applyFill="1" applyBorder="1" applyAlignment="1">
      <alignment horizontal="right" vertical="center"/>
    </xf>
    <xf numFmtId="166" fontId="29" fillId="0" borderId="91" xfId="65" applyNumberFormat="1" applyFont="1" applyFill="1" applyBorder="1" applyAlignment="1">
      <alignment horizontal="right" vertical="center"/>
    </xf>
    <xf numFmtId="166" fontId="29" fillId="0" borderId="54" xfId="65" applyNumberFormat="1" applyFont="1" applyFill="1" applyBorder="1" applyAlignment="1">
      <alignment horizontal="right" vertical="center"/>
    </xf>
    <xf numFmtId="166" fontId="29" fillId="0" borderId="35" xfId="65" applyNumberFormat="1" applyFont="1" applyFill="1" applyBorder="1" applyAlignment="1">
      <alignment horizontal="right" vertical="center"/>
    </xf>
    <xf numFmtId="166" fontId="29" fillId="0" borderId="130" xfId="65" applyNumberFormat="1" applyFont="1" applyFill="1" applyBorder="1" applyAlignment="1">
      <alignment horizontal="right" vertical="center"/>
    </xf>
    <xf numFmtId="166" fontId="29" fillId="0" borderId="71" xfId="65" applyNumberFormat="1" applyFont="1" applyFill="1" applyBorder="1" applyAlignment="1">
      <alignment horizontal="right" vertical="center"/>
    </xf>
    <xf numFmtId="166" fontId="29" fillId="0" borderId="131" xfId="65" applyNumberFormat="1" applyFont="1" applyFill="1" applyBorder="1" applyAlignment="1">
      <alignment horizontal="right" vertical="center"/>
    </xf>
    <xf numFmtId="166" fontId="29" fillId="0" borderId="132" xfId="65" applyNumberFormat="1" applyFont="1" applyFill="1" applyBorder="1" applyAlignment="1">
      <alignment horizontal="right" vertical="center"/>
    </xf>
    <xf numFmtId="0" fontId="22" fillId="0" borderId="55" xfId="64" applyFont="1" applyFill="1" applyBorder="1" applyAlignment="1">
      <alignment horizontal="left" vertical="center"/>
    </xf>
    <xf numFmtId="0" fontId="22" fillId="0" borderId="56" xfId="64" applyFont="1" applyFill="1" applyBorder="1" applyAlignment="1">
      <alignment horizontal="left" vertical="center"/>
    </xf>
    <xf numFmtId="166" fontId="22" fillId="0" borderId="65" xfId="65" applyNumberFormat="1" applyFont="1" applyFill="1" applyBorder="1" applyAlignment="1">
      <alignment horizontal="right" vertical="center"/>
    </xf>
    <xf numFmtId="166" fontId="22" fillId="0" borderId="93" xfId="65" applyNumberFormat="1" applyFont="1" applyFill="1" applyBorder="1" applyAlignment="1">
      <alignment horizontal="right" vertical="center"/>
    </xf>
    <xf numFmtId="166" fontId="22" fillId="0" borderId="94" xfId="65" applyNumberFormat="1" applyFont="1" applyFill="1" applyBorder="1" applyAlignment="1">
      <alignment horizontal="right" vertical="center"/>
    </xf>
    <xf numFmtId="166" fontId="22" fillId="0" borderId="58" xfId="65" applyNumberFormat="1" applyFont="1" applyFill="1" applyBorder="1" applyAlignment="1">
      <alignment horizontal="right" vertical="center"/>
    </xf>
    <xf numFmtId="166" fontId="22" fillId="0" borderId="104" xfId="65" applyNumberFormat="1" applyFont="1" applyFill="1" applyBorder="1" applyAlignment="1">
      <alignment horizontal="right" vertical="center"/>
    </xf>
    <xf numFmtId="166" fontId="22" fillId="0" borderId="114" xfId="65" applyNumberFormat="1" applyFont="1" applyFill="1" applyBorder="1" applyAlignment="1">
      <alignment horizontal="right" vertical="center"/>
    </xf>
    <xf numFmtId="166" fontId="22" fillId="0" borderId="115" xfId="65" applyNumberFormat="1" applyFont="1" applyFill="1" applyBorder="1" applyAlignment="1">
      <alignment horizontal="right" vertical="center"/>
    </xf>
    <xf numFmtId="166" fontId="22" fillId="0" borderId="57" xfId="65" applyNumberFormat="1" applyFont="1" applyFill="1" applyBorder="1" applyAlignment="1">
      <alignment horizontal="right" vertical="center"/>
    </xf>
    <xf numFmtId="0" fontId="46" fillId="0" borderId="0" xfId="64" applyFont="1" applyFill="1" applyAlignment="1">
      <alignment vertical="center"/>
    </xf>
    <xf numFmtId="0" fontId="22" fillId="0" borderId="79" xfId="64" applyFont="1" applyFill="1" applyBorder="1" applyAlignment="1">
      <alignment horizontal="left" vertical="center"/>
    </xf>
    <xf numFmtId="0" fontId="22" fillId="0" borderId="95" xfId="64" applyFont="1" applyFill="1" applyBorder="1" applyAlignment="1">
      <alignment horizontal="left" vertical="center"/>
    </xf>
    <xf numFmtId="166" fontId="22" fillId="7" borderId="96" xfId="65" applyNumberFormat="1" applyFont="1" applyFill="1" applyBorder="1" applyAlignment="1">
      <alignment horizontal="right" vertical="center"/>
    </xf>
    <xf numFmtId="166" fontId="22" fillId="7" borderId="58" xfId="65" applyNumberFormat="1" applyFont="1" applyFill="1" applyBorder="1" applyAlignment="1">
      <alignment horizontal="right" vertical="center"/>
    </xf>
    <xf numFmtId="166" fontId="22" fillId="7" borderId="97" xfId="65" applyNumberFormat="1" applyFont="1" applyFill="1" applyBorder="1" applyAlignment="1">
      <alignment horizontal="right" vertical="center"/>
    </xf>
    <xf numFmtId="166" fontId="22" fillId="7" borderId="116" xfId="65" applyNumberFormat="1" applyFont="1" applyFill="1" applyBorder="1" applyAlignment="1">
      <alignment horizontal="right" vertical="center"/>
    </xf>
    <xf numFmtId="166" fontId="22" fillId="7" borderId="99" xfId="65" applyNumberFormat="1" applyFont="1" applyFill="1" applyBorder="1" applyAlignment="1">
      <alignment horizontal="right" vertical="center"/>
    </xf>
    <xf numFmtId="166" fontId="29" fillId="0" borderId="57" xfId="65" applyNumberFormat="1" applyFont="1" applyFill="1" applyBorder="1" applyAlignment="1">
      <alignment horizontal="right" vertical="center"/>
    </xf>
    <xf numFmtId="166" fontId="22" fillId="7" borderId="66" xfId="65" applyNumberFormat="1" applyFont="1" applyFill="1" applyBorder="1" applyAlignment="1">
      <alignment horizontal="right" vertical="center"/>
    </xf>
    <xf numFmtId="166" fontId="22" fillId="7" borderId="0" xfId="65" applyNumberFormat="1" applyFont="1" applyFill="1" applyBorder="1" applyAlignment="1">
      <alignment horizontal="right" vertical="center"/>
    </xf>
    <xf numFmtId="166" fontId="22" fillId="0" borderId="99" xfId="65" applyNumberFormat="1" applyFont="1" applyFill="1" applyBorder="1" applyAlignment="1">
      <alignment horizontal="right" vertical="center"/>
    </xf>
    <xf numFmtId="166" fontId="22" fillId="0" borderId="117" xfId="65" applyNumberFormat="1" applyFont="1" applyFill="1" applyBorder="1" applyAlignment="1">
      <alignment horizontal="right" vertical="center"/>
    </xf>
    <xf numFmtId="0" fontId="21" fillId="0" borderId="39" xfId="64" applyFont="1" applyFill="1" applyBorder="1" applyAlignment="1">
      <alignment horizontal="left" vertical="center"/>
    </xf>
    <xf numFmtId="0" fontId="45" fillId="0" borderId="60" xfId="64" applyFont="1" applyFill="1" applyBorder="1" applyAlignment="1">
      <alignment horizontal="center" vertical="center"/>
    </xf>
    <xf numFmtId="3" fontId="31" fillId="0" borderId="100" xfId="65" applyNumberFormat="1" applyFont="1" applyFill="1" applyBorder="1" applyAlignment="1">
      <alignment horizontal="center" vertical="center"/>
    </xf>
    <xf numFmtId="3" fontId="31" fillId="0" borderId="40" xfId="65" applyNumberFormat="1" applyFont="1" applyFill="1" applyBorder="1" applyAlignment="1">
      <alignment horizontal="center" vertical="center"/>
    </xf>
    <xf numFmtId="3" fontId="31" fillId="0" borderId="42" xfId="65" applyNumberFormat="1" applyFont="1" applyFill="1" applyBorder="1" applyAlignment="1">
      <alignment horizontal="center" vertical="center"/>
    </xf>
    <xf numFmtId="166" fontId="28" fillId="0" borderId="31" xfId="65" applyNumberFormat="1" applyFont="1" applyFill="1" applyBorder="1" applyAlignment="1">
      <alignment horizontal="right" vertical="center"/>
    </xf>
    <xf numFmtId="0" fontId="31" fillId="0" borderId="51" xfId="64" applyFont="1" applyFill="1" applyBorder="1" applyAlignment="1">
      <alignment horizontal="left" vertical="center"/>
    </xf>
    <xf numFmtId="0" fontId="31" fillId="0" borderId="52" xfId="64" applyFont="1" applyFill="1" applyBorder="1" applyAlignment="1">
      <alignment horizontal="left" vertical="center"/>
    </xf>
    <xf numFmtId="166" fontId="29" fillId="0" borderId="134" xfId="65" applyNumberFormat="1" applyFont="1" applyFill="1" applyBorder="1" applyAlignment="1">
      <alignment horizontal="right" vertical="center"/>
    </xf>
    <xf numFmtId="166" fontId="29" fillId="0" borderId="45" xfId="65" applyNumberFormat="1" applyFont="1" applyFill="1" applyBorder="1" applyAlignment="1">
      <alignment horizontal="right" vertical="center"/>
    </xf>
    <xf numFmtId="166" fontId="28" fillId="0" borderId="62" xfId="65" applyNumberFormat="1" applyFont="1" applyFill="1" applyBorder="1" applyAlignment="1">
      <alignment horizontal="right" vertical="center"/>
    </xf>
    <xf numFmtId="166" fontId="28" fillId="0" borderId="33" xfId="65" applyNumberFormat="1" applyFont="1" applyFill="1" applyBorder="1" applyAlignment="1">
      <alignment horizontal="right" vertical="center"/>
    </xf>
    <xf numFmtId="166" fontId="28" fillId="0" borderId="129" xfId="65" applyNumberFormat="1" applyFont="1" applyFill="1" applyBorder="1" applyAlignment="1">
      <alignment horizontal="right" vertical="center"/>
    </xf>
    <xf numFmtId="166" fontId="28" fillId="0" borderId="45" xfId="65" applyNumberFormat="1" applyFont="1" applyFill="1" applyBorder="1" applyAlignment="1">
      <alignment horizontal="right" vertical="center"/>
    </xf>
    <xf numFmtId="166" fontId="29" fillId="0" borderId="63" xfId="65" applyNumberFormat="1" applyFont="1" applyFill="1" applyBorder="1" applyAlignment="1">
      <alignment horizontal="right" vertical="center"/>
    </xf>
    <xf numFmtId="0" fontId="28" fillId="0" borderId="51" xfId="64" applyFont="1" applyFill="1" applyBorder="1" applyAlignment="1">
      <alignment horizontal="left" vertical="center"/>
    </xf>
    <xf numFmtId="0" fontId="28" fillId="0" borderId="52" xfId="64" applyFont="1" applyFill="1" applyBorder="1" applyAlignment="1">
      <alignment horizontal="left" vertical="center"/>
    </xf>
    <xf numFmtId="0" fontId="29" fillId="0" borderId="46" xfId="64" applyFont="1" applyFill="1" applyBorder="1" applyAlignment="1">
      <alignment horizontal="left" vertical="center"/>
    </xf>
    <xf numFmtId="0" fontId="29" fillId="0" borderId="47" xfId="64" applyFont="1" applyFill="1" applyBorder="1" applyAlignment="1">
      <alignment horizontal="left" vertical="center"/>
    </xf>
    <xf numFmtId="166" fontId="29" fillId="0" borderId="53" xfId="65" applyNumberFormat="1" applyFont="1" applyFill="1" applyBorder="1" applyAlignment="1">
      <alignment horizontal="right" vertical="center"/>
    </xf>
    <xf numFmtId="166" fontId="29" fillId="0" borderId="47" xfId="65" applyNumberFormat="1" applyFont="1" applyFill="1" applyBorder="1" applyAlignment="1">
      <alignment horizontal="right" vertical="center"/>
    </xf>
    <xf numFmtId="166" fontId="29" fillId="0" borderId="48" xfId="65" applyNumberFormat="1" applyFont="1" applyFill="1" applyBorder="1" applyAlignment="1">
      <alignment horizontal="right" vertical="center"/>
    </xf>
    <xf numFmtId="0" fontId="46" fillId="0" borderId="55" xfId="64" applyFont="1" applyFill="1" applyBorder="1" applyAlignment="1">
      <alignment horizontal="left" vertical="center"/>
    </xf>
    <xf numFmtId="0" fontId="46" fillId="0" borderId="56" xfId="64" applyFont="1" applyFill="1" applyBorder="1" applyAlignment="1">
      <alignment horizontal="left" vertical="center"/>
    </xf>
    <xf numFmtId="166" fontId="22" fillId="0" borderId="96" xfId="65" applyNumberFormat="1" applyFont="1" applyFill="1" applyBorder="1" applyAlignment="1">
      <alignment horizontal="right" vertical="center"/>
    </xf>
    <xf numFmtId="166" fontId="22" fillId="0" borderId="56" xfId="65" applyNumberFormat="1" applyFont="1" applyFill="1" applyBorder="1" applyAlignment="1">
      <alignment horizontal="right" vertical="center"/>
    </xf>
    <xf numFmtId="166" fontId="46" fillId="0" borderId="58" xfId="64" applyNumberFormat="1" applyFont="1" applyFill="1" applyBorder="1" applyAlignment="1">
      <alignment vertical="center"/>
    </xf>
    <xf numFmtId="166" fontId="46" fillId="0" borderId="104" xfId="64" applyNumberFormat="1" applyFont="1" applyFill="1" applyBorder="1" applyAlignment="1">
      <alignment vertical="center"/>
    </xf>
    <xf numFmtId="166" fontId="46" fillId="0" borderId="114" xfId="64" applyNumberFormat="1" applyFont="1" applyFill="1" applyBorder="1" applyAlignment="1">
      <alignment vertical="center"/>
    </xf>
    <xf numFmtId="166" fontId="46" fillId="0" borderId="115" xfId="64" applyNumberFormat="1" applyFont="1" applyFill="1" applyBorder="1" applyAlignment="1">
      <alignment vertical="center"/>
    </xf>
    <xf numFmtId="166" fontId="46" fillId="0" borderId="57" xfId="64" applyNumberFormat="1" applyFont="1" applyFill="1" applyBorder="1" applyAlignment="1">
      <alignment vertical="center"/>
    </xf>
    <xf numFmtId="0" fontId="22" fillId="0" borderId="102" xfId="64" applyFont="1" applyFill="1" applyBorder="1" applyAlignment="1">
      <alignment horizontal="left" vertical="center"/>
    </xf>
    <xf numFmtId="0" fontId="22" fillId="0" borderId="99" xfId="64" applyFont="1" applyFill="1" applyBorder="1" applyAlignment="1">
      <alignment horizontal="left" vertical="center"/>
    </xf>
    <xf numFmtId="166" fontId="22" fillId="7" borderId="102" xfId="65" applyNumberFormat="1" applyFont="1" applyFill="1" applyBorder="1" applyAlignment="1">
      <alignment horizontal="right" vertical="center"/>
    </xf>
    <xf numFmtId="166" fontId="22" fillId="7" borderId="98" xfId="65" applyNumberFormat="1" applyFont="1" applyFill="1" applyBorder="1" applyAlignment="1">
      <alignment horizontal="right" vertical="center"/>
    </xf>
    <xf numFmtId="166" fontId="22" fillId="0" borderId="103" xfId="65" applyNumberFormat="1" applyFont="1" applyFill="1" applyBorder="1" applyAlignment="1">
      <alignment horizontal="right" vertical="center"/>
    </xf>
    <xf numFmtId="166" fontId="29" fillId="0" borderId="56" xfId="65" applyNumberFormat="1" applyFont="1" applyFill="1" applyBorder="1" applyAlignment="1">
      <alignment horizontal="right" vertical="center"/>
    </xf>
    <xf numFmtId="0" fontId="22" fillId="0" borderId="96" xfId="64" applyFont="1" applyFill="1" applyBorder="1" applyAlignment="1">
      <alignment horizontal="left" vertical="center"/>
    </xf>
    <xf numFmtId="0" fontId="22" fillId="0" borderId="104" xfId="64" applyFont="1" applyFill="1" applyBorder="1" applyAlignment="1">
      <alignment horizontal="left" vertical="center"/>
    </xf>
    <xf numFmtId="166" fontId="22" fillId="7" borderId="59" xfId="65" applyNumberFormat="1" applyFont="1" applyFill="1" applyBorder="1" applyAlignment="1">
      <alignment horizontal="right" vertical="center"/>
    </xf>
    <xf numFmtId="166" fontId="22" fillId="0" borderId="123" xfId="65" applyNumberFormat="1" applyFont="1" applyFill="1" applyBorder="1" applyAlignment="1">
      <alignment horizontal="right" vertical="center"/>
    </xf>
    <xf numFmtId="166" fontId="22" fillId="7" borderId="114" xfId="65" applyNumberFormat="1" applyFont="1" applyFill="1" applyBorder="1" applyAlignment="1">
      <alignment horizontal="right" vertical="center"/>
    </xf>
    <xf numFmtId="166" fontId="22" fillId="0" borderId="124" xfId="65" applyNumberFormat="1" applyFont="1" applyFill="1" applyBorder="1" applyAlignment="1">
      <alignment horizontal="right" vertical="center"/>
    </xf>
    <xf numFmtId="0" fontId="46" fillId="0" borderId="96" xfId="64" applyFont="1" applyFill="1" applyBorder="1" applyAlignment="1">
      <alignment vertical="center"/>
    </xf>
    <xf numFmtId="0" fontId="46" fillId="0" borderId="104" xfId="64" applyFont="1" applyFill="1" applyBorder="1" applyAlignment="1">
      <alignment vertical="center"/>
    </xf>
    <xf numFmtId="0" fontId="46" fillId="7" borderId="96" xfId="64" applyFont="1" applyFill="1" applyBorder="1" applyAlignment="1">
      <alignment vertical="center"/>
    </xf>
    <xf numFmtId="0" fontId="46" fillId="7" borderId="59" xfId="64" applyFont="1" applyFill="1" applyBorder="1" applyAlignment="1">
      <alignment vertical="center"/>
    </xf>
    <xf numFmtId="166" fontId="46" fillId="0" borderId="123" xfId="64" applyNumberFormat="1" applyFont="1" applyFill="1" applyBorder="1" applyAlignment="1">
      <alignment vertical="center"/>
    </xf>
    <xf numFmtId="0" fontId="46" fillId="7" borderId="114" xfId="64" applyFont="1" applyFill="1" applyBorder="1" applyAlignment="1">
      <alignment vertical="center"/>
    </xf>
    <xf numFmtId="166" fontId="46" fillId="0" borderId="124" xfId="64" applyNumberFormat="1" applyFont="1" applyFill="1" applyBorder="1" applyAlignment="1">
      <alignment vertical="center"/>
    </xf>
    <xf numFmtId="0" fontId="46" fillId="7" borderId="58" xfId="64" applyFont="1" applyFill="1" applyBorder="1" applyAlignment="1">
      <alignment vertical="center"/>
    </xf>
    <xf numFmtId="3" fontId="46" fillId="7" borderId="59" xfId="64" applyNumberFormat="1" applyFont="1" applyFill="1" applyBorder="1" applyAlignment="1">
      <alignment vertical="center"/>
    </xf>
    <xf numFmtId="166" fontId="46" fillId="0" borderId="56" xfId="64" applyNumberFormat="1" applyFont="1" applyFill="1" applyBorder="1" applyAlignment="1">
      <alignment vertical="center"/>
    </xf>
    <xf numFmtId="166" fontId="28" fillId="0" borderId="105" xfId="65" applyNumberFormat="1" applyFont="1" applyFill="1" applyBorder="1" applyAlignment="1">
      <alignment horizontal="right" vertical="center"/>
    </xf>
    <xf numFmtId="166" fontId="28" fillId="0" borderId="26" xfId="65" applyNumberFormat="1" applyFont="1" applyFill="1" applyBorder="1" applyAlignment="1">
      <alignment horizontal="right" vertical="center"/>
    </xf>
    <xf numFmtId="166" fontId="28" fillId="0" borderId="110" xfId="65" applyNumberFormat="1" applyFont="1" applyFill="1" applyBorder="1" applyAlignment="1">
      <alignment horizontal="right" vertical="center"/>
    </xf>
    <xf numFmtId="166" fontId="28" fillId="0" borderId="30" xfId="65" applyNumberFormat="1" applyFont="1" applyFill="1" applyBorder="1" applyAlignment="1">
      <alignment horizontal="right" vertical="center"/>
    </xf>
    <xf numFmtId="166" fontId="28" fillId="0" borderId="67" xfId="65" applyNumberFormat="1" applyFont="1" applyFill="1" applyBorder="1" applyAlignment="1">
      <alignment horizontal="right" vertical="center"/>
    </xf>
    <xf numFmtId="3" fontId="69" fillId="0" borderId="26" xfId="64" applyNumberFormat="1" applyFont="1" applyFill="1" applyBorder="1" applyAlignment="1">
      <alignment vertical="center"/>
    </xf>
    <xf numFmtId="3" fontId="69" fillId="0" borderId="64" xfId="64" applyNumberFormat="1" applyFont="1" applyFill="1" applyBorder="1" applyAlignment="1">
      <alignment vertical="center"/>
    </xf>
    <xf numFmtId="166" fontId="28" fillId="0" borderId="25" xfId="65" applyNumberFormat="1" applyFont="1" applyFill="1" applyBorder="1" applyAlignment="1">
      <alignment horizontal="right" vertical="center"/>
    </xf>
    <xf numFmtId="166" fontId="28" fillId="0" borderId="111" xfId="65" applyNumberFormat="1" applyFont="1" applyFill="1" applyBorder="1" applyAlignment="1">
      <alignment horizontal="right" vertical="center"/>
    </xf>
    <xf numFmtId="166" fontId="28" fillId="0" borderId="32" xfId="65" applyNumberFormat="1" applyFont="1" applyFill="1" applyBorder="1" applyAlignment="1">
      <alignment horizontal="right" vertical="center"/>
    </xf>
    <xf numFmtId="3" fontId="69" fillId="0" borderId="25" xfId="64" applyNumberFormat="1" applyFont="1" applyFill="1" applyBorder="1" applyAlignment="1">
      <alignment vertical="center"/>
    </xf>
    <xf numFmtId="3" fontId="69" fillId="0" borderId="44" xfId="64" applyNumberFormat="1" applyFont="1" applyFill="1" applyBorder="1" applyAlignment="1">
      <alignment vertical="center"/>
    </xf>
    <xf numFmtId="166" fontId="29" fillId="0" borderId="25" xfId="65" applyNumberFormat="1" applyFont="1" applyFill="1" applyBorder="1" applyAlignment="1">
      <alignment horizontal="right" vertical="center"/>
    </xf>
    <xf numFmtId="166" fontId="29" fillId="0" borderId="111" xfId="65" applyNumberFormat="1" applyFont="1" applyFill="1" applyBorder="1" applyAlignment="1">
      <alignment horizontal="right" vertical="center"/>
    </xf>
    <xf numFmtId="166" fontId="29" fillId="0" borderId="32" xfId="65" applyNumberFormat="1" applyFont="1" applyFill="1" applyBorder="1" applyAlignment="1">
      <alignment horizontal="right" vertical="center"/>
    </xf>
    <xf numFmtId="166" fontId="31" fillId="0" borderId="25" xfId="65" applyNumberFormat="1" applyFont="1" applyFill="1" applyBorder="1" applyAlignment="1">
      <alignment horizontal="right" vertical="center"/>
    </xf>
    <xf numFmtId="166" fontId="31" fillId="0" borderId="111" xfId="65" applyNumberFormat="1" applyFont="1" applyFill="1" applyBorder="1" applyAlignment="1">
      <alignment horizontal="right" vertical="center"/>
    </xf>
    <xf numFmtId="166" fontId="31" fillId="0" borderId="32" xfId="65" applyNumberFormat="1" applyFont="1" applyFill="1" applyBorder="1" applyAlignment="1">
      <alignment horizontal="right" vertical="center"/>
    </xf>
    <xf numFmtId="3" fontId="70" fillId="0" borderId="25" xfId="64" applyNumberFormat="1" applyFont="1" applyFill="1" applyBorder="1" applyAlignment="1">
      <alignment vertical="center"/>
    </xf>
    <xf numFmtId="166" fontId="29" fillId="0" borderId="92" xfId="65" applyNumberFormat="1" applyFont="1" applyFill="1" applyBorder="1" applyAlignment="1">
      <alignment horizontal="right" vertical="center"/>
    </xf>
    <xf numFmtId="166" fontId="29" fillId="0" borderId="112" xfId="65" applyNumberFormat="1" applyFont="1" applyFill="1" applyBorder="1" applyAlignment="1">
      <alignment horizontal="right" vertical="center"/>
    </xf>
    <xf numFmtId="166" fontId="29" fillId="0" borderId="113" xfId="65" applyNumberFormat="1" applyFont="1" applyFill="1" applyBorder="1" applyAlignment="1">
      <alignment horizontal="right" vertical="center"/>
    </xf>
    <xf numFmtId="166" fontId="22" fillId="0" borderId="95" xfId="65" applyNumberFormat="1" applyFont="1" applyFill="1" applyBorder="1" applyAlignment="1">
      <alignment horizontal="right" vertical="center"/>
    </xf>
    <xf numFmtId="3" fontId="32" fillId="0" borderId="100" xfId="65" applyNumberFormat="1" applyFont="1" applyFill="1" applyBorder="1" applyAlignment="1">
      <alignment horizontal="center" vertical="center"/>
    </xf>
    <xf numFmtId="3" fontId="32" fillId="0" borderId="40" xfId="65" applyNumberFormat="1" applyFont="1" applyFill="1" applyBorder="1" applyAlignment="1">
      <alignment horizontal="center" vertical="center"/>
    </xf>
    <xf numFmtId="3" fontId="32" fillId="0" borderId="42" xfId="65" applyNumberFormat="1" applyFont="1" applyFill="1" applyBorder="1" applyAlignment="1">
      <alignment horizontal="center" vertical="center"/>
    </xf>
    <xf numFmtId="166" fontId="21" fillId="0" borderId="61" xfId="65" applyNumberFormat="1" applyFont="1" applyFill="1" applyBorder="1" applyAlignment="1">
      <alignment horizontal="right" vertical="center"/>
    </xf>
    <xf numFmtId="166" fontId="21" fillId="0" borderId="40" xfId="65" applyNumberFormat="1" applyFont="1" applyFill="1" applyBorder="1" applyAlignment="1">
      <alignment horizontal="right" vertical="center"/>
    </xf>
    <xf numFmtId="166" fontId="21" fillId="0" borderId="118" xfId="65" applyNumberFormat="1" applyFont="1" applyFill="1" applyBorder="1" applyAlignment="1">
      <alignment horizontal="right" vertical="center"/>
    </xf>
    <xf numFmtId="166" fontId="21" fillId="0" borderId="41" xfId="65" applyNumberFormat="1" applyFont="1" applyFill="1" applyBorder="1" applyAlignment="1">
      <alignment horizontal="right" vertical="center"/>
    </xf>
    <xf numFmtId="166" fontId="21" fillId="0" borderId="135" xfId="65" applyNumberFormat="1" applyFont="1" applyFill="1" applyBorder="1" applyAlignment="1">
      <alignment horizontal="right" vertical="center"/>
    </xf>
    <xf numFmtId="166" fontId="21" fillId="0" borderId="101" xfId="65" applyNumberFormat="1" applyFont="1" applyFill="1" applyBorder="1" applyAlignment="1">
      <alignment horizontal="right" vertical="center"/>
    </xf>
    <xf numFmtId="3" fontId="43" fillId="0" borderId="40" xfId="64" applyNumberFormat="1" applyFont="1" applyFill="1" applyBorder="1" applyAlignment="1">
      <alignment vertical="center"/>
    </xf>
    <xf numFmtId="3" fontId="43" fillId="0" borderId="60" xfId="64" applyNumberFormat="1" applyFont="1" applyFill="1" applyBorder="1" applyAlignment="1">
      <alignment vertical="center"/>
    </xf>
    <xf numFmtId="0" fontId="46" fillId="0" borderId="96" xfId="64" applyFont="1" applyFill="1" applyBorder="1" applyAlignment="1">
      <alignment horizontal="left" vertical="center"/>
    </xf>
    <xf numFmtId="166" fontId="46" fillId="0" borderId="136" xfId="64" applyNumberFormat="1" applyFont="1" applyFill="1" applyBorder="1" applyAlignment="1">
      <alignment vertical="center"/>
    </xf>
    <xf numFmtId="166" fontId="22" fillId="0" borderId="121" xfId="65" applyNumberFormat="1" applyFont="1" applyFill="1" applyBorder="1" applyAlignment="1">
      <alignment horizontal="right" vertical="center"/>
    </xf>
    <xf numFmtId="166" fontId="22" fillId="0" borderId="122" xfId="65" applyNumberFormat="1" applyFont="1" applyFill="1" applyBorder="1" applyAlignment="1">
      <alignment horizontal="right" vertical="center"/>
    </xf>
    <xf numFmtId="166" fontId="43" fillId="0" borderId="0" xfId="64" applyNumberFormat="1" applyFont="1" applyFill="1" applyAlignment="1">
      <alignment vertical="center"/>
    </xf>
    <xf numFmtId="166" fontId="28" fillId="0" borderId="35" xfId="65" applyNumberFormat="1" applyFont="1" applyFill="1" applyBorder="1" applyAlignment="1">
      <alignment horizontal="right" vertical="center"/>
    </xf>
    <xf numFmtId="166" fontId="28" fillId="0" borderId="71" xfId="65" applyNumberFormat="1" applyFont="1" applyFill="1" applyBorder="1" applyAlignment="1">
      <alignment horizontal="right" vertical="center"/>
    </xf>
    <xf numFmtId="166" fontId="29" fillId="0" borderId="65" xfId="65" applyNumberFormat="1" applyFont="1" applyFill="1" applyBorder="1" applyAlignment="1">
      <alignment horizontal="right" vertical="center"/>
    </xf>
    <xf numFmtId="166" fontId="29" fillId="0" borderId="93" xfId="65" applyNumberFormat="1" applyFont="1" applyFill="1" applyBorder="1" applyAlignment="1">
      <alignment horizontal="right" vertical="center"/>
    </xf>
    <xf numFmtId="166" fontId="29" fillId="0" borderId="94" xfId="65" applyNumberFormat="1" applyFont="1" applyFill="1" applyBorder="1" applyAlignment="1">
      <alignment horizontal="right" vertical="center"/>
    </xf>
    <xf numFmtId="166" fontId="22" fillId="0" borderId="59" xfId="65" applyNumberFormat="1" applyFont="1" applyFill="1" applyBorder="1" applyAlignment="1">
      <alignment horizontal="right" vertical="center"/>
    </xf>
    <xf numFmtId="166" fontId="21" fillId="0" borderId="119" xfId="65" applyNumberFormat="1" applyFont="1" applyFill="1" applyBorder="1" applyAlignment="1">
      <alignment horizontal="right" vertical="center"/>
    </xf>
    <xf numFmtId="166" fontId="21" fillId="0" borderId="42" xfId="65" applyNumberFormat="1" applyFont="1" applyFill="1" applyBorder="1" applyAlignment="1">
      <alignment horizontal="right" vertical="center"/>
    </xf>
    <xf numFmtId="166" fontId="31" fillId="0" borderId="19" xfId="65" applyNumberFormat="1" applyFont="1" applyFill="1" applyBorder="1" applyAlignment="1">
      <alignment horizontal="right" vertical="center"/>
    </xf>
    <xf numFmtId="166" fontId="31" fillId="0" borderId="120" xfId="65" applyNumberFormat="1" applyFont="1" applyFill="1" applyBorder="1" applyAlignment="1">
      <alignment horizontal="right" vertical="center"/>
    </xf>
    <xf numFmtId="166" fontId="28" fillId="0" borderId="19" xfId="65" applyNumberFormat="1" applyFont="1" applyFill="1" applyBorder="1" applyAlignment="1">
      <alignment horizontal="right" vertical="center"/>
    </xf>
    <xf numFmtId="166" fontId="28" fillId="0" borderId="120" xfId="65" applyNumberFormat="1" applyFont="1" applyFill="1" applyBorder="1" applyAlignment="1">
      <alignment horizontal="right" vertical="center"/>
    </xf>
    <xf numFmtId="166" fontId="29" fillId="0" borderId="66" xfId="65" applyNumberFormat="1" applyFont="1" applyFill="1" applyBorder="1" applyAlignment="1">
      <alignment horizontal="right" vertical="center"/>
    </xf>
    <xf numFmtId="166" fontId="29" fillId="0" borderId="120" xfId="65" applyNumberFormat="1" applyFont="1" applyFill="1" applyBorder="1" applyAlignment="1">
      <alignment horizontal="right" vertical="center"/>
    </xf>
    <xf numFmtId="166" fontId="29" fillId="0" borderId="19" xfId="65" applyNumberFormat="1" applyFont="1" applyFill="1" applyBorder="1" applyAlignment="1">
      <alignment horizontal="right" vertical="center"/>
    </xf>
    <xf numFmtId="166" fontId="29" fillId="0" borderId="96" xfId="65" applyNumberFormat="1" applyFont="1" applyFill="1" applyBorder="1" applyAlignment="1">
      <alignment horizontal="right" vertical="center"/>
    </xf>
    <xf numFmtId="166" fontId="29" fillId="0" borderId="58" xfId="65" applyNumberFormat="1" applyFont="1" applyFill="1" applyBorder="1" applyAlignment="1">
      <alignment horizontal="right" vertical="center"/>
    </xf>
    <xf numFmtId="166" fontId="46" fillId="0" borderId="59" xfId="64" applyNumberFormat="1" applyFont="1" applyFill="1" applyBorder="1" applyAlignment="1">
      <alignment vertical="center"/>
    </xf>
    <xf numFmtId="0" fontId="46" fillId="0" borderId="0" xfId="64" applyFont="1" applyFill="1" applyBorder="1" applyAlignment="1">
      <alignment vertical="center"/>
    </xf>
    <xf numFmtId="166" fontId="22" fillId="0" borderId="0" xfId="65" applyNumberFormat="1" applyFont="1" applyFill="1" applyBorder="1" applyAlignment="1">
      <alignment horizontal="right" vertical="center"/>
    </xf>
    <xf numFmtId="166" fontId="46" fillId="0" borderId="0" xfId="64" applyNumberFormat="1" applyFont="1" applyFill="1" applyBorder="1" applyAlignment="1">
      <alignment vertical="center"/>
    </xf>
    <xf numFmtId="3" fontId="46" fillId="0" borderId="0" xfId="64" applyNumberFormat="1" applyFont="1" applyFill="1" applyBorder="1" applyAlignment="1">
      <alignment vertical="center"/>
    </xf>
    <xf numFmtId="166" fontId="29" fillId="0" borderId="17" xfId="65" applyNumberFormat="1" applyFont="1" applyFill="1" applyBorder="1" applyAlignment="1">
      <alignment horizontal="right" vertical="center"/>
    </xf>
    <xf numFmtId="14" fontId="21" fillId="0" borderId="130" xfId="5" applyNumberFormat="1" applyFont="1" applyBorder="1" applyAlignment="1">
      <alignment horizontal="center" vertical="center"/>
    </xf>
    <xf numFmtId="0" fontId="12" fillId="0" borderId="130" xfId="5" applyFont="1" applyBorder="1" applyAlignment="1">
      <alignment vertical="center"/>
    </xf>
    <xf numFmtId="3" fontId="21" fillId="0" borderId="130" xfId="5" applyNumberFormat="1" applyFont="1" applyBorder="1" applyAlignment="1">
      <alignment vertical="center"/>
    </xf>
    <xf numFmtId="0" fontId="21" fillId="0" borderId="130" xfId="5" applyNumberFormat="1" applyFont="1" applyBorder="1" applyAlignment="1">
      <alignment vertical="center" wrapText="1"/>
    </xf>
    <xf numFmtId="10" fontId="21" fillId="0" borderId="130" xfId="5" applyNumberFormat="1" applyFont="1" applyBorder="1" applyAlignment="1">
      <alignment horizontal="center" vertical="center"/>
    </xf>
    <xf numFmtId="14" fontId="21" fillId="0" borderId="130" xfId="5" applyNumberFormat="1" applyFont="1" applyBorder="1" applyAlignment="1">
      <alignment vertical="center" wrapText="1"/>
    </xf>
    <xf numFmtId="14" fontId="21" fillId="0" borderId="130" xfId="5" applyNumberFormat="1" applyFont="1" applyBorder="1" applyAlignment="1">
      <alignment vertical="center"/>
    </xf>
    <xf numFmtId="3" fontId="21" fillId="0" borderId="130" xfId="5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71" fillId="0" borderId="1" xfId="0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71" fillId="0" borderId="1" xfId="0" applyFont="1" applyBorder="1" applyAlignment="1">
      <alignment vertical="center"/>
    </xf>
    <xf numFmtId="16" fontId="71" fillId="0" borderId="1" xfId="0" applyNumberFormat="1" applyFont="1" applyBorder="1" applyAlignment="1">
      <alignment vertical="center"/>
    </xf>
    <xf numFmtId="16" fontId="72" fillId="0" borderId="1" xfId="0" applyNumberFormat="1" applyFont="1" applyBorder="1" applyAlignment="1">
      <alignment vertical="center"/>
    </xf>
    <xf numFmtId="0" fontId="72" fillId="0" borderId="1" xfId="0" applyFont="1" applyBorder="1" applyAlignment="1">
      <alignment horizontal="left" vertical="center"/>
    </xf>
    <xf numFmtId="3" fontId="73" fillId="0" borderId="1" xfId="0" applyNumberFormat="1" applyFont="1" applyBorder="1" applyAlignment="1">
      <alignment horizontal="center" vertical="center"/>
    </xf>
    <xf numFmtId="0" fontId="72" fillId="0" borderId="1" xfId="0" applyFont="1" applyBorder="1" applyAlignment="1">
      <alignment vertical="center"/>
    </xf>
    <xf numFmtId="3" fontId="62" fillId="0" borderId="2" xfId="0" applyNumberFormat="1" applyFont="1" applyBorder="1" applyAlignment="1">
      <alignment horizontal="center" vertical="center" wrapText="1"/>
    </xf>
    <xf numFmtId="3" fontId="62" fillId="0" borderId="1" xfId="0" applyNumberFormat="1" applyFont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vertical="center"/>
    </xf>
    <xf numFmtId="166" fontId="19" fillId="0" borderId="0" xfId="0" applyNumberFormat="1" applyFont="1" applyAlignment="1">
      <alignment vertical="center"/>
    </xf>
    <xf numFmtId="166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9" fillId="0" borderId="7" xfId="0" applyNumberFormat="1" applyFont="1" applyBorder="1" applyAlignment="1">
      <alignment vertical="center"/>
    </xf>
    <xf numFmtId="166" fontId="19" fillId="0" borderId="7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166" fontId="62" fillId="0" borderId="2" xfId="0" applyNumberFormat="1" applyFont="1" applyBorder="1" applyAlignment="1">
      <alignment horizontal="center" vertical="center" wrapText="1"/>
    </xf>
    <xf numFmtId="166" fontId="62" fillId="0" borderId="1" xfId="0" applyNumberFormat="1" applyFont="1" applyBorder="1" applyAlignment="1">
      <alignment horizontal="center" vertical="center" wrapText="1"/>
    </xf>
    <xf numFmtId="166" fontId="62" fillId="0" borderId="0" xfId="0" applyNumberFormat="1" applyFont="1" applyAlignment="1">
      <alignment vertical="center"/>
    </xf>
    <xf numFmtId="0" fontId="64" fillId="0" borderId="0" xfId="0" applyFont="1" applyFill="1" applyAlignment="1">
      <alignment vertical="center"/>
    </xf>
    <xf numFmtId="166" fontId="12" fillId="0" borderId="0" xfId="0" applyNumberFormat="1" applyFont="1" applyFill="1" applyAlignment="1">
      <alignment vertical="center"/>
    </xf>
    <xf numFmtId="166" fontId="12" fillId="0" borderId="0" xfId="0" applyNumberFormat="1" applyFont="1" applyFill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/>
    </xf>
    <xf numFmtId="166" fontId="64" fillId="0" borderId="2" xfId="0" applyNumberFormat="1" applyFont="1" applyFill="1" applyBorder="1" applyAlignment="1">
      <alignment horizontal="center" vertical="center" wrapText="1"/>
    </xf>
    <xf numFmtId="166" fontId="64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vertical="center"/>
    </xf>
    <xf numFmtId="166" fontId="20" fillId="0" borderId="1" xfId="0" applyNumberFormat="1" applyFont="1" applyFill="1" applyBorder="1" applyAlignment="1">
      <alignment vertical="center"/>
    </xf>
    <xf numFmtId="166" fontId="20" fillId="0" borderId="0" xfId="0" applyNumberFormat="1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vertical="center"/>
    </xf>
    <xf numFmtId="166" fontId="64" fillId="0" borderId="0" xfId="0" applyNumberFormat="1" applyFont="1" applyFill="1" applyAlignment="1">
      <alignment vertical="center"/>
    </xf>
    <xf numFmtId="166" fontId="72" fillId="0" borderId="2" xfId="0" applyNumberFormat="1" applyFont="1" applyFill="1" applyBorder="1" applyAlignment="1">
      <alignment horizontal="center" vertical="center" wrapText="1"/>
    </xf>
    <xf numFmtId="166" fontId="72" fillId="0" borderId="1" xfId="0" applyNumberFormat="1" applyFont="1" applyFill="1" applyBorder="1" applyAlignment="1">
      <alignment horizontal="center" vertical="center" wrapText="1"/>
    </xf>
    <xf numFmtId="0" fontId="39" fillId="0" borderId="1" xfId="61" applyFont="1" applyFill="1" applyBorder="1" applyAlignment="1">
      <alignment vertical="center"/>
    </xf>
    <xf numFmtId="0" fontId="52" fillId="0" borderId="1" xfId="58" applyFont="1" applyFill="1" applyBorder="1" applyAlignment="1">
      <alignment vertical="center" wrapText="1"/>
    </xf>
    <xf numFmtId="0" fontId="39" fillId="0" borderId="0" xfId="58" applyFont="1" applyFill="1" applyBorder="1" applyAlignment="1">
      <alignment vertical="center"/>
    </xf>
    <xf numFmtId="3" fontId="39" fillId="0" borderId="0" xfId="58" applyNumberFormat="1" applyFont="1" applyFill="1" applyAlignment="1">
      <alignment wrapText="1"/>
    </xf>
    <xf numFmtId="0" fontId="52" fillId="0" borderId="0" xfId="58" applyFont="1" applyFill="1"/>
    <xf numFmtId="0" fontId="39" fillId="0" borderId="0" xfId="58" applyFont="1" applyFill="1" applyAlignment="1">
      <alignment wrapText="1"/>
    </xf>
    <xf numFmtId="49" fontId="39" fillId="0" borderId="12" xfId="58" applyNumberFormat="1" applyFont="1" applyFill="1" applyBorder="1" applyAlignment="1">
      <alignment vertical="center"/>
    </xf>
    <xf numFmtId="49" fontId="39" fillId="0" borderId="0" xfId="58" applyNumberFormat="1" applyFont="1" applyFill="1"/>
    <xf numFmtId="0" fontId="52" fillId="0" borderId="5" xfId="58" applyFont="1" applyFill="1" applyBorder="1" applyAlignment="1">
      <alignment horizontal="center" vertical="center" wrapText="1"/>
    </xf>
    <xf numFmtId="0" fontId="52" fillId="0" borderId="1" xfId="57" applyFont="1" applyFill="1" applyBorder="1" applyAlignment="1">
      <alignment horizontal="center" vertical="center" wrapText="1"/>
    </xf>
    <xf numFmtId="3" fontId="39" fillId="0" borderId="0" xfId="58" applyNumberFormat="1" applyFont="1" applyFill="1" applyAlignment="1"/>
    <xf numFmtId="3" fontId="52" fillId="0" borderId="0" xfId="58" applyNumberFormat="1" applyFont="1" applyFill="1" applyAlignment="1">
      <alignment horizontal="left" vertical="center"/>
    </xf>
    <xf numFmtId="3" fontId="52" fillId="0" borderId="0" xfId="58" applyNumberFormat="1" applyFont="1" applyFill="1" applyAlignment="1">
      <alignment horizontal="center" vertical="center"/>
    </xf>
    <xf numFmtId="0" fontId="52" fillId="0" borderId="0" xfId="58" applyFont="1" applyFill="1" applyAlignment="1">
      <alignment horizontal="center" vertical="center"/>
    </xf>
    <xf numFmtId="1" fontId="39" fillId="0" borderId="1" xfId="58" applyNumberFormat="1" applyFont="1" applyFill="1" applyBorder="1" applyAlignment="1">
      <alignment horizontal="center" vertical="center"/>
    </xf>
    <xf numFmtId="3" fontId="39" fillId="0" borderId="3" xfId="58" applyNumberFormat="1" applyFont="1" applyFill="1" applyBorder="1" applyAlignment="1">
      <alignment horizontal="right" vertical="center"/>
    </xf>
    <xf numFmtId="3" fontId="52" fillId="0" borderId="3" xfId="58" applyNumberFormat="1" applyFont="1" applyFill="1" applyBorder="1" applyAlignment="1">
      <alignment horizontal="center" vertical="center" wrapText="1"/>
    </xf>
    <xf numFmtId="3" fontId="39" fillId="0" borderId="1" xfId="58" applyNumberFormat="1" applyFont="1" applyFill="1" applyBorder="1" applyAlignment="1">
      <alignment horizontal="right" vertical="center" wrapText="1"/>
    </xf>
    <xf numFmtId="3" fontId="52" fillId="0" borderId="13" xfId="58" applyNumberFormat="1" applyFont="1" applyFill="1" applyBorder="1" applyAlignment="1">
      <alignment horizontal="right" vertical="center" wrapText="1"/>
    </xf>
    <xf numFmtId="0" fontId="39" fillId="0" borderId="0" xfId="58" applyFont="1" applyFill="1"/>
    <xf numFmtId="3" fontId="52" fillId="0" borderId="1" xfId="58" applyNumberFormat="1" applyFont="1" applyFill="1" applyBorder="1" applyAlignment="1">
      <alignment horizontal="center" vertical="center" wrapText="1"/>
    </xf>
    <xf numFmtId="1" fontId="52" fillId="0" borderId="12" xfId="58" applyNumberFormat="1" applyFont="1" applyFill="1" applyBorder="1" applyAlignment="1">
      <alignment horizontal="center" vertical="center" wrapText="1"/>
    </xf>
    <xf numFmtId="3" fontId="39" fillId="0" borderId="3" xfId="58" applyNumberFormat="1" applyFont="1" applyFill="1" applyBorder="1" applyAlignment="1">
      <alignment horizontal="right" vertical="center" wrapText="1"/>
    </xf>
    <xf numFmtId="1" fontId="39" fillId="0" borderId="1" xfId="58" applyNumberFormat="1" applyFont="1" applyFill="1" applyBorder="1" applyAlignment="1">
      <alignment horizontal="center" vertical="center" wrapText="1"/>
    </xf>
    <xf numFmtId="1" fontId="39" fillId="0" borderId="12" xfId="58" applyNumberFormat="1" applyFont="1" applyFill="1" applyBorder="1" applyAlignment="1">
      <alignment horizontal="center" vertical="center"/>
    </xf>
    <xf numFmtId="0" fontId="52" fillId="0" borderId="12" xfId="58" applyFont="1" applyFill="1" applyBorder="1" applyAlignment="1">
      <alignment horizontal="center" vertical="center" wrapText="1"/>
    </xf>
    <xf numFmtId="1" fontId="39" fillId="0" borderId="12" xfId="58" applyNumberFormat="1" applyFont="1" applyFill="1" applyBorder="1" applyAlignment="1">
      <alignment horizontal="center" vertical="center" wrapText="1"/>
    </xf>
    <xf numFmtId="3" fontId="52" fillId="0" borderId="12" xfId="58" applyNumberFormat="1" applyFont="1" applyFill="1" applyBorder="1" applyAlignment="1">
      <alignment horizontal="right" vertical="center" wrapText="1"/>
    </xf>
    <xf numFmtId="3" fontId="52" fillId="0" borderId="1" xfId="58" applyNumberFormat="1" applyFont="1" applyFill="1" applyBorder="1" applyAlignment="1">
      <alignment horizontal="right" vertical="center" wrapText="1"/>
    </xf>
    <xf numFmtId="3" fontId="52" fillId="0" borderId="1" xfId="58" applyNumberFormat="1" applyFont="1" applyFill="1" applyBorder="1" applyAlignment="1">
      <alignment vertical="center"/>
    </xf>
    <xf numFmtId="3" fontId="52" fillId="0" borderId="2" xfId="58" applyNumberFormat="1" applyFont="1" applyFill="1" applyBorder="1" applyAlignment="1">
      <alignment vertical="center"/>
    </xf>
    <xf numFmtId="3" fontId="39" fillId="0" borderId="0" xfId="58" applyNumberFormat="1" applyFont="1" applyFill="1"/>
    <xf numFmtId="3" fontId="52" fillId="0" borderId="0" xfId="58" applyNumberFormat="1" applyFont="1" applyFill="1" applyAlignment="1">
      <alignment horizontal="center" vertical="center" wrapText="1"/>
    </xf>
    <xf numFmtId="0" fontId="52" fillId="0" borderId="0" xfId="58" applyFont="1" applyFill="1" applyAlignment="1">
      <alignment horizontal="right"/>
    </xf>
    <xf numFmtId="0" fontId="52" fillId="0" borderId="0" xfId="58" applyFont="1" applyFill="1" applyAlignment="1">
      <alignment horizontal="center" vertical="center" wrapText="1"/>
    </xf>
    <xf numFmtId="49" fontId="65" fillId="0" borderId="5" xfId="58" applyNumberFormat="1" applyFont="1" applyFill="1" applyBorder="1" applyAlignment="1">
      <alignment vertical="center"/>
    </xf>
    <xf numFmtId="49" fontId="65" fillId="0" borderId="11" xfId="58" applyNumberFormat="1" applyFont="1" applyFill="1" applyBorder="1" applyAlignment="1">
      <alignment vertical="center"/>
    </xf>
    <xf numFmtId="1" fontId="37" fillId="6" borderId="11" xfId="58" applyNumberFormat="1" applyFont="1" applyFill="1" applyBorder="1" applyAlignment="1">
      <alignment horizontal="center" vertical="center"/>
    </xf>
    <xf numFmtId="0" fontId="52" fillId="0" borderId="15" xfId="58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23" fillId="0" borderId="1" xfId="0" applyNumberFormat="1" applyFont="1" applyBorder="1" applyAlignment="1">
      <alignment horizontal="center" vertical="center" wrapText="1"/>
    </xf>
    <xf numFmtId="0" fontId="0" fillId="0" borderId="1" xfId="48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12" fillId="0" borderId="0" xfId="48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5" fillId="0" borderId="4" xfId="0" applyFont="1" applyBorder="1" applyAlignment="1">
      <alignment vertical="center"/>
    </xf>
    <xf numFmtId="3" fontId="20" fillId="0" borderId="26" xfId="6" applyNumberFormat="1" applyFont="1" applyFill="1" applyBorder="1" applyAlignment="1">
      <alignment horizontal="center" vertical="center"/>
    </xf>
    <xf numFmtId="3" fontId="20" fillId="0" borderId="67" xfId="6" applyNumberFormat="1" applyFont="1" applyFill="1" applyBorder="1" applyAlignment="1">
      <alignment horizontal="center" vertical="center"/>
    </xf>
    <xf numFmtId="0" fontId="12" fillId="0" borderId="0" xfId="0" applyFont="1" applyFill="1"/>
    <xf numFmtId="166" fontId="0" fillId="0" borderId="1" xfId="0" applyNumberFormat="1" applyFill="1" applyBorder="1" applyAlignment="1">
      <alignment horizontal="right" vertical="center"/>
    </xf>
    <xf numFmtId="166" fontId="8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54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3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3" fontId="5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4" fontId="39" fillId="0" borderId="2" xfId="6" applyNumberFormat="1" applyFont="1" applyFill="1" applyBorder="1" applyAlignment="1">
      <alignment horizontal="center" vertical="center" wrapText="1"/>
    </xf>
    <xf numFmtId="0" fontId="38" fillId="0" borderId="7" xfId="6" applyFont="1" applyFill="1" applyBorder="1" applyAlignment="1">
      <alignment horizontal="center" vertical="center"/>
    </xf>
    <xf numFmtId="0" fontId="35" fillId="0" borderId="7" xfId="6" applyFont="1" applyFill="1" applyBorder="1" applyAlignment="1">
      <alignment horizontal="center" vertical="center"/>
    </xf>
    <xf numFmtId="0" fontId="37" fillId="0" borderId="7" xfId="6" applyFont="1" applyFill="1" applyBorder="1" applyAlignment="1">
      <alignment horizontal="right" vertical="center"/>
    </xf>
    <xf numFmtId="0" fontId="59" fillId="0" borderId="0" xfId="5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60" fillId="0" borderId="0" xfId="5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35" fillId="0" borderId="1" xfId="57" applyNumberFormat="1" applyFont="1" applyFill="1" applyBorder="1" applyAlignment="1">
      <alignment horizontal="right" vertical="center"/>
    </xf>
    <xf numFmtId="3" fontId="35" fillId="0" borderId="15" xfId="57" applyNumberFormat="1" applyFont="1" applyFill="1" applyBorder="1" applyAlignment="1">
      <alignment horizontal="right" vertical="center"/>
    </xf>
    <xf numFmtId="3" fontId="35" fillId="0" borderId="12" xfId="57" applyNumberFormat="1" applyFont="1" applyFill="1" applyBorder="1" applyAlignment="1">
      <alignment horizontal="right" vertical="center" wrapText="1"/>
    </xf>
    <xf numFmtId="3" fontId="35" fillId="0" borderId="0" xfId="57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2" fillId="0" borderId="0" xfId="0" applyFont="1" applyBorder="1" applyAlignment="1">
      <alignment horizontal="right"/>
    </xf>
    <xf numFmtId="0" fontId="20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61" fillId="0" borderId="12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 wrapText="1"/>
    </xf>
    <xf numFmtId="166" fontId="23" fillId="0" borderId="13" xfId="0" applyNumberFormat="1" applyFont="1" applyBorder="1" applyAlignment="1">
      <alignment horizontal="center" vertical="center"/>
    </xf>
    <xf numFmtId="166" fontId="23" fillId="0" borderId="14" xfId="0" applyNumberFormat="1" applyFont="1" applyBorder="1" applyAlignment="1">
      <alignment horizontal="center" vertical="center"/>
    </xf>
    <xf numFmtId="166" fontId="23" fillId="0" borderId="11" xfId="0" applyNumberFormat="1" applyFont="1" applyBorder="1" applyAlignment="1">
      <alignment horizontal="center" vertical="center"/>
    </xf>
    <xf numFmtId="166" fontId="19" fillId="0" borderId="7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166" fontId="12" fillId="0" borderId="0" xfId="0" applyNumberFormat="1" applyFont="1" applyFill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 vertical="center"/>
    </xf>
    <xf numFmtId="166" fontId="20" fillId="0" borderId="13" xfId="0" applyNumberFormat="1" applyFont="1" applyFill="1" applyBorder="1" applyAlignment="1">
      <alignment horizontal="center" vertical="center"/>
    </xf>
    <xf numFmtId="166" fontId="20" fillId="0" borderId="14" xfId="0" applyNumberFormat="1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/>
    </xf>
    <xf numFmtId="0" fontId="35" fillId="0" borderId="12" xfId="57" applyFont="1" applyFill="1" applyBorder="1" applyAlignment="1">
      <alignment horizontal="center" vertical="center" wrapText="1"/>
    </xf>
    <xf numFmtId="0" fontId="35" fillId="0" borderId="15" xfId="57" applyFont="1" applyFill="1" applyBorder="1" applyAlignment="1">
      <alignment horizontal="center" vertical="center" wrapText="1"/>
    </xf>
    <xf numFmtId="0" fontId="35" fillId="0" borderId="3" xfId="57" applyFont="1" applyFill="1" applyBorder="1" applyAlignment="1">
      <alignment horizontal="center" vertical="center" wrapText="1"/>
    </xf>
    <xf numFmtId="1" fontId="35" fillId="0" borderId="12" xfId="57" applyNumberFormat="1" applyFont="1" applyFill="1" applyBorder="1" applyAlignment="1">
      <alignment horizontal="center" vertical="center" wrapText="1"/>
    </xf>
    <xf numFmtId="1" fontId="35" fillId="4" borderId="15" xfId="57" applyNumberFormat="1" applyFont="1" applyFill="1" applyBorder="1" applyAlignment="1">
      <alignment horizontal="center" vertical="center" wrapText="1"/>
    </xf>
    <xf numFmtId="1" fontId="35" fillId="0" borderId="15" xfId="57" applyNumberFormat="1" applyFont="1" applyFill="1" applyBorder="1" applyAlignment="1">
      <alignment horizontal="center" vertical="center" wrapText="1"/>
    </xf>
    <xf numFmtId="0" fontId="35" fillId="0" borderId="12" xfId="58" applyFont="1" applyFill="1" applyBorder="1" applyAlignment="1">
      <alignment horizontal="center" vertical="center" wrapText="1"/>
    </xf>
    <xf numFmtId="0" fontId="35" fillId="0" borderId="15" xfId="58" applyFont="1" applyFill="1" applyBorder="1" applyAlignment="1">
      <alignment horizontal="center" vertical="center" wrapText="1"/>
    </xf>
    <xf numFmtId="0" fontId="35" fillId="0" borderId="3" xfId="58" applyFont="1" applyFill="1" applyBorder="1" applyAlignment="1">
      <alignment horizontal="center" vertical="center" wrapText="1"/>
    </xf>
    <xf numFmtId="3" fontId="35" fillId="0" borderId="12" xfId="57" applyNumberFormat="1" applyFont="1" applyFill="1" applyBorder="1" applyAlignment="1">
      <alignment horizontal="right" vertical="center" wrapText="1"/>
    </xf>
    <xf numFmtId="3" fontId="35" fillId="0" borderId="15" xfId="57" applyNumberFormat="1" applyFont="1" applyFill="1" applyBorder="1" applyAlignment="1">
      <alignment horizontal="right" vertical="center" wrapText="1"/>
    </xf>
    <xf numFmtId="3" fontId="35" fillId="0" borderId="3" xfId="57" applyNumberFormat="1" applyFont="1" applyFill="1" applyBorder="1" applyAlignment="1">
      <alignment horizontal="right" vertical="center" wrapText="1"/>
    </xf>
    <xf numFmtId="0" fontId="35" fillId="0" borderId="1" xfId="57" applyFont="1" applyFill="1" applyBorder="1" applyAlignment="1">
      <alignment horizontal="center" vertical="center" wrapText="1"/>
    </xf>
    <xf numFmtId="1" fontId="35" fillId="0" borderId="1" xfId="57" applyNumberFormat="1" applyFont="1" applyFill="1" applyBorder="1" applyAlignment="1">
      <alignment horizontal="center" vertical="center" wrapText="1"/>
    </xf>
    <xf numFmtId="49" fontId="36" fillId="0" borderId="1" xfId="57" applyNumberFormat="1" applyFont="1" applyFill="1" applyBorder="1" applyAlignment="1">
      <alignment horizontal="center" vertical="center" wrapText="1"/>
    </xf>
    <xf numFmtId="1" fontId="35" fillId="0" borderId="3" xfId="57" applyNumberFormat="1" applyFont="1" applyFill="1" applyBorder="1" applyAlignment="1">
      <alignment horizontal="center" vertical="center" wrapText="1"/>
    </xf>
    <xf numFmtId="3" fontId="35" fillId="0" borderId="1" xfId="57" applyNumberFormat="1" applyFont="1" applyFill="1" applyBorder="1" applyAlignment="1">
      <alignment horizontal="right" vertical="center" wrapText="1"/>
    </xf>
    <xf numFmtId="3" fontId="35" fillId="0" borderId="12" xfId="58" applyNumberFormat="1" applyFont="1" applyFill="1" applyBorder="1" applyAlignment="1">
      <alignment horizontal="center" vertical="center" wrapText="1"/>
    </xf>
    <xf numFmtId="3" fontId="35" fillId="0" borderId="15" xfId="58" applyNumberFormat="1" applyFont="1" applyFill="1" applyBorder="1" applyAlignment="1">
      <alignment horizontal="center" vertical="center" wrapText="1"/>
    </xf>
    <xf numFmtId="3" fontId="35" fillId="0" borderId="12" xfId="57" applyNumberFormat="1" applyFont="1" applyFill="1" applyBorder="1" applyAlignment="1">
      <alignment vertical="center" wrapText="1"/>
    </xf>
    <xf numFmtId="3" fontId="35" fillId="0" borderId="15" xfId="57" applyNumberFormat="1" applyFont="1" applyFill="1" applyBorder="1" applyAlignment="1">
      <alignment vertical="center" wrapText="1"/>
    </xf>
    <xf numFmtId="3" fontId="35" fillId="0" borderId="3" xfId="57" applyNumberFormat="1" applyFont="1" applyFill="1" applyBorder="1" applyAlignment="1">
      <alignment vertical="center" wrapText="1"/>
    </xf>
    <xf numFmtId="3" fontId="35" fillId="0" borderId="12" xfId="57" applyNumberFormat="1" applyFont="1" applyFill="1" applyBorder="1" applyAlignment="1">
      <alignment horizontal="right" vertical="center"/>
    </xf>
    <xf numFmtId="3" fontId="35" fillId="0" borderId="15" xfId="57" applyNumberFormat="1" applyFont="1" applyFill="1" applyBorder="1" applyAlignment="1">
      <alignment horizontal="right" vertical="center"/>
    </xf>
    <xf numFmtId="3" fontId="35" fillId="0" borderId="10" xfId="57" applyNumberFormat="1" applyFont="1" applyFill="1" applyBorder="1" applyAlignment="1">
      <alignment horizontal="right" vertical="center"/>
    </xf>
    <xf numFmtId="3" fontId="35" fillId="0" borderId="3" xfId="57" applyNumberFormat="1" applyFont="1" applyFill="1" applyBorder="1" applyAlignment="1">
      <alignment horizontal="right" vertical="center"/>
    </xf>
    <xf numFmtId="3" fontId="35" fillId="0" borderId="13" xfId="57" applyNumberFormat="1" applyFont="1" applyFill="1" applyBorder="1" applyAlignment="1">
      <alignment vertical="center"/>
    </xf>
    <xf numFmtId="3" fontId="35" fillId="0" borderId="10" xfId="57" applyNumberFormat="1" applyFont="1" applyFill="1" applyBorder="1" applyAlignment="1">
      <alignment vertical="center"/>
    </xf>
    <xf numFmtId="3" fontId="35" fillId="0" borderId="12" xfId="57" applyNumberFormat="1" applyFont="1" applyFill="1" applyBorder="1" applyAlignment="1">
      <alignment vertical="center"/>
    </xf>
    <xf numFmtId="3" fontId="35" fillId="0" borderId="15" xfId="57" applyNumberFormat="1" applyFont="1" applyFill="1" applyBorder="1" applyAlignment="1">
      <alignment vertical="center"/>
    </xf>
    <xf numFmtId="3" fontId="35" fillId="0" borderId="3" xfId="57" applyNumberFormat="1" applyFont="1" applyFill="1" applyBorder="1" applyAlignment="1">
      <alignment vertical="center"/>
    </xf>
    <xf numFmtId="3" fontId="35" fillId="0" borderId="1" xfId="57" applyNumberFormat="1" applyFont="1" applyFill="1" applyBorder="1" applyAlignment="1">
      <alignment horizontal="right" vertical="center"/>
    </xf>
    <xf numFmtId="3" fontId="35" fillId="0" borderId="2" xfId="57" applyNumberFormat="1" applyFont="1" applyFill="1" applyBorder="1" applyAlignment="1">
      <alignment horizontal="right" vertical="center"/>
    </xf>
    <xf numFmtId="1" fontId="52" fillId="0" borderId="12" xfId="57" applyNumberFormat="1" applyFont="1" applyFill="1" applyBorder="1" applyAlignment="1">
      <alignment horizontal="center" vertical="center" wrapText="1"/>
    </xf>
    <xf numFmtId="1" fontId="52" fillId="0" borderId="3" xfId="57" applyNumberFormat="1" applyFont="1" applyFill="1" applyBorder="1" applyAlignment="1">
      <alignment horizontal="center" vertical="center" wrapText="1"/>
    </xf>
    <xf numFmtId="3" fontId="35" fillId="0" borderId="13" xfId="57" applyNumberFormat="1" applyFont="1" applyFill="1" applyBorder="1" applyAlignment="1">
      <alignment horizontal="right" vertical="center"/>
    </xf>
    <xf numFmtId="1" fontId="35" fillId="0" borderId="12" xfId="60" applyNumberFormat="1" applyFont="1" applyFill="1" applyBorder="1" applyAlignment="1">
      <alignment horizontal="center" vertical="center" wrapText="1"/>
    </xf>
    <xf numFmtId="1" fontId="35" fillId="0" borderId="15" xfId="60" applyNumberFormat="1" applyFont="1" applyFill="1" applyBorder="1" applyAlignment="1">
      <alignment horizontal="center" vertical="center" wrapText="1"/>
    </xf>
    <xf numFmtId="1" fontId="35" fillId="4" borderId="15" xfId="60" applyNumberFormat="1" applyFont="1" applyFill="1" applyBorder="1" applyAlignment="1">
      <alignment horizontal="center" vertical="center" wrapText="1"/>
    </xf>
    <xf numFmtId="3" fontId="37" fillId="0" borderId="1" xfId="57" applyNumberFormat="1" applyFont="1" applyFill="1" applyBorder="1" applyAlignment="1">
      <alignment horizontal="center" vertical="center"/>
    </xf>
    <xf numFmtId="3" fontId="35" fillId="0" borderId="2" xfId="57" applyNumberFormat="1" applyFont="1" applyFill="1" applyBorder="1" applyAlignment="1">
      <alignment vertical="center"/>
    </xf>
    <xf numFmtId="49" fontId="35" fillId="0" borderId="12" xfId="57" applyNumberFormat="1" applyFont="1" applyFill="1" applyBorder="1" applyAlignment="1">
      <alignment horizontal="center" vertical="center" wrapText="1"/>
    </xf>
    <xf numFmtId="49" fontId="35" fillId="0" borderId="15" xfId="57" applyNumberFormat="1" applyFont="1" applyFill="1" applyBorder="1" applyAlignment="1">
      <alignment horizontal="center" vertical="center" wrapText="1"/>
    </xf>
    <xf numFmtId="1" fontId="35" fillId="0" borderId="1" xfId="60" applyNumberFormat="1" applyFont="1" applyFill="1" applyBorder="1" applyAlignment="1">
      <alignment horizontal="center" vertical="center" wrapText="1"/>
    </xf>
    <xf numFmtId="1" fontId="35" fillId="4" borderId="1" xfId="57" applyNumberFormat="1" applyFont="1" applyFill="1" applyBorder="1" applyAlignment="1">
      <alignment horizontal="center" vertical="center" wrapText="1"/>
    </xf>
    <xf numFmtId="3" fontId="35" fillId="0" borderId="1" xfId="57" applyNumberFormat="1" applyFont="1" applyFill="1" applyBorder="1" applyAlignment="1">
      <alignment vertical="center"/>
    </xf>
    <xf numFmtId="1" fontId="35" fillId="0" borderId="1" xfId="58" applyNumberFormat="1" applyFont="1" applyFill="1" applyBorder="1" applyAlignment="1">
      <alignment horizontal="center" vertical="center" wrapText="1"/>
    </xf>
    <xf numFmtId="49" fontId="35" fillId="0" borderId="1" xfId="58" applyNumberFormat="1" applyFont="1" applyFill="1" applyBorder="1" applyAlignment="1">
      <alignment horizontal="center" vertical="center" wrapText="1"/>
    </xf>
    <xf numFmtId="49" fontId="35" fillId="0" borderId="12" xfId="58" applyNumberFormat="1" applyFont="1" applyFill="1" applyBorder="1" applyAlignment="1">
      <alignment horizontal="center" vertical="center" wrapText="1"/>
    </xf>
    <xf numFmtId="49" fontId="35" fillId="0" borderId="15" xfId="58" applyNumberFormat="1" applyFont="1" applyFill="1" applyBorder="1" applyAlignment="1">
      <alignment horizontal="center" vertical="center" wrapText="1"/>
    </xf>
    <xf numFmtId="49" fontId="35" fillId="0" borderId="3" xfId="58" applyNumberFormat="1" applyFont="1" applyFill="1" applyBorder="1" applyAlignment="1">
      <alignment horizontal="center" vertical="center" wrapText="1"/>
    </xf>
    <xf numFmtId="3" fontId="35" fillId="0" borderId="12" xfId="58" applyNumberFormat="1" applyFont="1" applyFill="1" applyBorder="1" applyAlignment="1">
      <alignment horizontal="right" vertical="center" wrapText="1"/>
    </xf>
    <xf numFmtId="3" fontId="35" fillId="0" borderId="15" xfId="58" applyNumberFormat="1" applyFont="1" applyFill="1" applyBorder="1" applyAlignment="1">
      <alignment horizontal="right" vertical="center" wrapText="1"/>
    </xf>
    <xf numFmtId="0" fontId="35" fillId="0" borderId="1" xfId="58" applyFont="1" applyFill="1" applyBorder="1" applyAlignment="1">
      <alignment horizontal="center" vertical="center" wrapText="1"/>
    </xf>
    <xf numFmtId="3" fontId="35" fillId="0" borderId="1" xfId="58" applyNumberFormat="1" applyFont="1" applyFill="1" applyBorder="1" applyAlignment="1">
      <alignment horizontal="right" vertical="center" wrapText="1"/>
    </xf>
    <xf numFmtId="3" fontId="35" fillId="0" borderId="3" xfId="58" applyNumberFormat="1" applyFont="1" applyFill="1" applyBorder="1" applyAlignment="1">
      <alignment horizontal="right" vertical="center" wrapText="1"/>
    </xf>
    <xf numFmtId="1" fontId="35" fillId="0" borderId="12" xfId="58" applyNumberFormat="1" applyFont="1" applyFill="1" applyBorder="1" applyAlignment="1">
      <alignment horizontal="center" vertical="center" wrapText="1"/>
    </xf>
    <xf numFmtId="1" fontId="35" fillId="0" borderId="15" xfId="58" applyNumberFormat="1" applyFont="1" applyFill="1" applyBorder="1" applyAlignment="1">
      <alignment horizontal="center" vertical="center" wrapText="1"/>
    </xf>
    <xf numFmtId="3" fontId="37" fillId="0" borderId="1" xfId="58" applyNumberFormat="1" applyFont="1" applyFill="1" applyBorder="1" applyAlignment="1">
      <alignment horizontal="center" vertical="center"/>
    </xf>
    <xf numFmtId="3" fontId="35" fillId="0" borderId="12" xfId="58" applyNumberFormat="1" applyFont="1" applyFill="1" applyBorder="1" applyAlignment="1">
      <alignment horizontal="right" vertical="center"/>
    </xf>
    <xf numFmtId="3" fontId="35" fillId="0" borderId="15" xfId="58" applyNumberFormat="1" applyFont="1" applyFill="1" applyBorder="1" applyAlignment="1">
      <alignment horizontal="right" vertical="center"/>
    </xf>
    <xf numFmtId="0" fontId="52" fillId="0" borderId="1" xfId="58" applyFont="1" applyFill="1" applyBorder="1" applyAlignment="1">
      <alignment horizontal="center" vertical="center" wrapText="1"/>
    </xf>
    <xf numFmtId="0" fontId="52" fillId="0" borderId="2" xfId="58" applyFont="1" applyFill="1" applyBorder="1" applyAlignment="1">
      <alignment horizontal="center" vertical="center" wrapText="1"/>
    </xf>
    <xf numFmtId="1" fontId="52" fillId="0" borderId="1" xfId="58" applyNumberFormat="1" applyFont="1" applyFill="1" applyBorder="1" applyAlignment="1">
      <alignment horizontal="center" vertical="center" wrapText="1"/>
    </xf>
    <xf numFmtId="49" fontId="52" fillId="0" borderId="1" xfId="58" applyNumberFormat="1" applyFont="1" applyFill="1" applyBorder="1" applyAlignment="1">
      <alignment horizontal="center" vertical="center" wrapText="1"/>
    </xf>
    <xf numFmtId="49" fontId="36" fillId="0" borderId="5" xfId="58" applyNumberFormat="1" applyFont="1" applyFill="1" applyBorder="1" applyAlignment="1">
      <alignment horizontal="center" vertical="center" wrapText="1"/>
    </xf>
    <xf numFmtId="1" fontId="52" fillId="0" borderId="12" xfId="58" applyNumberFormat="1" applyFont="1" applyFill="1" applyBorder="1" applyAlignment="1">
      <alignment horizontal="center" vertical="center" wrapText="1"/>
    </xf>
    <xf numFmtId="1" fontId="52" fillId="0" borderId="15" xfId="58" applyNumberFormat="1" applyFont="1" applyFill="1" applyBorder="1" applyAlignment="1">
      <alignment horizontal="center" vertical="center" wrapText="1"/>
    </xf>
    <xf numFmtId="1" fontId="52" fillId="0" borderId="3" xfId="58" applyNumberFormat="1" applyFont="1" applyFill="1" applyBorder="1" applyAlignment="1">
      <alignment horizontal="center" vertical="center" wrapText="1"/>
    </xf>
    <xf numFmtId="0" fontId="52" fillId="0" borderId="12" xfId="58" applyFont="1" applyFill="1" applyBorder="1" applyAlignment="1">
      <alignment horizontal="center" vertical="center" wrapText="1"/>
    </xf>
    <xf numFmtId="0" fontId="52" fillId="0" borderId="15" xfId="58" applyFont="1" applyFill="1" applyBorder="1" applyAlignment="1">
      <alignment horizontal="center" vertical="center" wrapText="1"/>
    </xf>
    <xf numFmtId="0" fontId="52" fillId="0" borderId="3" xfId="58" applyFont="1" applyFill="1" applyBorder="1" applyAlignment="1">
      <alignment horizontal="center" vertical="center" wrapText="1"/>
    </xf>
    <xf numFmtId="0" fontId="35" fillId="0" borderId="1" xfId="58" applyFont="1" applyFill="1" applyBorder="1" applyAlignment="1">
      <alignment horizontal="center" vertical="center"/>
    </xf>
    <xf numFmtId="0" fontId="35" fillId="0" borderId="5" xfId="58" applyFont="1" applyFill="1" applyBorder="1" applyAlignment="1">
      <alignment horizontal="center" vertical="center"/>
    </xf>
    <xf numFmtId="3" fontId="52" fillId="0" borderId="12" xfId="58" applyNumberFormat="1" applyFont="1" applyFill="1" applyBorder="1" applyAlignment="1">
      <alignment horizontal="right" vertical="center" wrapText="1"/>
    </xf>
    <xf numFmtId="3" fontId="52" fillId="0" borderId="15" xfId="58" applyNumberFormat="1" applyFont="1" applyFill="1" applyBorder="1" applyAlignment="1">
      <alignment horizontal="right" vertical="center" wrapText="1"/>
    </xf>
    <xf numFmtId="3" fontId="52" fillId="0" borderId="1" xfId="58" applyNumberFormat="1" applyFont="1" applyFill="1" applyBorder="1" applyAlignment="1">
      <alignment horizontal="right" vertical="center" wrapText="1"/>
    </xf>
    <xf numFmtId="3" fontId="52" fillId="0" borderId="13" xfId="58" applyNumberFormat="1" applyFont="1" applyFill="1" applyBorder="1" applyAlignment="1">
      <alignment horizontal="right" vertical="center" wrapText="1"/>
    </xf>
    <xf numFmtId="3" fontId="52" fillId="0" borderId="10" xfId="58" applyNumberFormat="1" applyFont="1" applyFill="1" applyBorder="1" applyAlignment="1">
      <alignment horizontal="right" vertical="center" wrapText="1"/>
    </xf>
    <xf numFmtId="0" fontId="20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48" applyFont="1" applyBorder="1" applyAlignment="1">
      <alignment horizontal="center" vertical="center" wrapText="1"/>
    </xf>
    <xf numFmtId="0" fontId="20" fillId="0" borderId="5" xfId="48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0" fillId="0" borderId="2" xfId="48" applyFont="1" applyBorder="1" applyAlignment="1">
      <alignment horizontal="center" vertical="center"/>
    </xf>
    <xf numFmtId="0" fontId="20" fillId="0" borderId="8" xfId="48" applyFont="1" applyBorder="1" applyAlignment="1">
      <alignment horizontal="center" vertical="center"/>
    </xf>
    <xf numFmtId="0" fontId="20" fillId="0" borderId="5" xfId="48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4" fillId="0" borderId="2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55" fillId="0" borderId="0" xfId="6" applyFont="1" applyFill="1" applyAlignment="1">
      <alignment horizontal="center" vertical="center"/>
    </xf>
    <xf numFmtId="0" fontId="56" fillId="0" borderId="0" xfId="6" applyFont="1" applyFill="1" applyAlignment="1">
      <alignment horizontal="center" vertical="center"/>
    </xf>
    <xf numFmtId="0" fontId="20" fillId="0" borderId="26" xfId="0" applyFont="1" applyFill="1" applyBorder="1" applyAlignment="1">
      <alignment horizontal="center"/>
    </xf>
    <xf numFmtId="0" fontId="20" fillId="0" borderId="30" xfId="6" applyFont="1" applyFill="1" applyBorder="1" applyAlignment="1">
      <alignment horizontal="center" vertical="center"/>
    </xf>
    <xf numFmtId="0" fontId="20" fillId="0" borderId="33" xfId="6" applyFont="1" applyFill="1" applyBorder="1" applyAlignment="1">
      <alignment horizontal="center" vertical="center"/>
    </xf>
    <xf numFmtId="3" fontId="20" fillId="0" borderId="26" xfId="6" applyNumberFormat="1" applyFont="1" applyFill="1" applyBorder="1" applyAlignment="1">
      <alignment horizontal="center" vertical="center"/>
    </xf>
    <xf numFmtId="3" fontId="20" fillId="0" borderId="25" xfId="6" applyNumberFormat="1" applyFont="1" applyFill="1" applyBorder="1" applyAlignment="1">
      <alignment horizontal="center" vertical="center"/>
    </xf>
    <xf numFmtId="3" fontId="20" fillId="0" borderId="137" xfId="6" applyNumberFormat="1" applyFont="1" applyFill="1" applyBorder="1" applyAlignment="1">
      <alignment horizontal="center" vertical="center" wrapText="1"/>
    </xf>
    <xf numFmtId="3" fontId="20" fillId="0" borderId="17" xfId="6" applyNumberFormat="1" applyFont="1" applyFill="1" applyBorder="1" applyAlignment="1">
      <alignment horizontal="center" vertical="center" wrapText="1"/>
    </xf>
    <xf numFmtId="0" fontId="20" fillId="0" borderId="70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4" fillId="0" borderId="0" xfId="40" applyFont="1" applyAlignment="1">
      <alignment horizontal="center" vertical="center"/>
    </xf>
    <xf numFmtId="0" fontId="14" fillId="0" borderId="12" xfId="40" applyFont="1" applyBorder="1" applyAlignment="1">
      <alignment horizontal="center" vertical="center"/>
    </xf>
    <xf numFmtId="0" fontId="14" fillId="0" borderId="3" xfId="40" applyFont="1" applyBorder="1" applyAlignment="1">
      <alignment horizontal="center" vertical="center"/>
    </xf>
    <xf numFmtId="0" fontId="22" fillId="0" borderId="1" xfId="40" applyFont="1" applyBorder="1" applyAlignment="1">
      <alignment horizontal="center" vertical="center" wrapText="1"/>
    </xf>
    <xf numFmtId="0" fontId="14" fillId="0" borderId="0" xfId="40" applyFont="1" applyAlignment="1">
      <alignment horizontal="center" vertical="center" wrapText="1"/>
    </xf>
    <xf numFmtId="0" fontId="21" fillId="0" borderId="0" xfId="40" applyFont="1" applyAlignment="1">
      <alignment horizontal="left" vertical="center"/>
    </xf>
    <xf numFmtId="0" fontId="15" fillId="0" borderId="0" xfId="40" applyFont="1" applyAlignment="1">
      <alignment horizontal="center" vertical="center"/>
    </xf>
    <xf numFmtId="0" fontId="22" fillId="0" borderId="12" xfId="40" applyFont="1" applyBorder="1" applyAlignment="1">
      <alignment horizontal="center" vertical="center"/>
    </xf>
    <xf numFmtId="0" fontId="22" fillId="0" borderId="3" xfId="40" applyFont="1" applyBorder="1" applyAlignment="1">
      <alignment horizontal="center" vertical="center"/>
    </xf>
    <xf numFmtId="0" fontId="22" fillId="0" borderId="2" xfId="40" applyFont="1" applyBorder="1" applyAlignment="1">
      <alignment horizontal="center" vertical="center" wrapText="1"/>
    </xf>
    <xf numFmtId="0" fontId="22" fillId="0" borderId="8" xfId="40" applyFont="1" applyBorder="1" applyAlignment="1">
      <alignment horizontal="center" vertical="center" wrapText="1"/>
    </xf>
    <xf numFmtId="0" fontId="22" fillId="0" borderId="5" xfId="4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1" fillId="0" borderId="0" xfId="4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32" fillId="0" borderId="106" xfId="65" applyNumberFormat="1" applyFont="1" applyFill="1" applyBorder="1" applyAlignment="1">
      <alignment horizontal="center" vertical="center"/>
    </xf>
    <xf numFmtId="3" fontId="32" fillId="0" borderId="85" xfId="65" applyNumberFormat="1" applyFont="1" applyFill="1" applyBorder="1" applyAlignment="1">
      <alignment horizontal="center" vertical="center"/>
    </xf>
    <xf numFmtId="3" fontId="32" fillId="0" borderId="107" xfId="65" applyNumberFormat="1" applyFont="1" applyFill="1" applyBorder="1" applyAlignment="1">
      <alignment horizontal="center" vertical="center"/>
    </xf>
    <xf numFmtId="0" fontId="32" fillId="0" borderId="79" xfId="64" applyFont="1" applyFill="1" applyBorder="1" applyAlignment="1">
      <alignment horizontal="center" vertical="center"/>
    </xf>
    <xf numFmtId="0" fontId="32" fillId="0" borderId="86" xfId="64" applyFont="1" applyFill="1" applyBorder="1" applyAlignment="1">
      <alignment horizontal="center" vertical="center"/>
    </xf>
    <xf numFmtId="0" fontId="45" fillId="0" borderId="80" xfId="64" applyFont="1" applyFill="1" applyBorder="1" applyAlignment="1">
      <alignment horizontal="center" vertical="center"/>
    </xf>
    <xf numFmtId="0" fontId="45" fillId="0" borderId="87" xfId="64" applyFont="1" applyFill="1" applyBorder="1" applyAlignment="1">
      <alignment horizontal="center" vertical="center"/>
    </xf>
    <xf numFmtId="3" fontId="31" fillId="0" borderId="81" xfId="65" applyNumberFormat="1" applyFont="1" applyFill="1" applyBorder="1" applyAlignment="1">
      <alignment horizontal="center" vertical="center"/>
    </xf>
    <xf numFmtId="3" fontId="31" fillId="0" borderId="88" xfId="65" applyNumberFormat="1" applyFont="1" applyFill="1" applyBorder="1" applyAlignment="1">
      <alignment horizontal="center" vertical="center"/>
    </xf>
    <xf numFmtId="3" fontId="31" fillId="0" borderId="82" xfId="65" applyNumberFormat="1" applyFont="1" applyFill="1" applyBorder="1" applyAlignment="1">
      <alignment horizontal="center" vertical="center"/>
    </xf>
    <xf numFmtId="3" fontId="31" fillId="0" borderId="16" xfId="65" applyNumberFormat="1" applyFont="1" applyFill="1" applyBorder="1" applyAlignment="1">
      <alignment horizontal="center" vertical="center"/>
    </xf>
    <xf numFmtId="3" fontId="31" fillId="0" borderId="83" xfId="65" applyNumberFormat="1" applyFont="1" applyFill="1" applyBorder="1" applyAlignment="1">
      <alignment horizontal="center" vertical="center"/>
    </xf>
    <xf numFmtId="3" fontId="31" fillId="0" borderId="89" xfId="65" applyNumberFormat="1" applyFont="1" applyFill="1" applyBorder="1" applyAlignment="1">
      <alignment horizontal="center" vertical="center"/>
    </xf>
    <xf numFmtId="3" fontId="32" fillId="0" borderId="80" xfId="65" applyNumberFormat="1" applyFont="1" applyFill="1" applyBorder="1" applyAlignment="1">
      <alignment horizontal="center" vertical="center"/>
    </xf>
    <xf numFmtId="0" fontId="40" fillId="0" borderId="0" xfId="64" applyFont="1" applyFill="1" applyBorder="1" applyAlignment="1">
      <alignment horizontal="left" vertical="center"/>
    </xf>
    <xf numFmtId="0" fontId="40" fillId="0" borderId="0" xfId="64" applyFont="1" applyFill="1" applyBorder="1" applyAlignment="1">
      <alignment horizontal="center" vertical="center"/>
    </xf>
    <xf numFmtId="0" fontId="40" fillId="0" borderId="0" xfId="64" applyFont="1" applyFill="1" applyBorder="1" applyAlignment="1">
      <alignment vertical="center"/>
    </xf>
    <xf numFmtId="166" fontId="21" fillId="0" borderId="39" xfId="65" applyNumberFormat="1" applyFont="1" applyFill="1" applyBorder="1" applyAlignment="1">
      <alignment horizontal="center" vertical="center"/>
    </xf>
    <xf numFmtId="166" fontId="21" fillId="0" borderId="40" xfId="65" applyNumberFormat="1" applyFont="1" applyFill="1" applyBorder="1" applyAlignment="1">
      <alignment horizontal="center" vertical="center"/>
    </xf>
    <xf numFmtId="166" fontId="21" fillId="0" borderId="133" xfId="65" applyNumberFormat="1" applyFont="1" applyFill="1" applyBorder="1" applyAlignment="1">
      <alignment horizontal="center" vertical="center"/>
    </xf>
    <xf numFmtId="166" fontId="21" fillId="0" borderId="119" xfId="65" applyNumberFormat="1" applyFont="1" applyFill="1" applyBorder="1" applyAlignment="1">
      <alignment horizontal="center" vertical="center"/>
    </xf>
    <xf numFmtId="166" fontId="21" fillId="0" borderId="60" xfId="65" applyNumberFormat="1" applyFont="1" applyFill="1" applyBorder="1" applyAlignment="1">
      <alignment horizontal="center" vertical="center"/>
    </xf>
    <xf numFmtId="0" fontId="45" fillId="0" borderId="95" xfId="64" applyFont="1" applyFill="1" applyBorder="1" applyAlignment="1">
      <alignment horizontal="center" vertical="center"/>
    </xf>
    <xf numFmtId="0" fontId="45" fillId="0" borderId="125" xfId="64" applyFont="1" applyFill="1" applyBorder="1" applyAlignment="1">
      <alignment horizontal="center" vertical="center"/>
    </xf>
    <xf numFmtId="3" fontId="31" fillId="0" borderId="102" xfId="65" applyNumberFormat="1" applyFont="1" applyFill="1" applyBorder="1" applyAlignment="1">
      <alignment horizontal="center" vertical="center"/>
    </xf>
    <xf numFmtId="3" fontId="31" fillId="0" borderId="126" xfId="65" applyNumberFormat="1" applyFont="1" applyFill="1" applyBorder="1" applyAlignment="1">
      <alignment horizontal="center" vertical="center"/>
    </xf>
    <xf numFmtId="3" fontId="31" fillId="0" borderId="98" xfId="65" applyNumberFormat="1" applyFont="1" applyFill="1" applyBorder="1" applyAlignment="1">
      <alignment horizontal="center" vertical="center"/>
    </xf>
    <xf numFmtId="3" fontId="31" fillId="0" borderId="74" xfId="65" applyNumberFormat="1" applyFont="1" applyFill="1" applyBorder="1" applyAlignment="1">
      <alignment horizontal="center" vertical="center"/>
    </xf>
    <xf numFmtId="3" fontId="31" fillId="0" borderId="103" xfId="65" applyNumberFormat="1" applyFont="1" applyFill="1" applyBorder="1" applyAlignment="1">
      <alignment horizontal="center" vertical="center"/>
    </xf>
    <xf numFmtId="3" fontId="31" fillId="0" borderId="127" xfId="65" applyNumberFormat="1" applyFont="1" applyFill="1" applyBorder="1" applyAlignment="1">
      <alignment horizontal="center" vertical="center"/>
    </xf>
    <xf numFmtId="3" fontId="32" fillId="0" borderId="84" xfId="65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6" fontId="0" fillId="0" borderId="1" xfId="0" applyNumberFormat="1" applyFill="1" applyBorder="1" applyAlignment="1">
      <alignment horizontal="right" vertical="center"/>
    </xf>
    <xf numFmtId="166" fontId="0" fillId="0" borderId="12" xfId="0" applyNumberFormat="1" applyFill="1" applyBorder="1" applyAlignment="1">
      <alignment horizontal="right" vertical="center"/>
    </xf>
    <xf numFmtId="166" fontId="0" fillId="0" borderId="3" xfId="0" applyNumberForma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7" fillId="0" borderId="2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5" fillId="0" borderId="1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4" fontId="21" fillId="0" borderId="28" xfId="6" applyNumberFormat="1" applyFont="1" applyFill="1" applyBorder="1" applyAlignment="1">
      <alignment horizontal="center" vertical="center"/>
    </xf>
    <xf numFmtId="0" fontId="53" fillId="0" borderId="23" xfId="6" applyFont="1" applyFill="1" applyBorder="1" applyAlignment="1">
      <alignment horizontal="center" vertical="center"/>
    </xf>
    <xf numFmtId="0" fontId="38" fillId="0" borderId="0" xfId="6" applyFont="1" applyFill="1" applyBorder="1" applyAlignment="1">
      <alignment horizontal="center" vertical="center"/>
    </xf>
    <xf numFmtId="14" fontId="21" fillId="0" borderId="16" xfId="5" applyNumberFormat="1" applyFont="1" applyBorder="1" applyAlignment="1">
      <alignment horizontal="center" vertical="center" wrapText="1"/>
    </xf>
    <xf numFmtId="0" fontId="21" fillId="0" borderId="16" xfId="5" applyFont="1" applyBorder="1" applyAlignment="1">
      <alignment horizontal="center" vertical="center" wrapText="1"/>
    </xf>
    <xf numFmtId="0" fontId="74" fillId="0" borderId="0" xfId="5" applyFont="1" applyBorder="1" applyAlignment="1">
      <alignment horizontal="center" vertical="center"/>
    </xf>
    <xf numFmtId="3" fontId="21" fillId="0" borderId="24" xfId="5" applyNumberFormat="1" applyFont="1" applyBorder="1" applyAlignment="1">
      <alignment horizontal="center" vertical="center" wrapText="1"/>
    </xf>
    <xf numFmtId="0" fontId="21" fillId="0" borderId="17" xfId="5" applyNumberFormat="1" applyFont="1" applyBorder="1" applyAlignment="1">
      <alignment horizontal="center" vertical="center" wrapText="1"/>
    </xf>
    <xf numFmtId="0" fontId="37" fillId="0" borderId="0" xfId="66" applyFont="1" applyFill="1"/>
    <xf numFmtId="0" fontId="35" fillId="0" borderId="0" xfId="66" applyFont="1" applyFill="1"/>
    <xf numFmtId="0" fontId="37" fillId="0" borderId="0" xfId="66" applyFont="1" applyFill="1" applyBorder="1" applyAlignment="1">
      <alignment vertical="center"/>
    </xf>
    <xf numFmtId="0" fontId="35" fillId="0" borderId="0" xfId="66" applyFont="1" applyFill="1" applyAlignment="1">
      <alignment horizontal="center" vertical="center"/>
    </xf>
    <xf numFmtId="3" fontId="37" fillId="0" borderId="0" xfId="66" applyNumberFormat="1" applyFont="1" applyFill="1"/>
    <xf numFmtId="3" fontId="35" fillId="0" borderId="0" xfId="66" applyNumberFormat="1" applyFont="1" applyFill="1" applyAlignment="1">
      <alignment horizontal="center" vertical="center"/>
    </xf>
    <xf numFmtId="3" fontId="35" fillId="0" borderId="57" xfId="66" applyNumberFormat="1" applyFont="1" applyFill="1" applyBorder="1" applyAlignment="1">
      <alignment horizontal="right" vertical="center"/>
    </xf>
    <xf numFmtId="3" fontId="35" fillId="0" borderId="138" xfId="66" applyNumberFormat="1" applyFont="1" applyFill="1" applyBorder="1" applyAlignment="1">
      <alignment horizontal="right" vertical="center"/>
    </xf>
    <xf numFmtId="3" fontId="35" fillId="0" borderId="55" xfId="66" applyNumberFormat="1" applyFont="1" applyFill="1" applyBorder="1" applyAlignment="1">
      <alignment horizontal="right" vertical="center"/>
    </xf>
    <xf numFmtId="0" fontId="38" fillId="0" borderId="57" xfId="66" applyFont="1" applyFill="1" applyBorder="1" applyAlignment="1">
      <alignment horizontal="center" vertical="center" wrapText="1"/>
    </xf>
    <xf numFmtId="0" fontId="38" fillId="0" borderId="55" xfId="66" applyFont="1" applyFill="1" applyBorder="1" applyAlignment="1">
      <alignment horizontal="center" vertical="center" wrapText="1"/>
    </xf>
    <xf numFmtId="0" fontId="35" fillId="0" borderId="0" xfId="66" applyFont="1" applyFill="1" applyAlignment="1">
      <alignment vertical="center"/>
    </xf>
    <xf numFmtId="3" fontId="35" fillId="0" borderId="139" xfId="66" applyNumberFormat="1" applyFont="1" applyFill="1" applyBorder="1" applyAlignment="1">
      <alignment vertical="center" wrapText="1"/>
    </xf>
    <xf numFmtId="3" fontId="35" fillId="0" borderId="140" xfId="66" applyNumberFormat="1" applyFont="1" applyFill="1" applyBorder="1" applyAlignment="1">
      <alignment vertical="center" wrapText="1"/>
    </xf>
    <xf numFmtId="3" fontId="35" fillId="0" borderId="141" xfId="66" applyNumberFormat="1" applyFont="1" applyFill="1" applyBorder="1" applyAlignment="1">
      <alignment vertical="center" wrapText="1"/>
    </xf>
    <xf numFmtId="3" fontId="37" fillId="0" borderId="139" xfId="66" applyNumberFormat="1" applyFont="1" applyFill="1" applyBorder="1" applyAlignment="1">
      <alignment horizontal="right" vertical="center" wrapText="1"/>
    </xf>
    <xf numFmtId="3" fontId="37" fillId="0" borderId="140" xfId="66" applyNumberFormat="1" applyFont="1" applyFill="1" applyBorder="1" applyAlignment="1">
      <alignment horizontal="right" vertical="center" wrapText="1"/>
    </xf>
    <xf numFmtId="3" fontId="37" fillId="0" borderId="142" xfId="66" applyNumberFormat="1" applyFont="1" applyFill="1" applyBorder="1" applyAlignment="1">
      <alignment horizontal="right" vertical="center" wrapText="1"/>
    </xf>
    <xf numFmtId="3" fontId="37" fillId="0" borderId="141" xfId="66" applyNumberFormat="1" applyFont="1" applyFill="1" applyBorder="1" applyAlignment="1">
      <alignment horizontal="right" vertical="center" wrapText="1"/>
    </xf>
    <xf numFmtId="3" fontId="37" fillId="0" borderId="143" xfId="66" applyNumberFormat="1" applyFont="1" applyFill="1" applyBorder="1" applyAlignment="1">
      <alignment horizontal="right" vertical="center"/>
    </xf>
    <xf numFmtId="3" fontId="37" fillId="0" borderId="12" xfId="66" applyNumberFormat="1" applyFont="1" applyFill="1" applyBorder="1" applyAlignment="1">
      <alignment horizontal="right" vertical="center"/>
    </xf>
    <xf numFmtId="3" fontId="37" fillId="0" borderId="11" xfId="66" applyNumberFormat="1" applyFont="1" applyFill="1" applyBorder="1" applyAlignment="1">
      <alignment horizontal="right" vertical="center"/>
    </xf>
    <xf numFmtId="3" fontId="37" fillId="0" borderId="144" xfId="66" applyNumberFormat="1" applyFont="1" applyFill="1" applyBorder="1" applyAlignment="1">
      <alignment horizontal="right" vertical="center"/>
    </xf>
    <xf numFmtId="0" fontId="12" fillId="0" borderId="145" xfId="0" applyFont="1" applyBorder="1" applyAlignment="1">
      <alignment vertical="center" wrapText="1"/>
    </xf>
    <xf numFmtId="0" fontId="12" fillId="0" borderId="141" xfId="0" applyFont="1" applyBorder="1" applyAlignment="1">
      <alignment horizontal="center" vertical="center" wrapText="1"/>
    </xf>
    <xf numFmtId="3" fontId="35" fillId="0" borderId="146" xfId="66" applyNumberFormat="1" applyFont="1" applyFill="1" applyBorder="1" applyAlignment="1">
      <alignment vertical="center" wrapText="1"/>
    </xf>
    <xf numFmtId="3" fontId="35" fillId="0" borderId="1" xfId="66" applyNumberFormat="1" applyFont="1" applyFill="1" applyBorder="1" applyAlignment="1">
      <alignment vertical="center" wrapText="1"/>
    </xf>
    <xf numFmtId="3" fontId="35" fillId="0" borderId="147" xfId="66" applyNumberFormat="1" applyFont="1" applyFill="1" applyBorder="1" applyAlignment="1">
      <alignment vertical="center" wrapText="1"/>
    </xf>
    <xf numFmtId="3" fontId="37" fillId="0" borderId="146" xfId="66" applyNumberFormat="1" applyFont="1" applyFill="1" applyBorder="1" applyAlignment="1">
      <alignment horizontal="right" vertical="center" wrapText="1"/>
    </xf>
    <xf numFmtId="3" fontId="37" fillId="0" borderId="1" xfId="66" applyNumberFormat="1" applyFont="1" applyFill="1" applyBorder="1" applyAlignment="1">
      <alignment horizontal="right" vertical="center" wrapText="1"/>
    </xf>
    <xf numFmtId="3" fontId="37" fillId="0" borderId="5" xfId="66" applyNumberFormat="1" applyFont="1" applyFill="1" applyBorder="1" applyAlignment="1">
      <alignment horizontal="right" vertical="center" wrapText="1"/>
    </xf>
    <xf numFmtId="3" fontId="37" fillId="0" borderId="147" xfId="66" applyNumberFormat="1" applyFont="1" applyFill="1" applyBorder="1" applyAlignment="1">
      <alignment horizontal="right" vertical="center" wrapText="1"/>
    </xf>
    <xf numFmtId="3" fontId="37" fillId="0" borderId="146" xfId="66" applyNumberFormat="1" applyFont="1" applyFill="1" applyBorder="1" applyAlignment="1">
      <alignment horizontal="right" vertical="center"/>
    </xf>
    <xf numFmtId="3" fontId="37" fillId="0" borderId="1" xfId="66" applyNumberFormat="1" applyFont="1" applyFill="1" applyBorder="1" applyAlignment="1">
      <alignment horizontal="right" vertical="center"/>
    </xf>
    <xf numFmtId="3" fontId="37" fillId="0" borderId="5" xfId="66" applyNumberFormat="1" applyFont="1" applyFill="1" applyBorder="1" applyAlignment="1">
      <alignment horizontal="right" vertical="center"/>
    </xf>
    <xf numFmtId="3" fontId="37" fillId="0" borderId="147" xfId="66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12" fillId="0" borderId="147" xfId="0" applyFont="1" applyBorder="1" applyAlignment="1">
      <alignment horizontal="center" vertical="center" wrapText="1"/>
    </xf>
    <xf numFmtId="3" fontId="35" fillId="0" borderId="148" xfId="66" applyNumberFormat="1" applyFont="1" applyFill="1" applyBorder="1" applyAlignment="1">
      <alignment vertical="center" wrapText="1"/>
    </xf>
    <xf numFmtId="3" fontId="35" fillId="0" borderId="149" xfId="66" applyNumberFormat="1" applyFont="1" applyFill="1" applyBorder="1" applyAlignment="1">
      <alignment vertical="center" wrapText="1"/>
    </xf>
    <xf numFmtId="3" fontId="35" fillId="0" borderId="150" xfId="66" applyNumberFormat="1" applyFont="1" applyFill="1" applyBorder="1" applyAlignment="1">
      <alignment vertical="center" wrapText="1"/>
    </xf>
    <xf numFmtId="3" fontId="37" fillId="0" borderId="148" xfId="66" applyNumberFormat="1" applyFont="1" applyFill="1" applyBorder="1" applyAlignment="1">
      <alignment horizontal="right" vertical="center" wrapText="1"/>
    </xf>
    <xf numFmtId="3" fontId="37" fillId="0" borderId="149" xfId="66" applyNumberFormat="1" applyFont="1" applyFill="1" applyBorder="1" applyAlignment="1">
      <alignment horizontal="right" vertical="center" wrapText="1"/>
    </xf>
    <xf numFmtId="3" fontId="37" fillId="0" borderId="119" xfId="66" applyNumberFormat="1" applyFont="1" applyFill="1" applyBorder="1" applyAlignment="1">
      <alignment horizontal="right" vertical="center" wrapText="1"/>
    </xf>
    <xf numFmtId="3" fontId="37" fillId="0" borderId="150" xfId="66" applyNumberFormat="1" applyFont="1" applyFill="1" applyBorder="1" applyAlignment="1">
      <alignment horizontal="right" vertical="center" wrapText="1"/>
    </xf>
    <xf numFmtId="3" fontId="37" fillId="0" borderId="148" xfId="66" applyNumberFormat="1" applyFont="1" applyFill="1" applyBorder="1" applyAlignment="1">
      <alignment horizontal="right" vertical="center"/>
    </xf>
    <xf numFmtId="3" fontId="37" fillId="0" borderId="149" xfId="66" applyNumberFormat="1" applyFont="1" applyFill="1" applyBorder="1" applyAlignment="1">
      <alignment horizontal="right" vertical="center"/>
    </xf>
    <xf numFmtId="3" fontId="37" fillId="0" borderId="119" xfId="66" applyNumberFormat="1" applyFont="1" applyFill="1" applyBorder="1" applyAlignment="1">
      <alignment horizontal="right" vertical="center"/>
    </xf>
    <xf numFmtId="3" fontId="37" fillId="0" borderId="150" xfId="66" applyNumberFormat="1" applyFont="1" applyFill="1" applyBorder="1" applyAlignment="1">
      <alignment horizontal="right" vertical="center"/>
    </xf>
    <xf numFmtId="0" fontId="12" fillId="0" borderId="133" xfId="0" applyFont="1" applyBorder="1" applyAlignment="1">
      <alignment vertical="center" wrapText="1"/>
    </xf>
    <xf numFmtId="0" fontId="12" fillId="0" borderId="150" xfId="0" applyFont="1" applyBorder="1" applyAlignment="1">
      <alignment horizontal="center" vertical="center" wrapText="1"/>
    </xf>
    <xf numFmtId="3" fontId="35" fillId="0" borderId="143" xfId="66" applyNumberFormat="1" applyFont="1" applyFill="1" applyBorder="1" applyAlignment="1">
      <alignment vertical="center" wrapText="1"/>
    </xf>
    <xf numFmtId="3" fontId="35" fillId="0" borderId="12" xfId="66" applyNumberFormat="1" applyFont="1" applyFill="1" applyBorder="1" applyAlignment="1">
      <alignment vertical="center" wrapText="1"/>
    </xf>
    <xf numFmtId="3" fontId="35" fillId="0" borderId="144" xfId="66" applyNumberFormat="1" applyFont="1" applyFill="1" applyBorder="1" applyAlignment="1">
      <alignment vertical="center" wrapText="1"/>
    </xf>
    <xf numFmtId="3" fontId="37" fillId="0" borderId="143" xfId="66" applyNumberFormat="1" applyFont="1" applyFill="1" applyBorder="1" applyAlignment="1">
      <alignment horizontal="right" vertical="center" wrapText="1"/>
    </xf>
    <xf numFmtId="3" fontId="37" fillId="0" borderId="12" xfId="66" applyNumberFormat="1" applyFont="1" applyFill="1" applyBorder="1" applyAlignment="1">
      <alignment horizontal="right" vertical="center" wrapText="1"/>
    </xf>
    <xf numFmtId="3" fontId="37" fillId="0" borderId="11" xfId="66" applyNumberFormat="1" applyFont="1" applyFill="1" applyBorder="1" applyAlignment="1">
      <alignment horizontal="right" vertical="center" wrapText="1"/>
    </xf>
    <xf numFmtId="3" fontId="37" fillId="0" borderId="144" xfId="66" applyNumberFormat="1" applyFont="1" applyFill="1" applyBorder="1" applyAlignment="1">
      <alignment horizontal="right" vertical="center" wrapText="1"/>
    </xf>
    <xf numFmtId="0" fontId="12" fillId="0" borderId="13" xfId="0" applyFont="1" applyBorder="1" applyAlignment="1">
      <alignment vertical="center" wrapText="1"/>
    </xf>
    <xf numFmtId="0" fontId="12" fillId="0" borderId="144" xfId="0" applyFont="1" applyBorder="1" applyAlignment="1">
      <alignment horizontal="center" vertical="center" wrapText="1"/>
    </xf>
    <xf numFmtId="3" fontId="37" fillId="0" borderId="139" xfId="66" applyNumberFormat="1" applyFont="1" applyFill="1" applyBorder="1" applyAlignment="1">
      <alignment horizontal="right" vertical="center"/>
    </xf>
    <xf numFmtId="3" fontId="37" fillId="0" borderId="140" xfId="66" applyNumberFormat="1" applyFont="1" applyFill="1" applyBorder="1" applyAlignment="1">
      <alignment horizontal="right" vertical="center"/>
    </xf>
    <xf numFmtId="3" fontId="37" fillId="0" borderId="142" xfId="66" applyNumberFormat="1" applyFont="1" applyFill="1" applyBorder="1" applyAlignment="1">
      <alignment horizontal="right" vertical="center"/>
    </xf>
    <xf numFmtId="3" fontId="37" fillId="0" borderId="141" xfId="66" applyNumberFormat="1" applyFont="1" applyFill="1" applyBorder="1" applyAlignment="1">
      <alignment horizontal="right" vertical="center"/>
    </xf>
    <xf numFmtId="3" fontId="35" fillId="0" borderId="151" xfId="66" applyNumberFormat="1" applyFont="1" applyFill="1" applyBorder="1" applyAlignment="1">
      <alignment vertical="center" wrapText="1"/>
    </xf>
    <xf numFmtId="3" fontId="35" fillId="0" borderId="15" xfId="66" applyNumberFormat="1" applyFont="1" applyFill="1" applyBorder="1" applyAlignment="1">
      <alignment vertical="center" wrapText="1"/>
    </xf>
    <xf numFmtId="3" fontId="35" fillId="0" borderId="152" xfId="66" applyNumberFormat="1" applyFont="1" applyFill="1" applyBorder="1" applyAlignment="1">
      <alignment vertical="center" wrapText="1"/>
    </xf>
    <xf numFmtId="3" fontId="37" fillId="0" borderId="151" xfId="66" applyNumberFormat="1" applyFont="1" applyFill="1" applyBorder="1" applyAlignment="1">
      <alignment horizontal="right" vertical="center" wrapText="1"/>
    </xf>
    <xf numFmtId="3" fontId="37" fillId="0" borderId="15" xfId="66" applyNumberFormat="1" applyFont="1" applyFill="1" applyBorder="1" applyAlignment="1">
      <alignment horizontal="right" vertical="center" wrapText="1"/>
    </xf>
    <xf numFmtId="3" fontId="37" fillId="0" borderId="9" xfId="66" applyNumberFormat="1" applyFont="1" applyFill="1" applyBorder="1" applyAlignment="1">
      <alignment horizontal="right" vertical="center" wrapText="1"/>
    </xf>
    <xf numFmtId="3" fontId="37" fillId="0" borderId="152" xfId="66" applyNumberFormat="1" applyFont="1" applyFill="1" applyBorder="1" applyAlignment="1">
      <alignment horizontal="right" vertical="center" wrapText="1"/>
    </xf>
    <xf numFmtId="3" fontId="37" fillId="0" borderId="151" xfId="66" applyNumberFormat="1" applyFont="1" applyFill="1" applyBorder="1" applyAlignment="1">
      <alignment horizontal="right" vertical="center"/>
    </xf>
    <xf numFmtId="3" fontId="37" fillId="0" borderId="15" xfId="66" applyNumberFormat="1" applyFont="1" applyFill="1" applyBorder="1" applyAlignment="1">
      <alignment horizontal="right" vertical="center"/>
    </xf>
    <xf numFmtId="3" fontId="37" fillId="0" borderId="9" xfId="66" applyNumberFormat="1" applyFont="1" applyFill="1" applyBorder="1" applyAlignment="1">
      <alignment horizontal="right" vertical="center"/>
    </xf>
    <xf numFmtId="3" fontId="37" fillId="0" borderId="152" xfId="66" applyNumberFormat="1" applyFont="1" applyFill="1" applyBorder="1" applyAlignment="1">
      <alignment horizontal="right" vertical="center"/>
    </xf>
    <xf numFmtId="0" fontId="12" fillId="0" borderId="10" xfId="0" applyFont="1" applyBorder="1" applyAlignment="1">
      <alignment vertical="center" wrapText="1"/>
    </xf>
    <xf numFmtId="0" fontId="12" fillId="0" borderId="152" xfId="0" applyFont="1" applyBorder="1" applyAlignment="1">
      <alignment horizontal="center" vertical="center" wrapText="1"/>
    </xf>
    <xf numFmtId="0" fontId="12" fillId="0" borderId="145" xfId="0" applyFont="1" applyBorder="1" applyAlignment="1">
      <alignment wrapText="1"/>
    </xf>
    <xf numFmtId="0" fontId="12" fillId="0" borderId="133" xfId="0" applyFont="1" applyBorder="1" applyAlignment="1">
      <alignment wrapText="1"/>
    </xf>
    <xf numFmtId="3" fontId="35" fillId="0" borderId="139" xfId="66" applyNumberFormat="1" applyFont="1" applyFill="1" applyBorder="1" applyAlignment="1">
      <alignment horizontal="right" vertical="center" wrapText="1"/>
    </xf>
    <xf numFmtId="3" fontId="35" fillId="0" borderId="140" xfId="66" applyNumberFormat="1" applyFont="1" applyFill="1" applyBorder="1" applyAlignment="1">
      <alignment horizontal="right" vertical="center" wrapText="1"/>
    </xf>
    <xf numFmtId="3" fontId="35" fillId="0" borderId="141" xfId="66" applyNumberFormat="1" applyFont="1" applyFill="1" applyBorder="1" applyAlignment="1">
      <alignment horizontal="right" vertical="center" wrapText="1"/>
    </xf>
    <xf numFmtId="0" fontId="12" fillId="0" borderId="145" xfId="0" applyFont="1" applyBorder="1" applyAlignment="1">
      <alignment vertical="center"/>
    </xf>
    <xf numFmtId="3" fontId="35" fillId="0" borderId="143" xfId="66" applyNumberFormat="1" applyFont="1" applyFill="1" applyBorder="1" applyAlignment="1">
      <alignment horizontal="right" vertical="center" wrapText="1"/>
    </xf>
    <xf numFmtId="3" fontId="35" fillId="0" borderId="12" xfId="66" applyNumberFormat="1" applyFont="1" applyFill="1" applyBorder="1" applyAlignment="1">
      <alignment horizontal="right" vertical="center" wrapText="1"/>
    </xf>
    <xf numFmtId="3" fontId="35" fillId="0" borderId="144" xfId="66" applyNumberFormat="1" applyFont="1" applyFill="1" applyBorder="1" applyAlignment="1">
      <alignment horizontal="right" vertical="center" wrapText="1"/>
    </xf>
    <xf numFmtId="0" fontId="12" fillId="0" borderId="13" xfId="0" applyFont="1" applyBorder="1" applyAlignment="1">
      <alignment vertical="center"/>
    </xf>
    <xf numFmtId="3" fontId="35" fillId="0" borderId="146" xfId="66" applyNumberFormat="1" applyFont="1" applyFill="1" applyBorder="1" applyAlignment="1">
      <alignment horizontal="right" vertical="center" wrapText="1"/>
    </xf>
    <xf numFmtId="3" fontId="35" fillId="0" borderId="1" xfId="66" applyNumberFormat="1" applyFont="1" applyFill="1" applyBorder="1" applyAlignment="1">
      <alignment horizontal="right" vertical="center" wrapText="1"/>
    </xf>
    <xf numFmtId="3" fontId="35" fillId="0" borderId="147" xfId="66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3" fontId="35" fillId="0" borderId="148" xfId="66" applyNumberFormat="1" applyFont="1" applyFill="1" applyBorder="1" applyAlignment="1">
      <alignment horizontal="right" vertical="center" wrapText="1"/>
    </xf>
    <xf numFmtId="3" fontId="35" fillId="0" borderId="149" xfId="66" applyNumberFormat="1" applyFont="1" applyFill="1" applyBorder="1" applyAlignment="1">
      <alignment horizontal="right" vertical="center" wrapText="1"/>
    </xf>
    <xf numFmtId="3" fontId="35" fillId="0" borderId="150" xfId="66" applyNumberFormat="1" applyFont="1" applyFill="1" applyBorder="1" applyAlignment="1">
      <alignment horizontal="right" vertical="center" wrapText="1"/>
    </xf>
    <xf numFmtId="3" fontId="35" fillId="0" borderId="0" xfId="66" applyNumberFormat="1" applyFont="1" applyFill="1"/>
    <xf numFmtId="3" fontId="35" fillId="0" borderId="153" xfId="66" applyNumberFormat="1" applyFont="1" applyFill="1" applyBorder="1" applyAlignment="1">
      <alignment vertical="center" wrapText="1"/>
    </xf>
    <xf numFmtId="3" fontId="35" fillId="0" borderId="3" xfId="66" applyNumberFormat="1" applyFont="1" applyFill="1" applyBorder="1" applyAlignment="1">
      <alignment vertical="center" wrapText="1"/>
    </xf>
    <xf numFmtId="3" fontId="35" fillId="0" borderId="154" xfId="66" applyNumberFormat="1" applyFont="1" applyFill="1" applyBorder="1" applyAlignment="1">
      <alignment vertical="center" wrapText="1"/>
    </xf>
    <xf numFmtId="0" fontId="35" fillId="0" borderId="139" xfId="66" applyFont="1" applyFill="1" applyBorder="1" applyAlignment="1">
      <alignment horizontal="center" vertical="center" wrapText="1"/>
    </xf>
    <xf numFmtId="0" fontId="35" fillId="0" borderId="140" xfId="66" applyFont="1" applyFill="1" applyBorder="1" applyAlignment="1">
      <alignment horizontal="center" vertical="center" wrapText="1"/>
    </xf>
    <xf numFmtId="0" fontId="35" fillId="0" borderId="142" xfId="66" applyFont="1" applyFill="1" applyBorder="1" applyAlignment="1">
      <alignment horizontal="center" vertical="center" wrapText="1"/>
    </xf>
    <xf numFmtId="0" fontId="35" fillId="0" borderId="141" xfId="66" applyFont="1" applyFill="1" applyBorder="1" applyAlignment="1">
      <alignment horizontal="center" vertical="center" wrapText="1"/>
    </xf>
    <xf numFmtId="0" fontId="35" fillId="0" borderId="145" xfId="66" applyFont="1" applyFill="1" applyBorder="1" applyAlignment="1">
      <alignment horizontal="center" vertical="center" wrapText="1"/>
    </xf>
    <xf numFmtId="1" fontId="35" fillId="0" borderId="141" xfId="66" applyNumberFormat="1" applyFont="1" applyFill="1" applyBorder="1" applyAlignment="1">
      <alignment horizontal="center" vertical="center" wrapText="1"/>
    </xf>
    <xf numFmtId="0" fontId="35" fillId="0" borderId="146" xfId="66" applyFont="1" applyFill="1" applyBorder="1" applyAlignment="1">
      <alignment horizontal="center" vertical="center" wrapText="1"/>
    </xf>
    <xf numFmtId="0" fontId="35" fillId="0" borderId="1" xfId="66" applyFont="1" applyFill="1" applyBorder="1" applyAlignment="1">
      <alignment horizontal="center" vertical="center" wrapText="1"/>
    </xf>
    <xf numFmtId="0" fontId="35" fillId="0" borderId="5" xfId="66" applyFont="1" applyFill="1" applyBorder="1" applyAlignment="1">
      <alignment horizontal="center" vertical="center" wrapText="1"/>
    </xf>
    <xf numFmtId="0" fontId="35" fillId="0" borderId="147" xfId="66" applyFont="1" applyFill="1" applyBorder="1" applyAlignment="1">
      <alignment horizontal="center" vertical="center" wrapText="1"/>
    </xf>
    <xf numFmtId="0" fontId="35" fillId="0" borderId="155" xfId="66" applyFont="1" applyFill="1" applyBorder="1" applyAlignment="1">
      <alignment horizontal="center" vertical="center" wrapText="1"/>
    </xf>
    <xf numFmtId="0" fontId="35" fillId="0" borderId="8" xfId="66" applyFont="1" applyFill="1" applyBorder="1" applyAlignment="1">
      <alignment horizontal="center" vertical="center" wrapText="1"/>
    </xf>
    <xf numFmtId="0" fontId="35" fillId="0" borderId="156" xfId="66" applyFont="1" applyFill="1" applyBorder="1" applyAlignment="1">
      <alignment horizontal="center" vertical="center" wrapText="1"/>
    </xf>
    <xf numFmtId="0" fontId="35" fillId="0" borderId="2" xfId="66" applyFont="1" applyFill="1" applyBorder="1" applyAlignment="1">
      <alignment horizontal="center" vertical="center" wrapText="1"/>
    </xf>
    <xf numFmtId="1" fontId="35" fillId="0" borderId="147" xfId="66" applyNumberFormat="1" applyFont="1" applyFill="1" applyBorder="1" applyAlignment="1">
      <alignment horizontal="center" vertical="center" wrapText="1"/>
    </xf>
    <xf numFmtId="0" fontId="36" fillId="0" borderId="148" xfId="67" applyFont="1" applyFill="1" applyBorder="1" applyAlignment="1">
      <alignment horizontal="center" vertical="center" wrapText="1"/>
    </xf>
    <xf numFmtId="0" fontId="36" fillId="0" borderId="149" xfId="67" applyFont="1" applyFill="1" applyBorder="1" applyAlignment="1">
      <alignment horizontal="center" vertical="center" wrapText="1"/>
    </xf>
    <xf numFmtId="0" fontId="36" fillId="0" borderId="119" xfId="67" applyFont="1" applyFill="1" applyBorder="1" applyAlignment="1">
      <alignment horizontal="center" vertical="center" wrapText="1"/>
    </xf>
    <xf numFmtId="0" fontId="36" fillId="0" borderId="150" xfId="67" applyFont="1" applyFill="1" applyBorder="1" applyAlignment="1">
      <alignment horizontal="center" vertical="center" wrapText="1"/>
    </xf>
    <xf numFmtId="0" fontId="35" fillId="0" borderId="133" xfId="66" applyFont="1" applyFill="1" applyBorder="1" applyAlignment="1">
      <alignment horizontal="center" vertical="center" wrapText="1"/>
    </xf>
    <xf numFmtId="1" fontId="35" fillId="0" borderId="150" xfId="66" applyNumberFormat="1" applyFont="1" applyFill="1" applyBorder="1" applyAlignment="1">
      <alignment horizontal="center" vertical="center" wrapText="1"/>
    </xf>
    <xf numFmtId="0" fontId="37" fillId="0" borderId="0" xfId="67" applyFont="1" applyFill="1"/>
    <xf numFmtId="0" fontId="35" fillId="0" borderId="0" xfId="67" applyFont="1" applyFill="1"/>
    <xf numFmtId="0" fontId="37" fillId="0" borderId="0" xfId="67" applyFont="1" applyFill="1" applyAlignment="1">
      <alignment vertical="center"/>
    </xf>
    <xf numFmtId="0" fontId="37" fillId="0" borderId="0" xfId="67" applyFont="1" applyFill="1" applyAlignment="1">
      <alignment horizontal="center" vertical="center"/>
    </xf>
    <xf numFmtId="3" fontId="35" fillId="0" borderId="0" xfId="67" applyNumberFormat="1" applyFont="1" applyFill="1"/>
    <xf numFmtId="3" fontId="37" fillId="0" borderId="0" xfId="67" applyNumberFormat="1" applyFont="1" applyFill="1"/>
    <xf numFmtId="3" fontId="37" fillId="0" borderId="0" xfId="67" applyNumberFormat="1" applyFont="1" applyFill="1" applyAlignment="1">
      <alignment horizontal="center" vertical="center"/>
    </xf>
    <xf numFmtId="3" fontId="35" fillId="0" borderId="157" xfId="67" applyNumberFormat="1" applyFont="1" applyFill="1" applyBorder="1" applyAlignment="1">
      <alignment horizontal="right" vertical="center"/>
    </xf>
    <xf numFmtId="3" fontId="35" fillId="0" borderId="158" xfId="67" applyNumberFormat="1" applyFont="1" applyFill="1" applyBorder="1" applyAlignment="1">
      <alignment horizontal="right" vertical="center"/>
    </xf>
    <xf numFmtId="3" fontId="35" fillId="0" borderId="159" xfId="67" applyNumberFormat="1" applyFont="1" applyFill="1" applyBorder="1" applyAlignment="1">
      <alignment horizontal="right" vertical="center"/>
    </xf>
    <xf numFmtId="0" fontId="38" fillId="0" borderId="57" xfId="67" applyFont="1" applyFill="1" applyBorder="1" applyAlignment="1">
      <alignment horizontal="center" vertical="center" wrapText="1"/>
    </xf>
    <xf numFmtId="3" fontId="36" fillId="0" borderId="160" xfId="0" applyNumberFormat="1" applyFont="1" applyBorder="1" applyAlignment="1">
      <alignment horizontal="right" vertical="center" wrapText="1"/>
    </xf>
    <xf numFmtId="3" fontId="36" fillId="0" borderId="138" xfId="0" applyNumberFormat="1" applyFont="1" applyBorder="1" applyAlignment="1">
      <alignment horizontal="right" vertical="center" wrapText="1"/>
    </xf>
    <xf numFmtId="3" fontId="36" fillId="0" borderId="161" xfId="0" applyNumberFormat="1" applyFont="1" applyBorder="1" applyAlignment="1">
      <alignment horizontal="right" vertical="center" wrapText="1"/>
    </xf>
    <xf numFmtId="0" fontId="37" fillId="0" borderId="160" xfId="67" applyFont="1" applyFill="1" applyBorder="1" applyAlignment="1">
      <alignment horizontal="right" vertical="center" wrapText="1"/>
    </xf>
    <xf numFmtId="0" fontId="37" fillId="0" borderId="138" xfId="67" applyFont="1" applyFill="1" applyBorder="1" applyAlignment="1">
      <alignment horizontal="right" vertical="center" wrapText="1"/>
    </xf>
    <xf numFmtId="0" fontId="37" fillId="0" borderId="115" xfId="67" applyFont="1" applyFill="1" applyBorder="1" applyAlignment="1">
      <alignment horizontal="right" vertical="center" wrapText="1"/>
    </xf>
    <xf numFmtId="0" fontId="37" fillId="0" borderId="161" xfId="67" applyFont="1" applyFill="1" applyBorder="1" applyAlignment="1">
      <alignment horizontal="right" vertical="center" wrapText="1"/>
    </xf>
    <xf numFmtId="3" fontId="37" fillId="0" borderId="160" xfId="67" applyNumberFormat="1" applyFont="1" applyFill="1" applyBorder="1" applyAlignment="1">
      <alignment horizontal="right" vertical="center"/>
    </xf>
    <xf numFmtId="3" fontId="37" fillId="0" borderId="138" xfId="67" applyNumberFormat="1" applyFont="1" applyFill="1" applyBorder="1" applyAlignment="1">
      <alignment horizontal="right" vertical="center"/>
    </xf>
    <xf numFmtId="3" fontId="37" fillId="0" borderId="115" xfId="67" applyNumberFormat="1" applyFont="1" applyFill="1" applyBorder="1" applyAlignment="1">
      <alignment horizontal="right" vertical="center"/>
    </xf>
    <xf numFmtId="3" fontId="37" fillId="0" borderId="161" xfId="67" applyNumberFormat="1" applyFont="1" applyFill="1" applyBorder="1" applyAlignment="1">
      <alignment horizontal="right" vertical="center"/>
    </xf>
    <xf numFmtId="0" fontId="12" fillId="0" borderId="162" xfId="0" applyFont="1" applyBorder="1" applyAlignment="1">
      <alignment vertical="center" wrapText="1"/>
    </xf>
    <xf numFmtId="0" fontId="12" fillId="0" borderId="161" xfId="0" applyFont="1" applyBorder="1" applyAlignment="1">
      <alignment horizontal="center" vertical="center" wrapText="1"/>
    </xf>
    <xf numFmtId="3" fontId="35" fillId="0" borderId="139" xfId="67" applyNumberFormat="1" applyFont="1" applyFill="1" applyBorder="1" applyAlignment="1">
      <alignment horizontal="right" vertical="center" wrapText="1"/>
    </xf>
    <xf numFmtId="3" fontId="35" fillId="0" borderId="140" xfId="67" applyNumberFormat="1" applyFont="1" applyFill="1" applyBorder="1" applyAlignment="1">
      <alignment horizontal="right" vertical="center" wrapText="1"/>
    </xf>
    <xf numFmtId="3" fontId="35" fillId="0" borderId="141" xfId="67" applyNumberFormat="1" applyFont="1" applyFill="1" applyBorder="1" applyAlignment="1">
      <alignment horizontal="right" vertical="center" wrapText="1"/>
    </xf>
    <xf numFmtId="0" fontId="37" fillId="0" borderId="139" xfId="67" applyFont="1" applyFill="1" applyBorder="1" applyAlignment="1">
      <alignment horizontal="right" vertical="center" wrapText="1"/>
    </xf>
    <xf numFmtId="0" fontId="37" fillId="0" borderId="140" xfId="67" applyFont="1" applyFill="1" applyBorder="1" applyAlignment="1">
      <alignment horizontal="right" vertical="center" wrapText="1"/>
    </xf>
    <xf numFmtId="0" fontId="37" fillId="0" borderId="142" xfId="67" applyFont="1" applyFill="1" applyBorder="1" applyAlignment="1">
      <alignment horizontal="right" vertical="center" wrapText="1"/>
    </xf>
    <xf numFmtId="0" fontId="37" fillId="0" borderId="141" xfId="67" applyFont="1" applyFill="1" applyBorder="1" applyAlignment="1">
      <alignment horizontal="right" vertical="center" wrapText="1"/>
    </xf>
    <xf numFmtId="3" fontId="37" fillId="0" borderId="139" xfId="67" applyNumberFormat="1" applyFont="1" applyFill="1" applyBorder="1" applyAlignment="1">
      <alignment horizontal="right" vertical="center"/>
    </xf>
    <xf numFmtId="3" fontId="37" fillId="0" borderId="140" xfId="67" applyNumberFormat="1" applyFont="1" applyFill="1" applyBorder="1" applyAlignment="1">
      <alignment horizontal="right" vertical="center"/>
    </xf>
    <xf numFmtId="3" fontId="37" fillId="0" borderId="142" xfId="67" applyNumberFormat="1" applyFont="1" applyFill="1" applyBorder="1" applyAlignment="1">
      <alignment horizontal="right" vertical="center"/>
    </xf>
    <xf numFmtId="3" fontId="37" fillId="0" borderId="141" xfId="67" applyNumberFormat="1" applyFont="1" applyFill="1" applyBorder="1" applyAlignment="1">
      <alignment horizontal="right" vertical="center"/>
    </xf>
    <xf numFmtId="3" fontId="35" fillId="0" borderId="148" xfId="67" applyNumberFormat="1" applyFont="1" applyFill="1" applyBorder="1" applyAlignment="1">
      <alignment horizontal="right" vertical="center" wrapText="1"/>
    </xf>
    <xf numFmtId="3" fontId="35" fillId="0" borderId="149" xfId="67" applyNumberFormat="1" applyFont="1" applyFill="1" applyBorder="1" applyAlignment="1">
      <alignment horizontal="right" vertical="center" wrapText="1"/>
    </xf>
    <xf numFmtId="3" fontId="35" fillId="0" borderId="150" xfId="67" applyNumberFormat="1" applyFont="1" applyFill="1" applyBorder="1" applyAlignment="1">
      <alignment horizontal="right" vertical="center" wrapText="1"/>
    </xf>
    <xf numFmtId="0" fontId="37" fillId="0" borderId="148" xfId="67" applyFont="1" applyFill="1" applyBorder="1" applyAlignment="1">
      <alignment horizontal="right" vertical="center" wrapText="1"/>
    </xf>
    <xf numFmtId="0" fontId="37" fillId="0" borderId="149" xfId="67" applyFont="1" applyFill="1" applyBorder="1" applyAlignment="1">
      <alignment horizontal="right" vertical="center" wrapText="1"/>
    </xf>
    <xf numFmtId="0" fontId="37" fillId="0" borderId="119" xfId="67" applyFont="1" applyFill="1" applyBorder="1" applyAlignment="1">
      <alignment horizontal="right" vertical="center" wrapText="1"/>
    </xf>
    <xf numFmtId="0" fontId="37" fillId="0" borderId="150" xfId="67" applyFont="1" applyFill="1" applyBorder="1" applyAlignment="1">
      <alignment horizontal="right" vertical="center" wrapText="1"/>
    </xf>
    <xf numFmtId="3" fontId="37" fillId="0" borderId="148" xfId="67" applyNumberFormat="1" applyFont="1" applyFill="1" applyBorder="1" applyAlignment="1">
      <alignment horizontal="right" vertical="center"/>
    </xf>
    <xf numFmtId="3" fontId="37" fillId="0" borderId="149" xfId="67" applyNumberFormat="1" applyFont="1" applyFill="1" applyBorder="1" applyAlignment="1">
      <alignment horizontal="right" vertical="center"/>
    </xf>
    <xf numFmtId="3" fontId="37" fillId="0" borderId="119" xfId="67" applyNumberFormat="1" applyFont="1" applyFill="1" applyBorder="1" applyAlignment="1">
      <alignment horizontal="right" vertical="center"/>
    </xf>
    <xf numFmtId="3" fontId="37" fillId="0" borderId="150" xfId="67" applyNumberFormat="1" applyFont="1" applyFill="1" applyBorder="1" applyAlignment="1">
      <alignment horizontal="right" vertical="center"/>
    </xf>
    <xf numFmtId="3" fontId="35" fillId="0" borderId="143" xfId="67" applyNumberFormat="1" applyFont="1" applyFill="1" applyBorder="1" applyAlignment="1">
      <alignment horizontal="right" vertical="center" wrapText="1"/>
    </xf>
    <xf numFmtId="3" fontId="35" fillId="0" borderId="12" xfId="67" applyNumberFormat="1" applyFont="1" applyFill="1" applyBorder="1" applyAlignment="1">
      <alignment horizontal="right" vertical="center" wrapText="1"/>
    </xf>
    <xf numFmtId="3" fontId="35" fillId="0" borderId="144" xfId="67" applyNumberFormat="1" applyFont="1" applyFill="1" applyBorder="1" applyAlignment="1">
      <alignment horizontal="right" vertical="center" wrapText="1"/>
    </xf>
    <xf numFmtId="0" fontId="37" fillId="0" borderId="143" xfId="67" applyFont="1" applyFill="1" applyBorder="1" applyAlignment="1">
      <alignment horizontal="right" vertical="center" wrapText="1"/>
    </xf>
    <xf numFmtId="0" fontId="37" fillId="0" borderId="12" xfId="67" applyFont="1" applyFill="1" applyBorder="1" applyAlignment="1">
      <alignment horizontal="right" vertical="center" wrapText="1"/>
    </xf>
    <xf numFmtId="0" fontId="37" fillId="0" borderId="11" xfId="67" applyFont="1" applyFill="1" applyBorder="1" applyAlignment="1">
      <alignment horizontal="right" vertical="center" wrapText="1"/>
    </xf>
    <xf numFmtId="0" fontId="37" fillId="0" borderId="144" xfId="67" applyFont="1" applyFill="1" applyBorder="1" applyAlignment="1">
      <alignment horizontal="right" vertical="center" wrapText="1"/>
    </xf>
    <xf numFmtId="3" fontId="37" fillId="0" borderId="143" xfId="67" applyNumberFormat="1" applyFont="1" applyFill="1" applyBorder="1" applyAlignment="1">
      <alignment horizontal="right" vertical="center"/>
    </xf>
    <xf numFmtId="3" fontId="37" fillId="0" borderId="12" xfId="67" applyNumberFormat="1" applyFont="1" applyFill="1" applyBorder="1" applyAlignment="1">
      <alignment horizontal="right" vertical="center"/>
    </xf>
    <xf numFmtId="3" fontId="37" fillId="0" borderId="11" xfId="67" applyNumberFormat="1" applyFont="1" applyFill="1" applyBorder="1" applyAlignment="1">
      <alignment horizontal="right" vertical="center"/>
    </xf>
    <xf numFmtId="3" fontId="37" fillId="0" borderId="144" xfId="67" applyNumberFormat="1" applyFont="1" applyFill="1" applyBorder="1" applyAlignment="1">
      <alignment horizontal="right" vertical="center"/>
    </xf>
    <xf numFmtId="3" fontId="35" fillId="0" borderId="146" xfId="67" applyNumberFormat="1" applyFont="1" applyFill="1" applyBorder="1" applyAlignment="1">
      <alignment horizontal="right" vertical="center" wrapText="1"/>
    </xf>
    <xf numFmtId="3" fontId="35" fillId="0" borderId="1" xfId="67" applyNumberFormat="1" applyFont="1" applyFill="1" applyBorder="1" applyAlignment="1">
      <alignment horizontal="right" vertical="center" wrapText="1"/>
    </xf>
    <xf numFmtId="3" fontId="35" fillId="0" borderId="147" xfId="67" applyNumberFormat="1" applyFont="1" applyFill="1" applyBorder="1" applyAlignment="1">
      <alignment horizontal="right" vertical="center" wrapText="1"/>
    </xf>
    <xf numFmtId="0" fontId="37" fillId="0" borderId="146" xfId="67" applyFont="1" applyFill="1" applyBorder="1" applyAlignment="1">
      <alignment horizontal="right" vertical="center" wrapText="1"/>
    </xf>
    <xf numFmtId="0" fontId="37" fillId="0" borderId="1" xfId="67" applyFont="1" applyFill="1" applyBorder="1" applyAlignment="1">
      <alignment horizontal="right" vertical="center" wrapText="1"/>
    </xf>
    <xf numFmtId="0" fontId="37" fillId="0" borderId="5" xfId="67" applyFont="1" applyFill="1" applyBorder="1" applyAlignment="1">
      <alignment horizontal="right" vertical="center" wrapText="1"/>
    </xf>
    <xf numFmtId="0" fontId="37" fillId="0" borderId="147" xfId="67" applyFont="1" applyFill="1" applyBorder="1" applyAlignment="1">
      <alignment horizontal="right" vertical="center" wrapText="1"/>
    </xf>
    <xf numFmtId="3" fontId="37" fillId="0" borderId="146" xfId="67" applyNumberFormat="1" applyFont="1" applyFill="1" applyBorder="1" applyAlignment="1">
      <alignment horizontal="right" vertical="center"/>
    </xf>
    <xf numFmtId="3" fontId="37" fillId="0" borderId="1" xfId="67" applyNumberFormat="1" applyFont="1" applyFill="1" applyBorder="1" applyAlignment="1">
      <alignment horizontal="right" vertical="center"/>
    </xf>
    <xf numFmtId="3" fontId="37" fillId="0" borderId="5" xfId="67" applyNumberFormat="1" applyFont="1" applyFill="1" applyBorder="1" applyAlignment="1">
      <alignment horizontal="right" vertical="center"/>
    </xf>
    <xf numFmtId="3" fontId="37" fillId="0" borderId="147" xfId="67" applyNumberFormat="1" applyFont="1" applyFill="1" applyBorder="1" applyAlignment="1">
      <alignment horizontal="right" vertical="center"/>
    </xf>
    <xf numFmtId="0" fontId="35" fillId="0" borderId="139" xfId="67" applyFont="1" applyFill="1" applyBorder="1" applyAlignment="1">
      <alignment horizontal="center" vertical="center" wrapText="1"/>
    </xf>
    <xf numFmtId="0" fontId="35" fillId="0" borderId="140" xfId="67" applyFont="1" applyFill="1" applyBorder="1" applyAlignment="1">
      <alignment horizontal="center" vertical="center" wrapText="1"/>
    </xf>
    <xf numFmtId="0" fontId="35" fillId="0" borderId="142" xfId="67" applyFont="1" applyFill="1" applyBorder="1" applyAlignment="1">
      <alignment horizontal="center" vertical="center" wrapText="1"/>
    </xf>
    <xf numFmtId="0" fontId="35" fillId="0" borderId="141" xfId="67" applyFont="1" applyFill="1" applyBorder="1" applyAlignment="1">
      <alignment horizontal="center" vertical="center" wrapText="1"/>
    </xf>
    <xf numFmtId="0" fontId="35" fillId="0" borderId="145" xfId="67" applyFont="1" applyFill="1" applyBorder="1" applyAlignment="1">
      <alignment horizontal="center" vertical="center" wrapText="1"/>
    </xf>
    <xf numFmtId="1" fontId="35" fillId="0" borderId="141" xfId="67" applyNumberFormat="1" applyFont="1" applyFill="1" applyBorder="1" applyAlignment="1">
      <alignment horizontal="center" vertical="center" wrapText="1"/>
    </xf>
    <xf numFmtId="0" fontId="35" fillId="0" borderId="146" xfId="67" applyFont="1" applyFill="1" applyBorder="1" applyAlignment="1">
      <alignment horizontal="center" vertical="center" wrapText="1"/>
    </xf>
    <xf numFmtId="0" fontId="35" fillId="0" borderId="1" xfId="67" applyFont="1" applyFill="1" applyBorder="1" applyAlignment="1">
      <alignment horizontal="center" vertical="center" wrapText="1"/>
    </xf>
    <xf numFmtId="0" fontId="35" fillId="0" borderId="5" xfId="67" applyFont="1" applyFill="1" applyBorder="1" applyAlignment="1">
      <alignment horizontal="center" vertical="center" wrapText="1"/>
    </xf>
    <xf numFmtId="0" fontId="35" fillId="0" borderId="147" xfId="67" applyFont="1" applyFill="1" applyBorder="1" applyAlignment="1">
      <alignment horizontal="center" vertical="center" wrapText="1"/>
    </xf>
    <xf numFmtId="0" fontId="35" fillId="0" borderId="155" xfId="67" applyFont="1" applyFill="1" applyBorder="1" applyAlignment="1">
      <alignment horizontal="center" vertical="center" wrapText="1"/>
    </xf>
    <xf numFmtId="0" fontId="35" fillId="0" borderId="8" xfId="67" applyFont="1" applyFill="1" applyBorder="1" applyAlignment="1">
      <alignment horizontal="center" vertical="center" wrapText="1"/>
    </xf>
    <xf numFmtId="0" fontId="35" fillId="0" borderId="156" xfId="67" applyFont="1" applyFill="1" applyBorder="1" applyAlignment="1">
      <alignment horizontal="center" vertical="center" wrapText="1"/>
    </xf>
    <xf numFmtId="0" fontId="35" fillId="0" borderId="2" xfId="67" applyFont="1" applyFill="1" applyBorder="1" applyAlignment="1">
      <alignment horizontal="center" vertical="center" wrapText="1"/>
    </xf>
    <xf numFmtId="1" fontId="35" fillId="0" borderId="147" xfId="67" applyNumberFormat="1" applyFont="1" applyFill="1" applyBorder="1" applyAlignment="1">
      <alignment horizontal="center" vertical="center" wrapText="1"/>
    </xf>
    <xf numFmtId="0" fontId="35" fillId="0" borderId="133" xfId="67" applyFont="1" applyFill="1" applyBorder="1" applyAlignment="1">
      <alignment horizontal="center" vertical="center" wrapText="1"/>
    </xf>
    <xf numFmtId="1" fontId="35" fillId="0" borderId="150" xfId="67" applyNumberFormat="1" applyFont="1" applyFill="1" applyBorder="1" applyAlignment="1">
      <alignment horizontal="center" vertical="center" wrapText="1"/>
    </xf>
    <xf numFmtId="0" fontId="12" fillId="0" borderId="104" xfId="0" applyFont="1" applyBorder="1" applyAlignment="1">
      <alignment vertical="center" wrapText="1"/>
    </xf>
    <xf numFmtId="3" fontId="37" fillId="0" borderId="159" xfId="67" applyNumberFormat="1" applyFont="1" applyFill="1" applyBorder="1" applyAlignment="1">
      <alignment horizontal="right" vertical="center"/>
    </xf>
    <xf numFmtId="3" fontId="37" fillId="0" borderId="163" xfId="67" applyNumberFormat="1" applyFont="1" applyFill="1" applyBorder="1" applyAlignment="1">
      <alignment horizontal="right" vertical="center"/>
    </xf>
    <xf numFmtId="3" fontId="37" fillId="0" borderId="158" xfId="67" applyNumberFormat="1" applyFont="1" applyFill="1" applyBorder="1" applyAlignment="1">
      <alignment horizontal="right" vertical="center"/>
    </xf>
    <xf numFmtId="3" fontId="37" fillId="0" borderId="157" xfId="67" applyNumberFormat="1" applyFont="1" applyFill="1" applyBorder="1" applyAlignment="1">
      <alignment horizontal="right" vertical="center"/>
    </xf>
    <xf numFmtId="0" fontId="37" fillId="0" borderId="159" xfId="67" applyFont="1" applyFill="1" applyBorder="1" applyAlignment="1">
      <alignment horizontal="right" vertical="center" wrapText="1"/>
    </xf>
    <xf numFmtId="0" fontId="12" fillId="0" borderId="164" xfId="0" applyFont="1" applyBorder="1" applyAlignment="1">
      <alignment horizontal="center" vertical="center" wrapText="1"/>
    </xf>
    <xf numFmtId="0" fontId="38" fillId="0" borderId="165" xfId="67" applyFont="1" applyFill="1" applyBorder="1" applyAlignment="1">
      <alignment horizontal="center" vertical="center" wrapText="1"/>
    </xf>
    <xf numFmtId="3" fontId="37" fillId="0" borderId="163" xfId="67" applyNumberFormat="1" applyFont="1" applyFill="1" applyBorder="1" applyAlignment="1">
      <alignment horizontal="right" vertical="center" wrapText="1"/>
    </xf>
    <xf numFmtId="3" fontId="37" fillId="0" borderId="158" xfId="67" applyNumberFormat="1" applyFont="1" applyFill="1" applyBorder="1" applyAlignment="1">
      <alignment horizontal="right" vertical="center" wrapText="1"/>
    </xf>
    <xf numFmtId="3" fontId="37" fillId="0" borderId="157" xfId="67" applyNumberFormat="1" applyFont="1" applyFill="1" applyBorder="1" applyAlignment="1">
      <alignment horizontal="right" vertical="center" wrapText="1"/>
    </xf>
    <xf numFmtId="3" fontId="35" fillId="0" borderId="165" xfId="66" applyNumberFormat="1" applyFont="1" applyFill="1" applyBorder="1" applyAlignment="1">
      <alignment vertical="center" wrapText="1"/>
    </xf>
    <xf numFmtId="3" fontId="35" fillId="0" borderId="158" xfId="66" applyNumberFormat="1" applyFont="1" applyFill="1" applyBorder="1" applyAlignment="1">
      <alignment vertical="center" wrapText="1"/>
    </xf>
    <xf numFmtId="3" fontId="35" fillId="0" borderId="166" xfId="66" applyNumberFormat="1" applyFont="1" applyFill="1" applyBorder="1" applyAlignment="1">
      <alignment vertical="center" wrapText="1"/>
    </xf>
    <xf numFmtId="3" fontId="37" fillId="0" borderId="161" xfId="66" applyNumberFormat="1" applyFont="1" applyFill="1" applyBorder="1" applyAlignment="1">
      <alignment horizontal="right" vertical="center"/>
    </xf>
    <xf numFmtId="3" fontId="37" fillId="0" borderId="115" xfId="66" applyNumberFormat="1" applyFont="1" applyFill="1" applyBorder="1" applyAlignment="1">
      <alignment horizontal="right" vertical="center"/>
    </xf>
    <xf numFmtId="3" fontId="37" fillId="0" borderId="138" xfId="66" applyNumberFormat="1" applyFont="1" applyFill="1" applyBorder="1" applyAlignment="1">
      <alignment horizontal="right" vertical="center"/>
    </xf>
    <xf numFmtId="3" fontId="37" fillId="0" borderId="160" xfId="66" applyNumberFormat="1" applyFont="1" applyFill="1" applyBorder="1" applyAlignment="1">
      <alignment horizontal="right" vertical="center"/>
    </xf>
    <xf numFmtId="3" fontId="35" fillId="0" borderId="161" xfId="67" applyNumberFormat="1" applyFont="1" applyFill="1" applyBorder="1" applyAlignment="1">
      <alignment horizontal="right" vertical="center"/>
    </xf>
    <xf numFmtId="3" fontId="35" fillId="0" borderId="138" xfId="67" applyNumberFormat="1" applyFont="1" applyFill="1" applyBorder="1" applyAlignment="1">
      <alignment horizontal="right" vertical="center"/>
    </xf>
  </cellXfs>
  <cellStyles count="68">
    <cellStyle name="Ezres" xfId="1" builtinId="3"/>
    <cellStyle name="Ezres [0] 2" xfId="56"/>
    <cellStyle name="Ezres [0] 2 2" xfId="63"/>
    <cellStyle name="Ezres [0] 2 3" xfId="65"/>
    <cellStyle name="Ezres 2" xfId="2"/>
    <cellStyle name="Normál" xfId="0" builtinId="0"/>
    <cellStyle name="Normál 10" xfId="3"/>
    <cellStyle name="Normál 11" xfId="4"/>
    <cellStyle name="Normál 12" xfId="55"/>
    <cellStyle name="Normál 12 2" xfId="62"/>
    <cellStyle name="Normál 12 3" xfId="64"/>
    <cellStyle name="Normál 2" xfId="5"/>
    <cellStyle name="Normál 2 2" xfId="6"/>
    <cellStyle name="Normál 2 2 2" xfId="7"/>
    <cellStyle name="Normál 2 2 3" xfId="8"/>
    <cellStyle name="Normál 2 3" xfId="9"/>
    <cellStyle name="Normál 2 4" xfId="10"/>
    <cellStyle name="Normál 2 5" xfId="11"/>
    <cellStyle name="Normál 2 6" xfId="12"/>
    <cellStyle name="Normál 2 6 2" xfId="13"/>
    <cellStyle name="Normál 2 6 3" xfId="48"/>
    <cellStyle name="Normál 3" xfId="14"/>
    <cellStyle name="Normál 3 2" xfId="15"/>
    <cellStyle name="Normál 3 3" xfId="16"/>
    <cellStyle name="Normál 3 4" xfId="17"/>
    <cellStyle name="Normál 4" xfId="18"/>
    <cellStyle name="Normál 4 2" xfId="19"/>
    <cellStyle name="Normál 4 3" xfId="20"/>
    <cellStyle name="Normál 4 4" xfId="21"/>
    <cellStyle name="Normál 5" xfId="22"/>
    <cellStyle name="Normál 5 2" xfId="23"/>
    <cellStyle name="Normál 5 3" xfId="24"/>
    <cellStyle name="Normál 5 4" xfId="25"/>
    <cellStyle name="Normál 6" xfId="26"/>
    <cellStyle name="Normál 6 2" xfId="27"/>
    <cellStyle name="Normál 6 3" xfId="28"/>
    <cellStyle name="Normál 6 4" xfId="29"/>
    <cellStyle name="Normál 7" xfId="30"/>
    <cellStyle name="Normál 8" xfId="31"/>
    <cellStyle name="Normál 9" xfId="32"/>
    <cellStyle name="Normál 9 2" xfId="33"/>
    <cellStyle name="Normál 9 2 2" xfId="34"/>
    <cellStyle name="Normál 9 2 2 2" xfId="35"/>
    <cellStyle name="Normál 9 2 3" xfId="36"/>
    <cellStyle name="Normál 9 2 4" xfId="37"/>
    <cellStyle name="Normál 9 2 5" xfId="50"/>
    <cellStyle name="Normál 9 2 6" xfId="53"/>
    <cellStyle name="Normál 9 2 7" xfId="58"/>
    <cellStyle name="Normál 9 2 8" xfId="67"/>
    <cellStyle name="Normál 9 3" xfId="38"/>
    <cellStyle name="Normál 9 4" xfId="39"/>
    <cellStyle name="Normál 9 4 2" xfId="51"/>
    <cellStyle name="Normál 9 4 3" xfId="54"/>
    <cellStyle name="Normál 9 4 3 2" xfId="61"/>
    <cellStyle name="Normál 9 4 4" xfId="60"/>
    <cellStyle name="Normál 9 4 5" xfId="66"/>
    <cellStyle name="Normál 9 5" xfId="49"/>
    <cellStyle name="Normál 9 6" xfId="52"/>
    <cellStyle name="Normál 9 7" xfId="57"/>
    <cellStyle name="Normál_Munka6" xfId="40"/>
    <cellStyle name="Pénznem 2" xfId="41"/>
    <cellStyle name="Pénznem 2 2" xfId="42"/>
    <cellStyle name="Pénznem 2 3" xfId="43"/>
    <cellStyle name="Pénznem 3" xfId="44"/>
    <cellStyle name="Pénznem 4" xfId="45"/>
    <cellStyle name="Pénznem 4 2" xfId="46"/>
    <cellStyle name="Pénznem 4 3" xfId="47"/>
    <cellStyle name="Százalék 2" xfId="59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7"/>
  <sheetViews>
    <sheetView zoomScaleSheetLayoutView="100" zoomScalePageLayoutView="130" workbookViewId="0">
      <selection activeCell="A72" sqref="A72"/>
    </sheetView>
  </sheetViews>
  <sheetFormatPr defaultRowHeight="11.25" x14ac:dyDescent="0.2"/>
  <cols>
    <col min="1" max="1" width="52.5703125" style="96" customWidth="1"/>
    <col min="2" max="2" width="10.140625" style="7" customWidth="1"/>
    <col min="3" max="3" width="10.85546875" style="202" customWidth="1"/>
    <col min="4" max="4" width="10" style="7" customWidth="1"/>
    <col min="5" max="8" width="10.140625" style="7" customWidth="1"/>
    <col min="9" max="9" width="10.7109375" style="7" customWidth="1"/>
    <col min="10" max="10" width="10" style="7" customWidth="1"/>
    <col min="11" max="12" width="10.28515625" style="7" customWidth="1"/>
    <col min="13" max="13" width="10" style="7" customWidth="1"/>
    <col min="14" max="16384" width="9.140625" style="7"/>
  </cols>
  <sheetData>
    <row r="3" spans="1:4" x14ac:dyDescent="0.2">
      <c r="A3" s="200"/>
      <c r="B3" s="200"/>
      <c r="C3" s="212"/>
      <c r="D3" s="15" t="s">
        <v>374</v>
      </c>
    </row>
    <row r="4" spans="1:4" x14ac:dyDescent="0.2">
      <c r="A4" s="812" t="s">
        <v>4</v>
      </c>
      <c r="B4" s="812"/>
      <c r="C4" s="812"/>
      <c r="D4" s="812"/>
    </row>
    <row r="5" spans="1:4" x14ac:dyDescent="0.2">
      <c r="A5" s="813" t="s">
        <v>175</v>
      </c>
      <c r="B5" s="813"/>
      <c r="C5" s="813"/>
      <c r="D5" s="813"/>
    </row>
    <row r="6" spans="1:4" x14ac:dyDescent="0.2">
      <c r="A6" s="810" t="s">
        <v>178</v>
      </c>
      <c r="B6" s="809" t="s">
        <v>173</v>
      </c>
      <c r="C6" s="809"/>
      <c r="D6" s="809"/>
    </row>
    <row r="7" spans="1:4" ht="33.75" x14ac:dyDescent="0.2">
      <c r="A7" s="811"/>
      <c r="B7" s="196" t="s">
        <v>821</v>
      </c>
      <c r="C7" s="213" t="s">
        <v>823</v>
      </c>
      <c r="D7" s="192" t="s">
        <v>822</v>
      </c>
    </row>
    <row r="8" spans="1:4" x14ac:dyDescent="0.2">
      <c r="A8" s="37" t="s">
        <v>5</v>
      </c>
      <c r="B8" s="35">
        <v>0</v>
      </c>
      <c r="C8" s="35">
        <v>2587</v>
      </c>
      <c r="D8" s="35">
        <v>2587</v>
      </c>
    </row>
    <row r="9" spans="1:4" x14ac:dyDescent="0.2">
      <c r="A9" s="37"/>
      <c r="B9" s="37"/>
      <c r="C9" s="214"/>
      <c r="D9" s="35"/>
    </row>
    <row r="10" spans="1:4" x14ac:dyDescent="0.2">
      <c r="A10" s="201" t="s">
        <v>87</v>
      </c>
      <c r="B10" s="36">
        <f>SUM(B8:B9)</f>
        <v>0</v>
      </c>
      <c r="C10" s="36">
        <f>SUM(C8:C9)</f>
        <v>2587</v>
      </c>
      <c r="D10" s="36">
        <f>SUM(D8:D9)</f>
        <v>2587</v>
      </c>
    </row>
    <row r="13" spans="1:4" x14ac:dyDescent="0.2">
      <c r="A13" s="200"/>
      <c r="B13" s="200"/>
      <c r="C13" s="212"/>
      <c r="D13" s="15" t="s">
        <v>6</v>
      </c>
    </row>
    <row r="14" spans="1:4" x14ac:dyDescent="0.2">
      <c r="A14" s="812" t="s">
        <v>16</v>
      </c>
      <c r="B14" s="812"/>
      <c r="C14" s="812"/>
      <c r="D14" s="812"/>
    </row>
    <row r="15" spans="1:4" x14ac:dyDescent="0.2">
      <c r="A15" s="813" t="s">
        <v>175</v>
      </c>
      <c r="B15" s="813"/>
      <c r="C15" s="813"/>
      <c r="D15" s="813"/>
    </row>
    <row r="16" spans="1:4" x14ac:dyDescent="0.2">
      <c r="A16" s="810" t="s">
        <v>178</v>
      </c>
      <c r="B16" s="809" t="s">
        <v>173</v>
      </c>
      <c r="C16" s="809"/>
      <c r="D16" s="809"/>
    </row>
    <row r="17" spans="1:4" ht="33.75" x14ac:dyDescent="0.2">
      <c r="A17" s="811"/>
      <c r="B17" s="196" t="s">
        <v>821</v>
      </c>
      <c r="C17" s="213" t="s">
        <v>823</v>
      </c>
      <c r="D17" s="192" t="s">
        <v>822</v>
      </c>
    </row>
    <row r="18" spans="1:4" x14ac:dyDescent="0.2">
      <c r="A18" s="37" t="s">
        <v>7</v>
      </c>
      <c r="B18" s="35">
        <v>395935</v>
      </c>
      <c r="C18" s="35">
        <v>395935</v>
      </c>
      <c r="D18" s="35">
        <v>168479</v>
      </c>
    </row>
    <row r="19" spans="1:4" x14ac:dyDescent="0.2">
      <c r="A19" s="37" t="s">
        <v>8</v>
      </c>
      <c r="B19" s="35">
        <v>61834</v>
      </c>
      <c r="C19" s="35">
        <v>61834</v>
      </c>
      <c r="D19" s="35">
        <v>26432</v>
      </c>
    </row>
    <row r="20" spans="1:4" x14ac:dyDescent="0.2">
      <c r="A20" s="201" t="s">
        <v>87</v>
      </c>
      <c r="B20" s="36">
        <f>SUM(B18:B19)</f>
        <v>457769</v>
      </c>
      <c r="C20" s="36">
        <f>SUM(C18:C19)</f>
        <v>457769</v>
      </c>
      <c r="D20" s="36">
        <f>SUM(D18:D19)</f>
        <v>194911</v>
      </c>
    </row>
    <row r="23" spans="1:4" x14ac:dyDescent="0.2">
      <c r="A23" s="200"/>
      <c r="B23" s="200"/>
      <c r="C23" s="212"/>
      <c r="D23" s="15" t="s">
        <v>9</v>
      </c>
    </row>
    <row r="24" spans="1:4" ht="25.15" customHeight="1" x14ac:dyDescent="0.2">
      <c r="A24" s="814" t="s">
        <v>10</v>
      </c>
      <c r="B24" s="814"/>
      <c r="C24" s="814"/>
      <c r="D24" s="814"/>
    </row>
    <row r="25" spans="1:4" x14ac:dyDescent="0.2">
      <c r="A25" s="813" t="s">
        <v>175</v>
      </c>
      <c r="B25" s="813"/>
      <c r="C25" s="813"/>
      <c r="D25" s="813"/>
    </row>
    <row r="26" spans="1:4" x14ac:dyDescent="0.2">
      <c r="A26" s="810" t="s">
        <v>178</v>
      </c>
      <c r="B26" s="809" t="s">
        <v>173</v>
      </c>
      <c r="C26" s="809"/>
      <c r="D26" s="809"/>
    </row>
    <row r="27" spans="1:4" ht="33.75" x14ac:dyDescent="0.2">
      <c r="A27" s="811"/>
      <c r="B27" s="196" t="s">
        <v>821</v>
      </c>
      <c r="C27" s="213" t="s">
        <v>823</v>
      </c>
      <c r="D27" s="192" t="s">
        <v>822</v>
      </c>
    </row>
    <row r="28" spans="1:4" x14ac:dyDescent="0.2">
      <c r="A28" s="37" t="s">
        <v>13</v>
      </c>
      <c r="B28" s="35">
        <v>0</v>
      </c>
      <c r="C28" s="35">
        <v>8056</v>
      </c>
      <c r="D28" s="35">
        <v>8056</v>
      </c>
    </row>
    <row r="29" spans="1:4" x14ac:dyDescent="0.2">
      <c r="A29" s="37" t="s">
        <v>11</v>
      </c>
      <c r="B29" s="35">
        <v>68580</v>
      </c>
      <c r="C29" s="35">
        <v>68580</v>
      </c>
      <c r="D29" s="35">
        <v>30175</v>
      </c>
    </row>
    <row r="30" spans="1:4" x14ac:dyDescent="0.2">
      <c r="A30" s="37" t="s">
        <v>17</v>
      </c>
      <c r="B30" s="35">
        <v>33673</v>
      </c>
      <c r="C30" s="35">
        <v>33673</v>
      </c>
      <c r="D30" s="35">
        <v>14816</v>
      </c>
    </row>
    <row r="31" spans="1:4" x14ac:dyDescent="0.2">
      <c r="A31" s="37" t="s">
        <v>18</v>
      </c>
      <c r="B31" s="35">
        <v>49227</v>
      </c>
      <c r="C31" s="35">
        <v>49227</v>
      </c>
      <c r="D31" s="35">
        <v>21660</v>
      </c>
    </row>
    <row r="32" spans="1:4" x14ac:dyDescent="0.2">
      <c r="A32" s="37" t="s">
        <v>12</v>
      </c>
      <c r="B32" s="35">
        <v>98446</v>
      </c>
      <c r="C32" s="35">
        <v>98446</v>
      </c>
      <c r="D32" s="35">
        <v>43316</v>
      </c>
    </row>
    <row r="33" spans="1:13" x14ac:dyDescent="0.2">
      <c r="A33" s="37" t="s">
        <v>827</v>
      </c>
      <c r="B33" s="35"/>
      <c r="C33" s="35">
        <v>6898</v>
      </c>
      <c r="D33" s="35">
        <v>6898</v>
      </c>
    </row>
    <row r="34" spans="1:13" x14ac:dyDescent="0.2">
      <c r="A34" s="201" t="s">
        <v>87</v>
      </c>
      <c r="B34" s="36">
        <f>SUM(B28:B32)</f>
        <v>249926</v>
      </c>
      <c r="C34" s="36">
        <f>SUM(C28:C33)</f>
        <v>264880</v>
      </c>
      <c r="D34" s="36">
        <f>SUM(D28:D33)</f>
        <v>124921</v>
      </c>
      <c r="H34" s="202"/>
      <c r="I34" s="202"/>
      <c r="J34" s="202"/>
      <c r="K34" s="202"/>
      <c r="L34" s="202"/>
    </row>
    <row r="37" spans="1:13" x14ac:dyDescent="0.2">
      <c r="D37" s="185" t="s">
        <v>14</v>
      </c>
      <c r="E37" s="185"/>
      <c r="F37" s="185"/>
      <c r="G37" s="185"/>
      <c r="H37" s="185"/>
      <c r="I37" s="185"/>
      <c r="J37" s="185"/>
      <c r="K37" s="185"/>
      <c r="L37" s="185"/>
      <c r="M37" s="185"/>
    </row>
    <row r="38" spans="1:13" x14ac:dyDescent="0.2">
      <c r="A38" s="812" t="s">
        <v>2</v>
      </c>
      <c r="B38" s="812"/>
      <c r="C38" s="812"/>
      <c r="D38" s="812"/>
      <c r="E38" s="182"/>
      <c r="F38" s="182"/>
      <c r="G38" s="182"/>
      <c r="H38" s="182"/>
      <c r="I38" s="182"/>
      <c r="J38" s="182"/>
      <c r="K38" s="182"/>
      <c r="L38" s="182"/>
      <c r="M38" s="182"/>
    </row>
    <row r="39" spans="1:13" x14ac:dyDescent="0.2">
      <c r="A39" s="182"/>
      <c r="B39" s="182"/>
      <c r="C39" s="215"/>
      <c r="D39" s="182"/>
      <c r="E39" s="182"/>
      <c r="F39" s="182"/>
      <c r="G39" s="182"/>
      <c r="H39" s="182"/>
      <c r="I39" s="182"/>
      <c r="J39" s="182"/>
      <c r="K39" s="182"/>
      <c r="L39" s="182"/>
      <c r="M39" s="182"/>
    </row>
    <row r="40" spans="1:13" x14ac:dyDescent="0.2">
      <c r="A40" s="185"/>
      <c r="B40" s="185"/>
      <c r="C40" s="216"/>
      <c r="D40" s="185" t="s">
        <v>15</v>
      </c>
      <c r="E40" s="185"/>
      <c r="F40" s="185"/>
      <c r="G40" s="185"/>
      <c r="H40" s="185"/>
      <c r="I40" s="185"/>
      <c r="J40" s="185"/>
      <c r="K40" s="185"/>
      <c r="L40" s="185"/>
      <c r="M40" s="185"/>
    </row>
    <row r="41" spans="1:13" x14ac:dyDescent="0.2">
      <c r="A41" s="810" t="s">
        <v>178</v>
      </c>
      <c r="B41" s="809" t="s">
        <v>173</v>
      </c>
      <c r="C41" s="809"/>
      <c r="D41" s="809"/>
    </row>
    <row r="42" spans="1:13" ht="33.75" x14ac:dyDescent="0.2">
      <c r="A42" s="811"/>
      <c r="B42" s="196" t="s">
        <v>821</v>
      </c>
      <c r="C42" s="213" t="s">
        <v>823</v>
      </c>
      <c r="D42" s="192" t="s">
        <v>822</v>
      </c>
    </row>
    <row r="43" spans="1:13" x14ac:dyDescent="0.2">
      <c r="A43" s="195" t="s">
        <v>3</v>
      </c>
      <c r="B43" s="35">
        <v>19338</v>
      </c>
      <c r="C43" s="35">
        <v>19338</v>
      </c>
      <c r="D43" s="35">
        <v>8509</v>
      </c>
    </row>
    <row r="44" spans="1:13" x14ac:dyDescent="0.2">
      <c r="A44" s="211" t="s">
        <v>828</v>
      </c>
      <c r="B44" s="35"/>
      <c r="C44" s="35">
        <v>564</v>
      </c>
      <c r="D44" s="35">
        <v>564</v>
      </c>
    </row>
    <row r="45" spans="1:13" x14ac:dyDescent="0.2">
      <c r="A45" s="201" t="s">
        <v>87</v>
      </c>
      <c r="B45" s="38">
        <f>SUM(B43:B43)</f>
        <v>19338</v>
      </c>
      <c r="C45" s="38">
        <f>SUM(C43:C44)</f>
        <v>19902</v>
      </c>
      <c r="D45" s="38">
        <f>SUM(D43:D44)</f>
        <v>9073</v>
      </c>
    </row>
    <row r="48" spans="1:13" ht="12" customHeight="1" x14ac:dyDescent="0.2">
      <c r="A48" s="200"/>
      <c r="B48" s="200"/>
      <c r="C48" s="212"/>
      <c r="D48" s="15" t="s">
        <v>375</v>
      </c>
      <c r="E48" s="14"/>
      <c r="F48" s="14"/>
      <c r="G48" s="14"/>
      <c r="H48" s="14"/>
      <c r="I48" s="14"/>
      <c r="J48" s="14"/>
      <c r="K48" s="14"/>
      <c r="L48" s="14"/>
      <c r="M48" s="14"/>
    </row>
    <row r="49" spans="1:7" x14ac:dyDescent="0.2">
      <c r="A49" s="812" t="s">
        <v>717</v>
      </c>
      <c r="B49" s="812"/>
      <c r="C49" s="812"/>
      <c r="D49" s="812"/>
    </row>
    <row r="50" spans="1:7" x14ac:dyDescent="0.2">
      <c r="A50" s="813" t="s">
        <v>175</v>
      </c>
      <c r="B50" s="813"/>
      <c r="C50" s="813"/>
      <c r="D50" s="813"/>
    </row>
    <row r="51" spans="1:7" x14ac:dyDescent="0.2">
      <c r="A51" s="810" t="s">
        <v>178</v>
      </c>
      <c r="B51" s="809" t="s">
        <v>173</v>
      </c>
      <c r="C51" s="809"/>
      <c r="D51" s="809"/>
    </row>
    <row r="52" spans="1:7" ht="33.75" x14ac:dyDescent="0.2">
      <c r="A52" s="811"/>
      <c r="B52" s="196" t="s">
        <v>821</v>
      </c>
      <c r="C52" s="213" t="s">
        <v>823</v>
      </c>
      <c r="D52" s="192" t="s">
        <v>822</v>
      </c>
    </row>
    <row r="53" spans="1:7" x14ac:dyDescent="0.2">
      <c r="A53" s="37" t="s">
        <v>829</v>
      </c>
      <c r="B53" s="199">
        <v>0</v>
      </c>
      <c r="C53" s="71">
        <v>1656</v>
      </c>
      <c r="D53" s="71">
        <v>1656</v>
      </c>
    </row>
    <row r="54" spans="1:7" x14ac:dyDescent="0.2">
      <c r="A54" s="37" t="s">
        <v>830</v>
      </c>
      <c r="B54" s="199">
        <v>0</v>
      </c>
      <c r="C54" s="71">
        <v>12641</v>
      </c>
      <c r="D54" s="71">
        <v>12641</v>
      </c>
    </row>
    <row r="55" spans="1:7" x14ac:dyDescent="0.2">
      <c r="A55" s="193"/>
      <c r="B55" s="203"/>
      <c r="C55" s="217"/>
      <c r="D55" s="35"/>
    </row>
    <row r="56" spans="1:7" x14ac:dyDescent="0.2">
      <c r="A56" s="201" t="s">
        <v>87</v>
      </c>
      <c r="B56" s="36">
        <f>SUM(B53:B55)</f>
        <v>0</v>
      </c>
      <c r="C56" s="36">
        <f>SUM(C53:C55)</f>
        <v>14297</v>
      </c>
      <c r="D56" s="36">
        <f>SUM(D53:D55)</f>
        <v>14297</v>
      </c>
      <c r="E56" s="202"/>
      <c r="F56" s="202"/>
      <c r="G56" s="202"/>
    </row>
    <row r="57" spans="1:7" x14ac:dyDescent="0.2">
      <c r="A57" s="200"/>
      <c r="B57" s="200"/>
      <c r="C57" s="212"/>
      <c r="D57" s="204"/>
    </row>
  </sheetData>
  <mergeCells count="19">
    <mergeCell ref="A25:D25"/>
    <mergeCell ref="A38:D38"/>
    <mergeCell ref="A49:D49"/>
    <mergeCell ref="A50:D50"/>
    <mergeCell ref="B6:D6"/>
    <mergeCell ref="A6:A7"/>
    <mergeCell ref="A16:A17"/>
    <mergeCell ref="B16:D16"/>
    <mergeCell ref="A26:A27"/>
    <mergeCell ref="A4:D4"/>
    <mergeCell ref="A5:D5"/>
    <mergeCell ref="A14:D14"/>
    <mergeCell ref="A15:D15"/>
    <mergeCell ref="A24:D24"/>
    <mergeCell ref="B26:D26"/>
    <mergeCell ref="A41:A42"/>
    <mergeCell ref="B41:D41"/>
    <mergeCell ref="A51:A52"/>
    <mergeCell ref="B51:D51"/>
  </mergeCells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&amp;LVeresegyház Város Önkormányzata&amp;C&amp;11ELŐIRÁNYZAT MÓDOSÍTÁS, TELJESÍTÉS 2015.06.30.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96"/>
  <sheetViews>
    <sheetView view="pageLayout" zoomScale="85" zoomScaleNormal="100" zoomScaleSheetLayoutView="100" zoomScalePageLayoutView="85" workbookViewId="0">
      <selection activeCell="N18" sqref="N18"/>
    </sheetView>
  </sheetViews>
  <sheetFormatPr defaultRowHeight="12" x14ac:dyDescent="0.2"/>
  <cols>
    <col min="1" max="1" width="13.85546875" style="1237" customWidth="1"/>
    <col min="2" max="2" width="43.42578125" style="1236" customWidth="1"/>
    <col min="3" max="6" width="16.140625" style="1234" customWidth="1"/>
    <col min="7" max="10" width="16.28515625" style="1234" customWidth="1"/>
    <col min="11" max="14" width="15.140625" style="1235" customWidth="1"/>
    <col min="15" max="16384" width="9.140625" style="1234"/>
  </cols>
  <sheetData>
    <row r="1" spans="1:14" ht="25.5" customHeight="1" x14ac:dyDescent="0.2">
      <c r="A1" s="1318" t="s">
        <v>1396</v>
      </c>
      <c r="B1" s="1317" t="s">
        <v>1408</v>
      </c>
      <c r="C1" s="1231" t="s">
        <v>1394</v>
      </c>
      <c r="D1" s="1230" t="s">
        <v>1393</v>
      </c>
      <c r="E1" s="1229" t="s">
        <v>1392</v>
      </c>
      <c r="F1" s="1228" t="s">
        <v>1391</v>
      </c>
      <c r="G1" s="1231" t="s">
        <v>1394</v>
      </c>
      <c r="H1" s="1230" t="s">
        <v>1393</v>
      </c>
      <c r="I1" s="1229" t="s">
        <v>1392</v>
      </c>
      <c r="J1" s="1228" t="s">
        <v>1391</v>
      </c>
      <c r="K1" s="1231" t="s">
        <v>1394</v>
      </c>
      <c r="L1" s="1230" t="s">
        <v>1393</v>
      </c>
      <c r="M1" s="1229" t="s">
        <v>1392</v>
      </c>
      <c r="N1" s="1228" t="s">
        <v>1391</v>
      </c>
    </row>
    <row r="2" spans="1:14" x14ac:dyDescent="0.2">
      <c r="A2" s="1316"/>
      <c r="B2" s="1315"/>
      <c r="C2" s="1314" t="s">
        <v>1390</v>
      </c>
      <c r="D2" s="1313"/>
      <c r="E2" s="1313"/>
      <c r="F2" s="1312"/>
      <c r="G2" s="1314" t="s">
        <v>1389</v>
      </c>
      <c r="H2" s="1313"/>
      <c r="I2" s="1313"/>
      <c r="J2" s="1312"/>
      <c r="K2" s="1311" t="s">
        <v>1388</v>
      </c>
      <c r="L2" s="1310"/>
      <c r="M2" s="1309"/>
      <c r="N2" s="1308"/>
    </row>
    <row r="3" spans="1:14" s="1235" customFormat="1" ht="12.75" thickBot="1" x14ac:dyDescent="0.25">
      <c r="A3" s="1307"/>
      <c r="B3" s="1306"/>
      <c r="C3" s="1305" t="s">
        <v>399</v>
      </c>
      <c r="D3" s="1304"/>
      <c r="E3" s="1303" t="s">
        <v>399</v>
      </c>
      <c r="F3" s="1302" t="s">
        <v>399</v>
      </c>
      <c r="G3" s="1305" t="s">
        <v>399</v>
      </c>
      <c r="H3" s="1304"/>
      <c r="I3" s="1303" t="s">
        <v>399</v>
      </c>
      <c r="J3" s="1302" t="s">
        <v>399</v>
      </c>
      <c r="K3" s="1305" t="s">
        <v>399</v>
      </c>
      <c r="L3" s="1304"/>
      <c r="M3" s="1303" t="s">
        <v>399</v>
      </c>
      <c r="N3" s="1302" t="s">
        <v>399</v>
      </c>
    </row>
    <row r="4" spans="1:14" s="1235" customFormat="1" ht="33" customHeight="1" x14ac:dyDescent="0.2">
      <c r="A4" s="1165" t="s">
        <v>390</v>
      </c>
      <c r="B4" s="1164" t="s">
        <v>1407</v>
      </c>
      <c r="C4" s="1279">
        <v>1270</v>
      </c>
      <c r="D4" s="1278">
        <f>+E4-C4</f>
        <v>0</v>
      </c>
      <c r="E4" s="1277">
        <f>+C4</f>
        <v>1270</v>
      </c>
      <c r="F4" s="1276">
        <v>0</v>
      </c>
      <c r="G4" s="1275"/>
      <c r="H4" s="1274"/>
      <c r="I4" s="1273"/>
      <c r="J4" s="1272"/>
      <c r="K4" s="1271">
        <f>SUM(C4:C9,G4:G9)</f>
        <v>9620</v>
      </c>
      <c r="L4" s="1270">
        <f>SUM(D4:D9,H4:H9)</f>
        <v>0</v>
      </c>
      <c r="M4" s="1270">
        <f>SUM(E4:E9,I4:I9)</f>
        <v>9620</v>
      </c>
      <c r="N4" s="1269">
        <f>SUM(F4:F9,J4:J9)</f>
        <v>6805</v>
      </c>
    </row>
    <row r="5" spans="1:14" s="1235" customFormat="1" ht="33" customHeight="1" x14ac:dyDescent="0.2">
      <c r="A5" s="1152" t="s">
        <v>390</v>
      </c>
      <c r="B5" s="1151" t="s">
        <v>1406</v>
      </c>
      <c r="C5" s="1301">
        <v>3429</v>
      </c>
      <c r="D5" s="1300">
        <f>+E5-C5</f>
        <v>0</v>
      </c>
      <c r="E5" s="1299">
        <f>+C5</f>
        <v>3429</v>
      </c>
      <c r="F5" s="1298">
        <v>3429</v>
      </c>
      <c r="G5" s="1297"/>
      <c r="H5" s="1296"/>
      <c r="I5" s="1295"/>
      <c r="J5" s="1294"/>
      <c r="K5" s="1293"/>
      <c r="L5" s="1292"/>
      <c r="M5" s="1292"/>
      <c r="N5" s="1291"/>
    </row>
    <row r="6" spans="1:14" s="1235" customFormat="1" ht="33" customHeight="1" x14ac:dyDescent="0.2">
      <c r="A6" s="1152" t="s">
        <v>390</v>
      </c>
      <c r="B6" s="1151" t="s">
        <v>1405</v>
      </c>
      <c r="C6" s="1301">
        <v>4699</v>
      </c>
      <c r="D6" s="1300">
        <f>+E6-C6</f>
        <v>-3357</v>
      </c>
      <c r="E6" s="1299">
        <v>1342</v>
      </c>
      <c r="F6" s="1298"/>
      <c r="G6" s="1297"/>
      <c r="H6" s="1296"/>
      <c r="I6" s="1295"/>
      <c r="J6" s="1294"/>
      <c r="K6" s="1293"/>
      <c r="L6" s="1292"/>
      <c r="M6" s="1292"/>
      <c r="N6" s="1291"/>
    </row>
    <row r="7" spans="1:14" s="1235" customFormat="1" ht="33" customHeight="1" x14ac:dyDescent="0.2">
      <c r="A7" s="1152" t="s">
        <v>390</v>
      </c>
      <c r="B7" s="1151" t="s">
        <v>1404</v>
      </c>
      <c r="C7" s="1290"/>
      <c r="D7" s="1289"/>
      <c r="E7" s="1288"/>
      <c r="F7" s="1287"/>
      <c r="G7" s="1286"/>
      <c r="H7" s="1285">
        <f>+I7-G7</f>
        <v>750</v>
      </c>
      <c r="I7" s="1284">
        <v>750</v>
      </c>
      <c r="J7" s="1283">
        <v>748</v>
      </c>
      <c r="K7" s="1282"/>
      <c r="L7" s="1281"/>
      <c r="M7" s="1281"/>
      <c r="N7" s="1280"/>
    </row>
    <row r="8" spans="1:14" s="1235" customFormat="1" ht="33" customHeight="1" x14ac:dyDescent="0.2">
      <c r="A8" s="1152" t="s">
        <v>390</v>
      </c>
      <c r="B8" s="1151" t="s">
        <v>1403</v>
      </c>
      <c r="C8" s="1290"/>
      <c r="D8" s="1289"/>
      <c r="E8" s="1288"/>
      <c r="F8" s="1287"/>
      <c r="G8" s="1286"/>
      <c r="H8" s="1285">
        <f>+I8-G8</f>
        <v>2607</v>
      </c>
      <c r="I8" s="1284">
        <v>2607</v>
      </c>
      <c r="J8" s="1283">
        <v>2607</v>
      </c>
      <c r="K8" s="1282"/>
      <c r="L8" s="1281"/>
      <c r="M8" s="1281"/>
      <c r="N8" s="1280"/>
    </row>
    <row r="9" spans="1:14" s="1235" customFormat="1" ht="33" customHeight="1" thickBot="1" x14ac:dyDescent="0.25">
      <c r="A9" s="1139" t="s">
        <v>390</v>
      </c>
      <c r="B9" s="1138" t="s">
        <v>1402</v>
      </c>
      <c r="C9" s="1268"/>
      <c r="D9" s="1267"/>
      <c r="E9" s="1266"/>
      <c r="F9" s="1265"/>
      <c r="G9" s="1264">
        <v>222</v>
      </c>
      <c r="H9" s="1263">
        <f>+I9-G9</f>
        <v>0</v>
      </c>
      <c r="I9" s="1262">
        <v>222</v>
      </c>
      <c r="J9" s="1261">
        <v>21</v>
      </c>
      <c r="K9" s="1260"/>
      <c r="L9" s="1259"/>
      <c r="M9" s="1259"/>
      <c r="N9" s="1258"/>
    </row>
    <row r="10" spans="1:14" s="1235" customFormat="1" ht="33" customHeight="1" thickBot="1" x14ac:dyDescent="0.25">
      <c r="A10" s="1257" t="s">
        <v>336</v>
      </c>
      <c r="B10" s="1256" t="s">
        <v>1401</v>
      </c>
      <c r="C10" s="1255"/>
      <c r="D10" s="1254"/>
      <c r="E10" s="1253"/>
      <c r="F10" s="1252"/>
      <c r="G10" s="1251">
        <v>127</v>
      </c>
      <c r="H10" s="1250">
        <f>+I10-G10</f>
        <v>0</v>
      </c>
      <c r="I10" s="1249">
        <v>127</v>
      </c>
      <c r="J10" s="1248">
        <v>0</v>
      </c>
      <c r="K10" s="1247">
        <f>SUM(C10,G10)</f>
        <v>127</v>
      </c>
      <c r="L10" s="1246">
        <f>SUM(D10,H10)</f>
        <v>0</v>
      </c>
      <c r="M10" s="1246">
        <f>SUM(E10,I10)</f>
        <v>127</v>
      </c>
      <c r="N10" s="1245">
        <f>SUM(F10,J10)</f>
        <v>0</v>
      </c>
    </row>
    <row r="11" spans="1:14" s="1235" customFormat="1" ht="33" customHeight="1" x14ac:dyDescent="0.2">
      <c r="A11" s="1165" t="s">
        <v>1360</v>
      </c>
      <c r="B11" s="1164" t="s">
        <v>1400</v>
      </c>
      <c r="C11" s="1279"/>
      <c r="D11" s="1278"/>
      <c r="E11" s="1277"/>
      <c r="F11" s="1276"/>
      <c r="G11" s="1275">
        <v>400</v>
      </c>
      <c r="H11" s="1274">
        <f>+I11-G11</f>
        <v>-200</v>
      </c>
      <c r="I11" s="1273">
        <v>200</v>
      </c>
      <c r="J11" s="1272">
        <v>0</v>
      </c>
      <c r="K11" s="1271">
        <f>SUM(C11:C12,G11:G12)</f>
        <v>718</v>
      </c>
      <c r="L11" s="1270">
        <f>SUM(D11:D12,H11:H12)</f>
        <v>-200</v>
      </c>
      <c r="M11" s="1270">
        <f>SUM(E11:E12,I11:I12)</f>
        <v>518</v>
      </c>
      <c r="N11" s="1269">
        <f>SUM(F11:F12,J11:J12)</f>
        <v>0</v>
      </c>
    </row>
    <row r="12" spans="1:14" s="1235" customFormat="1" ht="33" customHeight="1" thickBot="1" x14ac:dyDescent="0.25">
      <c r="A12" s="1139" t="s">
        <v>1360</v>
      </c>
      <c r="B12" s="1138" t="s">
        <v>1399</v>
      </c>
      <c r="C12" s="1268"/>
      <c r="D12" s="1267"/>
      <c r="E12" s="1266"/>
      <c r="F12" s="1265"/>
      <c r="G12" s="1264">
        <f>250+68</f>
        <v>318</v>
      </c>
      <c r="H12" s="1263">
        <f>+I12-G12</f>
        <v>0</v>
      </c>
      <c r="I12" s="1262">
        <f>250+68</f>
        <v>318</v>
      </c>
      <c r="J12" s="1261">
        <v>0</v>
      </c>
      <c r="K12" s="1260"/>
      <c r="L12" s="1259"/>
      <c r="M12" s="1259"/>
      <c r="N12" s="1258"/>
    </row>
    <row r="13" spans="1:14" s="1235" customFormat="1" ht="33" customHeight="1" thickBot="1" x14ac:dyDescent="0.25">
      <c r="A13" s="1325" t="s">
        <v>416</v>
      </c>
      <c r="B13" s="1256" t="s">
        <v>1398</v>
      </c>
      <c r="C13" s="1255"/>
      <c r="D13" s="1254"/>
      <c r="E13" s="1253"/>
      <c r="F13" s="1252"/>
      <c r="G13" s="1251">
        <v>658</v>
      </c>
      <c r="H13" s="1250">
        <f>+I13-G13</f>
        <v>0</v>
      </c>
      <c r="I13" s="1249">
        <v>658</v>
      </c>
      <c r="J13" s="1248">
        <v>658</v>
      </c>
      <c r="K13" s="1247">
        <f>SUM(C13,G13)</f>
        <v>658</v>
      </c>
      <c r="L13" s="1246">
        <f>SUM(D13,H13)</f>
        <v>0</v>
      </c>
      <c r="M13" s="1246">
        <f>SUM(E13,I13)</f>
        <v>658</v>
      </c>
      <c r="N13" s="1245">
        <f>SUM(F13,J13)</f>
        <v>658</v>
      </c>
    </row>
    <row r="14" spans="1:14" s="1235" customFormat="1" ht="45.75" thickBot="1" x14ac:dyDescent="0.25">
      <c r="A14" s="808" t="s">
        <v>1409</v>
      </c>
      <c r="B14" s="1319"/>
      <c r="C14" s="1320"/>
      <c r="D14" s="1321"/>
      <c r="E14" s="1322"/>
      <c r="F14" s="1323"/>
      <c r="G14" s="1324"/>
      <c r="H14" s="1327">
        <v>8321</v>
      </c>
      <c r="I14" s="1328">
        <v>8321</v>
      </c>
      <c r="J14" s="1329">
        <v>0</v>
      </c>
      <c r="K14" s="1247">
        <f>SUM(C14,G14)</f>
        <v>0</v>
      </c>
      <c r="L14" s="1246">
        <f>SUM(D14,H14)</f>
        <v>8321</v>
      </c>
      <c r="M14" s="1246">
        <f>SUM(E14,I14)</f>
        <v>8321</v>
      </c>
      <c r="N14" s="1245">
        <f>SUM(F14,J14)</f>
        <v>0</v>
      </c>
    </row>
    <row r="15" spans="1:14" s="1235" customFormat="1" ht="31.15" customHeight="1" thickBot="1" x14ac:dyDescent="0.25">
      <c r="A15" s="1326" t="s">
        <v>1397</v>
      </c>
      <c r="B15" s="1244"/>
      <c r="C15" s="1243">
        <f t="shared" ref="C15:J15" si="0">SUM(C4:C14)</f>
        <v>9398</v>
      </c>
      <c r="D15" s="1242">
        <f t="shared" si="0"/>
        <v>-3357</v>
      </c>
      <c r="E15" s="1242">
        <f t="shared" si="0"/>
        <v>6041</v>
      </c>
      <c r="F15" s="1241">
        <f t="shared" si="0"/>
        <v>3429</v>
      </c>
      <c r="G15" s="1243">
        <f t="shared" si="0"/>
        <v>1725</v>
      </c>
      <c r="H15" s="1242">
        <f t="shared" si="0"/>
        <v>11478</v>
      </c>
      <c r="I15" s="1242">
        <f t="shared" si="0"/>
        <v>13203</v>
      </c>
      <c r="J15" s="1241">
        <f t="shared" si="0"/>
        <v>4034</v>
      </c>
      <c r="K15" s="1337">
        <f>SUM(K4:K14)</f>
        <v>11123</v>
      </c>
      <c r="L15" s="1338">
        <f t="shared" ref="L15:N15" si="1">SUM(L4:L14)</f>
        <v>8121</v>
      </c>
      <c r="M15" s="1338">
        <f t="shared" si="1"/>
        <v>19244</v>
      </c>
      <c r="N15" s="1338">
        <f t="shared" si="1"/>
        <v>7463</v>
      </c>
    </row>
    <row r="16" spans="1:14" s="1235" customFormat="1" x14ac:dyDescent="0.2">
      <c r="A16" s="1240"/>
      <c r="B16" s="1236"/>
      <c r="C16" s="1239"/>
      <c r="D16" s="1239"/>
      <c r="E16" s="1239"/>
      <c r="F16" s="1239"/>
      <c r="G16" s="1239"/>
      <c r="H16" s="1239"/>
      <c r="I16" s="1239"/>
      <c r="J16" s="1239"/>
    </row>
    <row r="17" spans="1:10" s="1235" customFormat="1" x14ac:dyDescent="0.2">
      <c r="A17" s="1240"/>
      <c r="B17" s="1236"/>
      <c r="C17" s="1239"/>
      <c r="D17" s="1239"/>
      <c r="E17" s="1239"/>
      <c r="F17" s="1239"/>
      <c r="G17" s="1239"/>
      <c r="H17" s="1239"/>
      <c r="I17" s="1239"/>
      <c r="J17" s="1239"/>
    </row>
    <row r="18" spans="1:10" s="1235" customFormat="1" x14ac:dyDescent="0.2">
      <c r="A18" s="1240"/>
      <c r="B18" s="1236"/>
      <c r="C18" s="1239"/>
      <c r="D18" s="1239"/>
      <c r="E18" s="1239"/>
      <c r="F18" s="1239"/>
      <c r="G18" s="1239"/>
      <c r="H18" s="1239"/>
      <c r="I18" s="1239"/>
      <c r="J18" s="1239"/>
    </row>
    <row r="19" spans="1:10" s="1235" customFormat="1" x14ac:dyDescent="0.2">
      <c r="A19" s="1240"/>
      <c r="B19" s="1236"/>
      <c r="C19" s="1239"/>
      <c r="D19" s="1239"/>
      <c r="E19" s="1239"/>
      <c r="F19" s="1239"/>
      <c r="G19" s="1239"/>
      <c r="H19" s="1239"/>
      <c r="I19" s="1239"/>
      <c r="J19" s="1239"/>
    </row>
    <row r="20" spans="1:10" s="1235" customFormat="1" x14ac:dyDescent="0.2">
      <c r="A20" s="1240"/>
      <c r="B20" s="1236"/>
      <c r="C20" s="1239"/>
      <c r="D20" s="1239"/>
      <c r="E20" s="1239"/>
      <c r="F20" s="1239"/>
      <c r="G20" s="1239"/>
      <c r="H20" s="1239"/>
      <c r="I20" s="1239"/>
      <c r="J20" s="1239"/>
    </row>
    <row r="21" spans="1:10" s="1235" customFormat="1" x14ac:dyDescent="0.2">
      <c r="A21" s="1240"/>
      <c r="B21" s="1236"/>
      <c r="C21" s="1239"/>
      <c r="D21" s="1239"/>
      <c r="E21" s="1239"/>
      <c r="F21" s="1239"/>
      <c r="G21" s="1239"/>
      <c r="H21" s="1239"/>
      <c r="I21" s="1239"/>
      <c r="J21" s="1239"/>
    </row>
    <row r="22" spans="1:10" s="1235" customFormat="1" x14ac:dyDescent="0.2">
      <c r="A22" s="1240"/>
      <c r="B22" s="1236"/>
      <c r="C22" s="1239"/>
      <c r="D22" s="1239"/>
      <c r="E22" s="1239"/>
      <c r="F22" s="1239"/>
      <c r="G22" s="1239"/>
      <c r="H22" s="1239"/>
      <c r="I22" s="1239"/>
      <c r="J22" s="1239"/>
    </row>
    <row r="96" spans="3:14" x14ac:dyDescent="0.2">
      <c r="C96" s="1239"/>
      <c r="D96" s="1239"/>
      <c r="E96" s="1239"/>
      <c r="F96" s="1239"/>
      <c r="G96" s="1239"/>
      <c r="H96" s="1239"/>
      <c r="I96" s="1239"/>
      <c r="J96" s="1239"/>
      <c r="K96" s="1238"/>
      <c r="L96" s="1238"/>
      <c r="M96" s="1238"/>
      <c r="N96" s="1238"/>
    </row>
  </sheetData>
  <mergeCells count="14">
    <mergeCell ref="K4:K9"/>
    <mergeCell ref="K11:K12"/>
    <mergeCell ref="L4:L9"/>
    <mergeCell ref="L11:L12"/>
    <mergeCell ref="A15:B15"/>
    <mergeCell ref="C2:F2"/>
    <mergeCell ref="G2:J2"/>
    <mergeCell ref="M4:M9"/>
    <mergeCell ref="N4:N9"/>
    <mergeCell ref="M11:M12"/>
    <mergeCell ref="N11:N12"/>
    <mergeCell ref="K2:N2"/>
    <mergeCell ref="A1:A3"/>
    <mergeCell ref="B1:B3"/>
  </mergeCells>
  <printOptions horizontalCentered="1"/>
  <pageMargins left="0.23622047244094491" right="0.23622047244094491" top="0.59055118110236227" bottom="0.59055118110236227" header="0.23622047244094491" footer="0.39370078740157483"/>
  <pageSetup paperSize="8" scale="80" orientation="landscape" r:id="rId1"/>
  <headerFooter>
    <oddHeader>&amp;LKöltségvetési intézmények&amp;C&amp;"Arial CE,Félkövér"K7 Felújítások&amp;R14.2 melléklet
adatok ezer Ft-ban</oddHeader>
    <oddFooter>&amp;LVeresegyház, 2015. augusztus31.&amp;C&amp;P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F26" sqref="F26"/>
    </sheetView>
  </sheetViews>
  <sheetFormatPr defaultRowHeight="12.75" x14ac:dyDescent="0.2"/>
  <cols>
    <col min="1" max="1" width="33.42578125" style="234" customWidth="1"/>
    <col min="2" max="3" width="9.5703125" style="234" bestFit="1" customWidth="1"/>
    <col min="4" max="4" width="9.140625" style="234" bestFit="1" customWidth="1"/>
    <col min="5" max="6" width="9.5703125" style="234" bestFit="1" customWidth="1"/>
    <col min="7" max="7" width="9.140625" style="234" bestFit="1" customWidth="1"/>
    <col min="8" max="9" width="9.5703125" style="234" bestFit="1" customWidth="1"/>
    <col min="10" max="10" width="9.140625" style="234" bestFit="1" customWidth="1"/>
    <col min="11" max="12" width="9.5703125" style="234" bestFit="1" customWidth="1"/>
    <col min="13" max="13" width="9.85546875" style="234" customWidth="1"/>
    <col min="14" max="16384" width="9.140625" style="234"/>
  </cols>
  <sheetData>
    <row r="1" spans="1:13" x14ac:dyDescent="0.2">
      <c r="A1" s="7"/>
      <c r="B1" s="7"/>
    </row>
    <row r="2" spans="1:13" x14ac:dyDescent="0.2">
      <c r="H2" s="815" t="s">
        <v>214</v>
      </c>
      <c r="I2" s="815"/>
      <c r="J2" s="815"/>
      <c r="K2" s="815"/>
      <c r="L2" s="815"/>
      <c r="M2" s="815"/>
    </row>
    <row r="3" spans="1:13" x14ac:dyDescent="0.2">
      <c r="A3" s="222"/>
      <c r="B3" s="222"/>
      <c r="C3" s="222"/>
      <c r="D3" s="222"/>
      <c r="E3" s="222"/>
      <c r="F3" s="222"/>
    </row>
    <row r="4" spans="1:13" x14ac:dyDescent="0.2">
      <c r="A4" s="7"/>
      <c r="B4" s="7"/>
    </row>
    <row r="5" spans="1:13" x14ac:dyDescent="0.2">
      <c r="A5" s="812" t="s">
        <v>213</v>
      </c>
      <c r="B5" s="812"/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</row>
    <row r="6" spans="1:13" x14ac:dyDescent="0.2">
      <c r="A6" s="812" t="s">
        <v>212</v>
      </c>
      <c r="B6" s="812"/>
      <c r="C6" s="812"/>
      <c r="D6" s="812"/>
      <c r="E6" s="812"/>
      <c r="F6" s="812"/>
      <c r="G6" s="812"/>
      <c r="H6" s="812"/>
      <c r="I6" s="812"/>
      <c r="J6" s="812"/>
      <c r="K6" s="812"/>
      <c r="L6" s="812"/>
      <c r="M6" s="812"/>
    </row>
    <row r="7" spans="1:13" x14ac:dyDescent="0.2">
      <c r="A7" s="223"/>
      <c r="B7" s="223"/>
      <c r="C7" s="223"/>
      <c r="D7" s="223"/>
      <c r="E7" s="223"/>
      <c r="F7" s="223"/>
    </row>
    <row r="8" spans="1:13" x14ac:dyDescent="0.2">
      <c r="A8" s="223"/>
      <c r="B8" s="223"/>
      <c r="C8" s="223"/>
      <c r="D8" s="223"/>
      <c r="E8" s="223"/>
      <c r="F8" s="223"/>
    </row>
    <row r="9" spans="1:13" x14ac:dyDescent="0.2">
      <c r="A9" s="225" t="s">
        <v>160</v>
      </c>
      <c r="B9" s="225"/>
      <c r="C9" s="225"/>
      <c r="D9" s="225"/>
      <c r="F9" s="224"/>
      <c r="M9" s="225" t="s">
        <v>93</v>
      </c>
    </row>
    <row r="10" spans="1:13" ht="13.15" customHeight="1" x14ac:dyDescent="0.2">
      <c r="A10" s="810" t="s">
        <v>94</v>
      </c>
      <c r="B10" s="817" t="s">
        <v>173</v>
      </c>
      <c r="C10" s="817"/>
      <c r="D10" s="817"/>
      <c r="E10" s="818" t="s">
        <v>301</v>
      </c>
      <c r="F10" s="818"/>
      <c r="G10" s="818"/>
      <c r="H10" s="818" t="s">
        <v>172</v>
      </c>
      <c r="I10" s="818"/>
      <c r="J10" s="818"/>
      <c r="K10" s="819" t="s">
        <v>171</v>
      </c>
      <c r="L10" s="820"/>
      <c r="M10" s="821"/>
    </row>
    <row r="11" spans="1:13" ht="35.25" customHeight="1" x14ac:dyDescent="0.2">
      <c r="A11" s="811"/>
      <c r="B11" s="227" t="s">
        <v>821</v>
      </c>
      <c r="C11" s="227" t="s">
        <v>823</v>
      </c>
      <c r="D11" s="226" t="s">
        <v>822</v>
      </c>
      <c r="E11" s="227" t="s">
        <v>821</v>
      </c>
      <c r="F11" s="227" t="s">
        <v>823</v>
      </c>
      <c r="G11" s="226" t="s">
        <v>822</v>
      </c>
      <c r="H11" s="227" t="s">
        <v>821</v>
      </c>
      <c r="I11" s="227" t="s">
        <v>823</v>
      </c>
      <c r="J11" s="226" t="s">
        <v>822</v>
      </c>
      <c r="K11" s="227" t="s">
        <v>821</v>
      </c>
      <c r="L11" s="227" t="s">
        <v>823</v>
      </c>
      <c r="M11" s="226" t="s">
        <v>822</v>
      </c>
    </row>
    <row r="12" spans="1:13" ht="37.9" customHeight="1" x14ac:dyDescent="0.2">
      <c r="A12" s="8" t="s">
        <v>414</v>
      </c>
      <c r="B12" s="67">
        <v>21224</v>
      </c>
      <c r="C12" s="22">
        <v>21224</v>
      </c>
      <c r="D12" s="22">
        <v>0</v>
      </c>
      <c r="E12" s="22"/>
      <c r="F12" s="22"/>
      <c r="G12" s="22"/>
      <c r="H12" s="22"/>
      <c r="I12" s="22"/>
      <c r="J12" s="22"/>
      <c r="K12" s="67">
        <f>SUM(B12,E12,H12)</f>
        <v>21224</v>
      </c>
      <c r="L12" s="67">
        <f t="shared" ref="L12:M12" si="0">SUM(C12,F12,I12)</f>
        <v>21224</v>
      </c>
      <c r="M12" s="67">
        <f t="shared" si="0"/>
        <v>0</v>
      </c>
    </row>
    <row r="13" spans="1:13" ht="42.6" customHeight="1" x14ac:dyDescent="0.2">
      <c r="A13" s="8" t="s">
        <v>619</v>
      </c>
      <c r="B13" s="67">
        <v>139700</v>
      </c>
      <c r="C13" s="22">
        <v>139700</v>
      </c>
      <c r="D13" s="67"/>
      <c r="E13" s="22"/>
      <c r="F13" s="22"/>
      <c r="G13" s="22"/>
      <c r="H13" s="22"/>
      <c r="I13" s="22"/>
      <c r="J13" s="22"/>
      <c r="K13" s="67">
        <f t="shared" ref="K13:K15" si="1">SUM(B13,E13,H13)</f>
        <v>139700</v>
      </c>
      <c r="L13" s="67">
        <f t="shared" ref="L13:L15" si="2">SUM(C13,F13,I13)</f>
        <v>139700</v>
      </c>
      <c r="M13" s="67">
        <f t="shared" ref="M13:M15" si="3">SUM(D13,G13,J13)</f>
        <v>0</v>
      </c>
    </row>
    <row r="14" spans="1:13" ht="39.75" customHeight="1" x14ac:dyDescent="0.2">
      <c r="A14" s="8" t="s">
        <v>838</v>
      </c>
      <c r="B14" s="67">
        <v>0</v>
      </c>
      <c r="C14" s="22">
        <v>0</v>
      </c>
      <c r="D14" s="22">
        <v>2000</v>
      </c>
      <c r="E14" s="22"/>
      <c r="F14" s="22"/>
      <c r="G14" s="22"/>
      <c r="H14" s="22"/>
      <c r="I14" s="22"/>
      <c r="J14" s="22"/>
      <c r="K14" s="67">
        <f t="shared" si="1"/>
        <v>0</v>
      </c>
      <c r="L14" s="67">
        <f t="shared" si="2"/>
        <v>0</v>
      </c>
      <c r="M14" s="67">
        <f t="shared" si="3"/>
        <v>2000</v>
      </c>
    </row>
    <row r="15" spans="1:13" ht="33" customHeight="1" x14ac:dyDescent="0.2">
      <c r="A15" s="8"/>
      <c r="B15" s="22"/>
      <c r="C15" s="22"/>
      <c r="D15" s="22"/>
      <c r="E15" s="22"/>
      <c r="F15" s="22"/>
      <c r="G15" s="22"/>
      <c r="H15" s="22"/>
      <c r="I15" s="22"/>
      <c r="J15" s="22"/>
      <c r="K15" s="67">
        <f t="shared" si="1"/>
        <v>0</v>
      </c>
      <c r="L15" s="67">
        <f t="shared" si="2"/>
        <v>0</v>
      </c>
      <c r="M15" s="67">
        <f t="shared" si="3"/>
        <v>0</v>
      </c>
    </row>
    <row r="16" spans="1:13" ht="36.6" customHeight="1" x14ac:dyDescent="0.2">
      <c r="A16" s="68" t="s">
        <v>211</v>
      </c>
      <c r="B16" s="69">
        <f>SUM(B12:B15)</f>
        <v>160924</v>
      </c>
      <c r="C16" s="69">
        <f>SUM(C12:C15)</f>
        <v>160924</v>
      </c>
      <c r="D16" s="69">
        <f t="shared" ref="D16:M16" si="4">SUM(D12:D15)</f>
        <v>2000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160924</v>
      </c>
      <c r="L16" s="69">
        <f t="shared" si="4"/>
        <v>160924</v>
      </c>
      <c r="M16" s="69">
        <f t="shared" si="4"/>
        <v>2000</v>
      </c>
    </row>
  </sheetData>
  <mergeCells count="8">
    <mergeCell ref="H2:M2"/>
    <mergeCell ref="A10:A11"/>
    <mergeCell ref="A5:M5"/>
    <mergeCell ref="A6:M6"/>
    <mergeCell ref="B10:D10"/>
    <mergeCell ref="E10:G10"/>
    <mergeCell ref="H10:J10"/>
    <mergeCell ref="K10:M10"/>
  </mergeCells>
  <phoneticPr fontId="12" type="noConversion"/>
  <printOptions horizontalCentered="1"/>
  <pageMargins left="0" right="0" top="0.47244094488188981" bottom="0.31496062992125984" header="0.27559055118110237" footer="0.19685039370078741"/>
  <pageSetup paperSize="9" orientation="landscape" r:id="rId1"/>
  <headerFooter>
    <oddHeader>&amp;LVeresegyház Város Önkormányzat&amp;C&amp;"Arial CE,Félkövér"ELŐIRÁNYZAT MÓDOSÍTÁS, TELJESÍTÉS 2015.06.30.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7" sqref="C7"/>
    </sheetView>
  </sheetViews>
  <sheetFormatPr defaultRowHeight="12.75" x14ac:dyDescent="0.2"/>
  <cols>
    <col min="1" max="1" width="40" customWidth="1"/>
    <col min="2" max="3" width="14.85546875" customWidth="1"/>
    <col min="4" max="4" width="13.85546875" customWidth="1"/>
  </cols>
  <sheetData>
    <row r="1" spans="1:4" x14ac:dyDescent="0.2">
      <c r="D1" s="6" t="s">
        <v>219</v>
      </c>
    </row>
    <row r="4" spans="1:4" x14ac:dyDescent="0.2">
      <c r="A4" s="812" t="s">
        <v>1343</v>
      </c>
      <c r="B4" s="812"/>
      <c r="C4" s="812"/>
      <c r="D4" s="812"/>
    </row>
    <row r="5" spans="1:4" x14ac:dyDescent="0.2">
      <c r="A5" s="7"/>
      <c r="B5" s="7"/>
      <c r="C5" s="7"/>
      <c r="D5" s="20"/>
    </row>
    <row r="6" spans="1:4" x14ac:dyDescent="0.2">
      <c r="A6" s="812" t="s">
        <v>456</v>
      </c>
      <c r="B6" s="812"/>
      <c r="C6" s="812"/>
      <c r="D6" s="812"/>
    </row>
    <row r="7" spans="1:4" x14ac:dyDescent="0.2">
      <c r="A7" s="19"/>
      <c r="B7" s="19"/>
      <c r="C7" s="19"/>
      <c r="D7" s="19"/>
    </row>
    <row r="8" spans="1:4" x14ac:dyDescent="0.2">
      <c r="A8" s="816" t="s">
        <v>217</v>
      </c>
      <c r="B8" s="816"/>
      <c r="C8" s="816"/>
      <c r="D8" s="816"/>
    </row>
    <row r="9" spans="1:4" ht="17.25" customHeight="1" x14ac:dyDescent="0.2">
      <c r="A9" s="819" t="s">
        <v>143</v>
      </c>
      <c r="B9" s="942" t="s">
        <v>173</v>
      </c>
      <c r="C9" s="942"/>
      <c r="D9" s="942"/>
    </row>
    <row r="10" spans="1:4" ht="33.75" x14ac:dyDescent="0.2">
      <c r="A10" s="941"/>
      <c r="B10" s="196" t="s">
        <v>821</v>
      </c>
      <c r="C10" s="196" t="s">
        <v>823</v>
      </c>
      <c r="D10" s="192" t="s">
        <v>822</v>
      </c>
    </row>
    <row r="11" spans="1:4" ht="18" customHeight="1" x14ac:dyDescent="0.2">
      <c r="A11" s="193" t="s">
        <v>761</v>
      </c>
      <c r="B11" s="10">
        <v>86589</v>
      </c>
      <c r="C11" s="194"/>
      <c r="D11" s="10"/>
    </row>
    <row r="12" spans="1:4" ht="18" customHeight="1" x14ac:dyDescent="0.2">
      <c r="A12" s="193" t="s">
        <v>762</v>
      </c>
      <c r="B12" s="10">
        <v>263205</v>
      </c>
      <c r="C12" s="10">
        <v>32525</v>
      </c>
      <c r="D12" s="10"/>
    </row>
    <row r="13" spans="1:4" ht="18" customHeight="1" x14ac:dyDescent="0.2">
      <c r="A13" s="207"/>
      <c r="B13" s="207"/>
      <c r="C13" s="188"/>
      <c r="D13" s="10"/>
    </row>
    <row r="14" spans="1:4" ht="18" customHeight="1" x14ac:dyDescent="0.2">
      <c r="A14" s="189" t="s">
        <v>216</v>
      </c>
      <c r="B14" s="72">
        <f t="shared" ref="B14:C14" si="0">SUM(B11:B13)</f>
        <v>349794</v>
      </c>
      <c r="C14" s="72">
        <f t="shared" si="0"/>
        <v>32525</v>
      </c>
      <c r="D14" s="72">
        <f>SUM(D11:D13)</f>
        <v>0</v>
      </c>
    </row>
    <row r="18" spans="1:4" x14ac:dyDescent="0.2">
      <c r="A18" s="812" t="s">
        <v>218</v>
      </c>
      <c r="B18" s="812"/>
      <c r="C18" s="812"/>
      <c r="D18" s="812"/>
    </row>
    <row r="19" spans="1:4" x14ac:dyDescent="0.2">
      <c r="A19" s="19"/>
      <c r="B19" s="19"/>
      <c r="C19" s="19"/>
      <c r="D19" s="19"/>
    </row>
    <row r="20" spans="1:4" x14ac:dyDescent="0.2">
      <c r="A20" s="816" t="s">
        <v>217</v>
      </c>
      <c r="B20" s="816"/>
      <c r="C20" s="816"/>
      <c r="D20" s="816"/>
    </row>
    <row r="21" spans="1:4" x14ac:dyDescent="0.2">
      <c r="A21" s="819" t="s">
        <v>143</v>
      </c>
      <c r="B21" s="942" t="s">
        <v>173</v>
      </c>
      <c r="C21" s="942"/>
      <c r="D21" s="942"/>
    </row>
    <row r="22" spans="1:4" ht="33.75" x14ac:dyDescent="0.2">
      <c r="A22" s="941"/>
      <c r="B22" s="196" t="s">
        <v>821</v>
      </c>
      <c r="C22" s="196" t="s">
        <v>823</v>
      </c>
      <c r="D22" s="192" t="s">
        <v>822</v>
      </c>
    </row>
    <row r="23" spans="1:4" x14ac:dyDescent="0.2">
      <c r="A23" s="193" t="s">
        <v>760</v>
      </c>
      <c r="B23" s="10">
        <v>100000</v>
      </c>
      <c r="C23" s="10">
        <v>57228</v>
      </c>
      <c r="D23" s="10"/>
    </row>
    <row r="24" spans="1:4" x14ac:dyDescent="0.2">
      <c r="A24" s="187"/>
      <c r="B24" s="10"/>
      <c r="C24" s="10"/>
      <c r="D24" s="10"/>
    </row>
    <row r="25" spans="1:4" x14ac:dyDescent="0.2">
      <c r="A25" s="189" t="s">
        <v>216</v>
      </c>
      <c r="B25" s="72">
        <f t="shared" ref="B25:C25" si="1">SUM(B23:B24)</f>
        <v>100000</v>
      </c>
      <c r="C25" s="72">
        <f t="shared" si="1"/>
        <v>57228</v>
      </c>
      <c r="D25" s="72">
        <f>SUM(D23:D24)</f>
        <v>0</v>
      </c>
    </row>
  </sheetData>
  <mergeCells count="9">
    <mergeCell ref="A4:D4"/>
    <mergeCell ref="A6:D6"/>
    <mergeCell ref="A9:A10"/>
    <mergeCell ref="B9:D9"/>
    <mergeCell ref="B21:D21"/>
    <mergeCell ref="A18:D18"/>
    <mergeCell ref="A20:D20"/>
    <mergeCell ref="A21:A22"/>
    <mergeCell ref="A8:D8"/>
  </mergeCells>
  <phoneticPr fontId="12" type="noConversion"/>
  <printOptions horizontalCentered="1"/>
  <pageMargins left="0" right="0" top="0.47244094488188981" bottom="0.31496062992125984" header="0.27559055118110237" footer="0.19685039370078741"/>
  <pageSetup paperSize="9" scale="90" orientation="portrait" r:id="rId1"/>
  <headerFooter>
    <oddHeader>&amp;LVeresegyház Város Önkormányzat&amp;C&amp;"Arial CE,Félkövér"ELŐIRÁNYZAT MÓDOSÍTÁS, TELJESÍTÉS 2015.06.30.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J21" sqref="J21"/>
    </sheetView>
  </sheetViews>
  <sheetFormatPr defaultRowHeight="12.75" x14ac:dyDescent="0.2"/>
  <cols>
    <col min="1" max="1" width="37" style="77" customWidth="1"/>
    <col min="2" max="11" width="9.28515625" style="77" customWidth="1"/>
    <col min="12" max="259" width="9.140625" style="77"/>
    <col min="260" max="260" width="37" style="77" customWidth="1"/>
    <col min="261" max="261" width="16.28515625" style="77" customWidth="1"/>
    <col min="262" max="262" width="14.5703125" style="77" customWidth="1"/>
    <col min="263" max="263" width="14.85546875" style="77" customWidth="1"/>
    <col min="264" max="264" width="12.42578125" style="77" customWidth="1"/>
    <col min="265" max="265" width="14" style="77" customWidth="1"/>
    <col min="266" max="266" width="12.28515625" style="77" customWidth="1"/>
    <col min="267" max="515" width="9.140625" style="77"/>
    <col min="516" max="516" width="37" style="77" customWidth="1"/>
    <col min="517" max="517" width="16.28515625" style="77" customWidth="1"/>
    <col min="518" max="518" width="14.5703125" style="77" customWidth="1"/>
    <col min="519" max="519" width="14.85546875" style="77" customWidth="1"/>
    <col min="520" max="520" width="12.42578125" style="77" customWidth="1"/>
    <col min="521" max="521" width="14" style="77" customWidth="1"/>
    <col min="522" max="522" width="12.28515625" style="77" customWidth="1"/>
    <col min="523" max="771" width="9.140625" style="77"/>
    <col min="772" max="772" width="37" style="77" customWidth="1"/>
    <col min="773" max="773" width="16.28515625" style="77" customWidth="1"/>
    <col min="774" max="774" width="14.5703125" style="77" customWidth="1"/>
    <col min="775" max="775" width="14.85546875" style="77" customWidth="1"/>
    <col min="776" max="776" width="12.42578125" style="77" customWidth="1"/>
    <col min="777" max="777" width="14" style="77" customWidth="1"/>
    <col min="778" max="778" width="12.28515625" style="77" customWidth="1"/>
    <col min="779" max="1027" width="9.140625" style="77"/>
    <col min="1028" max="1028" width="37" style="77" customWidth="1"/>
    <col min="1029" max="1029" width="16.28515625" style="77" customWidth="1"/>
    <col min="1030" max="1030" width="14.5703125" style="77" customWidth="1"/>
    <col min="1031" max="1031" width="14.85546875" style="77" customWidth="1"/>
    <col min="1032" max="1032" width="12.42578125" style="77" customWidth="1"/>
    <col min="1033" max="1033" width="14" style="77" customWidth="1"/>
    <col min="1034" max="1034" width="12.28515625" style="77" customWidth="1"/>
    <col min="1035" max="1283" width="9.140625" style="77"/>
    <col min="1284" max="1284" width="37" style="77" customWidth="1"/>
    <col min="1285" max="1285" width="16.28515625" style="77" customWidth="1"/>
    <col min="1286" max="1286" width="14.5703125" style="77" customWidth="1"/>
    <col min="1287" max="1287" width="14.85546875" style="77" customWidth="1"/>
    <col min="1288" max="1288" width="12.42578125" style="77" customWidth="1"/>
    <col min="1289" max="1289" width="14" style="77" customWidth="1"/>
    <col min="1290" max="1290" width="12.28515625" style="77" customWidth="1"/>
    <col min="1291" max="1539" width="9.140625" style="77"/>
    <col min="1540" max="1540" width="37" style="77" customWidth="1"/>
    <col min="1541" max="1541" width="16.28515625" style="77" customWidth="1"/>
    <col min="1542" max="1542" width="14.5703125" style="77" customWidth="1"/>
    <col min="1543" max="1543" width="14.85546875" style="77" customWidth="1"/>
    <col min="1544" max="1544" width="12.42578125" style="77" customWidth="1"/>
    <col min="1545" max="1545" width="14" style="77" customWidth="1"/>
    <col min="1546" max="1546" width="12.28515625" style="77" customWidth="1"/>
    <col min="1547" max="1795" width="9.140625" style="77"/>
    <col min="1796" max="1796" width="37" style="77" customWidth="1"/>
    <col min="1797" max="1797" width="16.28515625" style="77" customWidth="1"/>
    <col min="1798" max="1798" width="14.5703125" style="77" customWidth="1"/>
    <col min="1799" max="1799" width="14.85546875" style="77" customWidth="1"/>
    <col min="1800" max="1800" width="12.42578125" style="77" customWidth="1"/>
    <col min="1801" max="1801" width="14" style="77" customWidth="1"/>
    <col min="1802" max="1802" width="12.28515625" style="77" customWidth="1"/>
    <col min="1803" max="2051" width="9.140625" style="77"/>
    <col min="2052" max="2052" width="37" style="77" customWidth="1"/>
    <col min="2053" max="2053" width="16.28515625" style="77" customWidth="1"/>
    <col min="2054" max="2054" width="14.5703125" style="77" customWidth="1"/>
    <col min="2055" max="2055" width="14.85546875" style="77" customWidth="1"/>
    <col min="2056" max="2056" width="12.42578125" style="77" customWidth="1"/>
    <col min="2057" max="2057" width="14" style="77" customWidth="1"/>
    <col min="2058" max="2058" width="12.28515625" style="77" customWidth="1"/>
    <col min="2059" max="2307" width="9.140625" style="77"/>
    <col min="2308" max="2308" width="37" style="77" customWidth="1"/>
    <col min="2309" max="2309" width="16.28515625" style="77" customWidth="1"/>
    <col min="2310" max="2310" width="14.5703125" style="77" customWidth="1"/>
    <col min="2311" max="2311" width="14.85546875" style="77" customWidth="1"/>
    <col min="2312" max="2312" width="12.42578125" style="77" customWidth="1"/>
    <col min="2313" max="2313" width="14" style="77" customWidth="1"/>
    <col min="2314" max="2314" width="12.28515625" style="77" customWidth="1"/>
    <col min="2315" max="2563" width="9.140625" style="77"/>
    <col min="2564" max="2564" width="37" style="77" customWidth="1"/>
    <col min="2565" max="2565" width="16.28515625" style="77" customWidth="1"/>
    <col min="2566" max="2566" width="14.5703125" style="77" customWidth="1"/>
    <col min="2567" max="2567" width="14.85546875" style="77" customWidth="1"/>
    <col min="2568" max="2568" width="12.42578125" style="77" customWidth="1"/>
    <col min="2569" max="2569" width="14" style="77" customWidth="1"/>
    <col min="2570" max="2570" width="12.28515625" style="77" customWidth="1"/>
    <col min="2571" max="2819" width="9.140625" style="77"/>
    <col min="2820" max="2820" width="37" style="77" customWidth="1"/>
    <col min="2821" max="2821" width="16.28515625" style="77" customWidth="1"/>
    <col min="2822" max="2822" width="14.5703125" style="77" customWidth="1"/>
    <col min="2823" max="2823" width="14.85546875" style="77" customWidth="1"/>
    <col min="2824" max="2824" width="12.42578125" style="77" customWidth="1"/>
    <col min="2825" max="2825" width="14" style="77" customWidth="1"/>
    <col min="2826" max="2826" width="12.28515625" style="77" customWidth="1"/>
    <col min="2827" max="3075" width="9.140625" style="77"/>
    <col min="3076" max="3076" width="37" style="77" customWidth="1"/>
    <col min="3077" max="3077" width="16.28515625" style="77" customWidth="1"/>
    <col min="3078" max="3078" width="14.5703125" style="77" customWidth="1"/>
    <col min="3079" max="3079" width="14.85546875" style="77" customWidth="1"/>
    <col min="3080" max="3080" width="12.42578125" style="77" customWidth="1"/>
    <col min="3081" max="3081" width="14" style="77" customWidth="1"/>
    <col min="3082" max="3082" width="12.28515625" style="77" customWidth="1"/>
    <col min="3083" max="3331" width="9.140625" style="77"/>
    <col min="3332" max="3332" width="37" style="77" customWidth="1"/>
    <col min="3333" max="3333" width="16.28515625" style="77" customWidth="1"/>
    <col min="3334" max="3334" width="14.5703125" style="77" customWidth="1"/>
    <col min="3335" max="3335" width="14.85546875" style="77" customWidth="1"/>
    <col min="3336" max="3336" width="12.42578125" style="77" customWidth="1"/>
    <col min="3337" max="3337" width="14" style="77" customWidth="1"/>
    <col min="3338" max="3338" width="12.28515625" style="77" customWidth="1"/>
    <col min="3339" max="3587" width="9.140625" style="77"/>
    <col min="3588" max="3588" width="37" style="77" customWidth="1"/>
    <col min="3589" max="3589" width="16.28515625" style="77" customWidth="1"/>
    <col min="3590" max="3590" width="14.5703125" style="77" customWidth="1"/>
    <col min="3591" max="3591" width="14.85546875" style="77" customWidth="1"/>
    <col min="3592" max="3592" width="12.42578125" style="77" customWidth="1"/>
    <col min="3593" max="3593" width="14" style="77" customWidth="1"/>
    <col min="3594" max="3594" width="12.28515625" style="77" customWidth="1"/>
    <col min="3595" max="3843" width="9.140625" style="77"/>
    <col min="3844" max="3844" width="37" style="77" customWidth="1"/>
    <col min="3845" max="3845" width="16.28515625" style="77" customWidth="1"/>
    <col min="3846" max="3846" width="14.5703125" style="77" customWidth="1"/>
    <col min="3847" max="3847" width="14.85546875" style="77" customWidth="1"/>
    <col min="3848" max="3848" width="12.42578125" style="77" customWidth="1"/>
    <col min="3849" max="3849" width="14" style="77" customWidth="1"/>
    <col min="3850" max="3850" width="12.28515625" style="77" customWidth="1"/>
    <col min="3851" max="4099" width="9.140625" style="77"/>
    <col min="4100" max="4100" width="37" style="77" customWidth="1"/>
    <col min="4101" max="4101" width="16.28515625" style="77" customWidth="1"/>
    <col min="4102" max="4102" width="14.5703125" style="77" customWidth="1"/>
    <col min="4103" max="4103" width="14.85546875" style="77" customWidth="1"/>
    <col min="4104" max="4104" width="12.42578125" style="77" customWidth="1"/>
    <col min="4105" max="4105" width="14" style="77" customWidth="1"/>
    <col min="4106" max="4106" width="12.28515625" style="77" customWidth="1"/>
    <col min="4107" max="4355" width="9.140625" style="77"/>
    <col min="4356" max="4356" width="37" style="77" customWidth="1"/>
    <col min="4357" max="4357" width="16.28515625" style="77" customWidth="1"/>
    <col min="4358" max="4358" width="14.5703125" style="77" customWidth="1"/>
    <col min="4359" max="4359" width="14.85546875" style="77" customWidth="1"/>
    <col min="4360" max="4360" width="12.42578125" style="77" customWidth="1"/>
    <col min="4361" max="4361" width="14" style="77" customWidth="1"/>
    <col min="4362" max="4362" width="12.28515625" style="77" customWidth="1"/>
    <col min="4363" max="4611" width="9.140625" style="77"/>
    <col min="4612" max="4612" width="37" style="77" customWidth="1"/>
    <col min="4613" max="4613" width="16.28515625" style="77" customWidth="1"/>
    <col min="4614" max="4614" width="14.5703125" style="77" customWidth="1"/>
    <col min="4615" max="4615" width="14.85546875" style="77" customWidth="1"/>
    <col min="4616" max="4616" width="12.42578125" style="77" customWidth="1"/>
    <col min="4617" max="4617" width="14" style="77" customWidth="1"/>
    <col min="4618" max="4618" width="12.28515625" style="77" customWidth="1"/>
    <col min="4619" max="4867" width="9.140625" style="77"/>
    <col min="4868" max="4868" width="37" style="77" customWidth="1"/>
    <col min="4869" max="4869" width="16.28515625" style="77" customWidth="1"/>
    <col min="4870" max="4870" width="14.5703125" style="77" customWidth="1"/>
    <col min="4871" max="4871" width="14.85546875" style="77" customWidth="1"/>
    <col min="4872" max="4872" width="12.42578125" style="77" customWidth="1"/>
    <col min="4873" max="4873" width="14" style="77" customWidth="1"/>
    <col min="4874" max="4874" width="12.28515625" style="77" customWidth="1"/>
    <col min="4875" max="5123" width="9.140625" style="77"/>
    <col min="5124" max="5124" width="37" style="77" customWidth="1"/>
    <col min="5125" max="5125" width="16.28515625" style="77" customWidth="1"/>
    <col min="5126" max="5126" width="14.5703125" style="77" customWidth="1"/>
    <col min="5127" max="5127" width="14.85546875" style="77" customWidth="1"/>
    <col min="5128" max="5128" width="12.42578125" style="77" customWidth="1"/>
    <col min="5129" max="5129" width="14" style="77" customWidth="1"/>
    <col min="5130" max="5130" width="12.28515625" style="77" customWidth="1"/>
    <col min="5131" max="5379" width="9.140625" style="77"/>
    <col min="5380" max="5380" width="37" style="77" customWidth="1"/>
    <col min="5381" max="5381" width="16.28515625" style="77" customWidth="1"/>
    <col min="5382" max="5382" width="14.5703125" style="77" customWidth="1"/>
    <col min="5383" max="5383" width="14.85546875" style="77" customWidth="1"/>
    <col min="5384" max="5384" width="12.42578125" style="77" customWidth="1"/>
    <col min="5385" max="5385" width="14" style="77" customWidth="1"/>
    <col min="5386" max="5386" width="12.28515625" style="77" customWidth="1"/>
    <col min="5387" max="5635" width="9.140625" style="77"/>
    <col min="5636" max="5636" width="37" style="77" customWidth="1"/>
    <col min="5637" max="5637" width="16.28515625" style="77" customWidth="1"/>
    <col min="5638" max="5638" width="14.5703125" style="77" customWidth="1"/>
    <col min="5639" max="5639" width="14.85546875" style="77" customWidth="1"/>
    <col min="5640" max="5640" width="12.42578125" style="77" customWidth="1"/>
    <col min="5641" max="5641" width="14" style="77" customWidth="1"/>
    <col min="5642" max="5642" width="12.28515625" style="77" customWidth="1"/>
    <col min="5643" max="5891" width="9.140625" style="77"/>
    <col min="5892" max="5892" width="37" style="77" customWidth="1"/>
    <col min="5893" max="5893" width="16.28515625" style="77" customWidth="1"/>
    <col min="5894" max="5894" width="14.5703125" style="77" customWidth="1"/>
    <col min="5895" max="5895" width="14.85546875" style="77" customWidth="1"/>
    <col min="5896" max="5896" width="12.42578125" style="77" customWidth="1"/>
    <col min="5897" max="5897" width="14" style="77" customWidth="1"/>
    <col min="5898" max="5898" width="12.28515625" style="77" customWidth="1"/>
    <col min="5899" max="6147" width="9.140625" style="77"/>
    <col min="6148" max="6148" width="37" style="77" customWidth="1"/>
    <col min="6149" max="6149" width="16.28515625" style="77" customWidth="1"/>
    <col min="6150" max="6150" width="14.5703125" style="77" customWidth="1"/>
    <col min="6151" max="6151" width="14.85546875" style="77" customWidth="1"/>
    <col min="6152" max="6152" width="12.42578125" style="77" customWidth="1"/>
    <col min="6153" max="6153" width="14" style="77" customWidth="1"/>
    <col min="6154" max="6154" width="12.28515625" style="77" customWidth="1"/>
    <col min="6155" max="6403" width="9.140625" style="77"/>
    <col min="6404" max="6404" width="37" style="77" customWidth="1"/>
    <col min="6405" max="6405" width="16.28515625" style="77" customWidth="1"/>
    <col min="6406" max="6406" width="14.5703125" style="77" customWidth="1"/>
    <col min="6407" max="6407" width="14.85546875" style="77" customWidth="1"/>
    <col min="6408" max="6408" width="12.42578125" style="77" customWidth="1"/>
    <col min="6409" max="6409" width="14" style="77" customWidth="1"/>
    <col min="6410" max="6410" width="12.28515625" style="77" customWidth="1"/>
    <col min="6411" max="6659" width="9.140625" style="77"/>
    <col min="6660" max="6660" width="37" style="77" customWidth="1"/>
    <col min="6661" max="6661" width="16.28515625" style="77" customWidth="1"/>
    <col min="6662" max="6662" width="14.5703125" style="77" customWidth="1"/>
    <col min="6663" max="6663" width="14.85546875" style="77" customWidth="1"/>
    <col min="6664" max="6664" width="12.42578125" style="77" customWidth="1"/>
    <col min="6665" max="6665" width="14" style="77" customWidth="1"/>
    <col min="6666" max="6666" width="12.28515625" style="77" customWidth="1"/>
    <col min="6667" max="6915" width="9.140625" style="77"/>
    <col min="6916" max="6916" width="37" style="77" customWidth="1"/>
    <col min="6917" max="6917" width="16.28515625" style="77" customWidth="1"/>
    <col min="6918" max="6918" width="14.5703125" style="77" customWidth="1"/>
    <col min="6919" max="6919" width="14.85546875" style="77" customWidth="1"/>
    <col min="6920" max="6920" width="12.42578125" style="77" customWidth="1"/>
    <col min="6921" max="6921" width="14" style="77" customWidth="1"/>
    <col min="6922" max="6922" width="12.28515625" style="77" customWidth="1"/>
    <col min="6923" max="7171" width="9.140625" style="77"/>
    <col min="7172" max="7172" width="37" style="77" customWidth="1"/>
    <col min="7173" max="7173" width="16.28515625" style="77" customWidth="1"/>
    <col min="7174" max="7174" width="14.5703125" style="77" customWidth="1"/>
    <col min="7175" max="7175" width="14.85546875" style="77" customWidth="1"/>
    <col min="7176" max="7176" width="12.42578125" style="77" customWidth="1"/>
    <col min="7177" max="7177" width="14" style="77" customWidth="1"/>
    <col min="7178" max="7178" width="12.28515625" style="77" customWidth="1"/>
    <col min="7179" max="7427" width="9.140625" style="77"/>
    <col min="7428" max="7428" width="37" style="77" customWidth="1"/>
    <col min="7429" max="7429" width="16.28515625" style="77" customWidth="1"/>
    <col min="7430" max="7430" width="14.5703125" style="77" customWidth="1"/>
    <col min="7431" max="7431" width="14.85546875" style="77" customWidth="1"/>
    <col min="7432" max="7432" width="12.42578125" style="77" customWidth="1"/>
    <col min="7433" max="7433" width="14" style="77" customWidth="1"/>
    <col min="7434" max="7434" width="12.28515625" style="77" customWidth="1"/>
    <col min="7435" max="7683" width="9.140625" style="77"/>
    <col min="7684" max="7684" width="37" style="77" customWidth="1"/>
    <col min="7685" max="7685" width="16.28515625" style="77" customWidth="1"/>
    <col min="7686" max="7686" width="14.5703125" style="77" customWidth="1"/>
    <col min="7687" max="7687" width="14.85546875" style="77" customWidth="1"/>
    <col min="7688" max="7688" width="12.42578125" style="77" customWidth="1"/>
    <col min="7689" max="7689" width="14" style="77" customWidth="1"/>
    <col min="7690" max="7690" width="12.28515625" style="77" customWidth="1"/>
    <col min="7691" max="7939" width="9.140625" style="77"/>
    <col min="7940" max="7940" width="37" style="77" customWidth="1"/>
    <col min="7941" max="7941" width="16.28515625" style="77" customWidth="1"/>
    <col min="7942" max="7942" width="14.5703125" style="77" customWidth="1"/>
    <col min="7943" max="7943" width="14.85546875" style="77" customWidth="1"/>
    <col min="7944" max="7944" width="12.42578125" style="77" customWidth="1"/>
    <col min="7945" max="7945" width="14" style="77" customWidth="1"/>
    <col min="7946" max="7946" width="12.28515625" style="77" customWidth="1"/>
    <col min="7947" max="8195" width="9.140625" style="77"/>
    <col min="8196" max="8196" width="37" style="77" customWidth="1"/>
    <col min="8197" max="8197" width="16.28515625" style="77" customWidth="1"/>
    <col min="8198" max="8198" width="14.5703125" style="77" customWidth="1"/>
    <col min="8199" max="8199" width="14.85546875" style="77" customWidth="1"/>
    <col min="8200" max="8200" width="12.42578125" style="77" customWidth="1"/>
    <col min="8201" max="8201" width="14" style="77" customWidth="1"/>
    <col min="8202" max="8202" width="12.28515625" style="77" customWidth="1"/>
    <col min="8203" max="8451" width="9.140625" style="77"/>
    <col min="8452" max="8452" width="37" style="77" customWidth="1"/>
    <col min="8453" max="8453" width="16.28515625" style="77" customWidth="1"/>
    <col min="8454" max="8454" width="14.5703125" style="77" customWidth="1"/>
    <col min="8455" max="8455" width="14.85546875" style="77" customWidth="1"/>
    <col min="8456" max="8456" width="12.42578125" style="77" customWidth="1"/>
    <col min="8457" max="8457" width="14" style="77" customWidth="1"/>
    <col min="8458" max="8458" width="12.28515625" style="77" customWidth="1"/>
    <col min="8459" max="8707" width="9.140625" style="77"/>
    <col min="8708" max="8708" width="37" style="77" customWidth="1"/>
    <col min="8709" max="8709" width="16.28515625" style="77" customWidth="1"/>
    <col min="8710" max="8710" width="14.5703125" style="77" customWidth="1"/>
    <col min="8711" max="8711" width="14.85546875" style="77" customWidth="1"/>
    <col min="8712" max="8712" width="12.42578125" style="77" customWidth="1"/>
    <col min="8713" max="8713" width="14" style="77" customWidth="1"/>
    <col min="8714" max="8714" width="12.28515625" style="77" customWidth="1"/>
    <col min="8715" max="8963" width="9.140625" style="77"/>
    <col min="8964" max="8964" width="37" style="77" customWidth="1"/>
    <col min="8965" max="8965" width="16.28515625" style="77" customWidth="1"/>
    <col min="8966" max="8966" width="14.5703125" style="77" customWidth="1"/>
    <col min="8967" max="8967" width="14.85546875" style="77" customWidth="1"/>
    <col min="8968" max="8968" width="12.42578125" style="77" customWidth="1"/>
    <col min="8969" max="8969" width="14" style="77" customWidth="1"/>
    <col min="8970" max="8970" width="12.28515625" style="77" customWidth="1"/>
    <col min="8971" max="9219" width="9.140625" style="77"/>
    <col min="9220" max="9220" width="37" style="77" customWidth="1"/>
    <col min="9221" max="9221" width="16.28515625" style="77" customWidth="1"/>
    <col min="9222" max="9222" width="14.5703125" style="77" customWidth="1"/>
    <col min="9223" max="9223" width="14.85546875" style="77" customWidth="1"/>
    <col min="9224" max="9224" width="12.42578125" style="77" customWidth="1"/>
    <col min="9225" max="9225" width="14" style="77" customWidth="1"/>
    <col min="9226" max="9226" width="12.28515625" style="77" customWidth="1"/>
    <col min="9227" max="9475" width="9.140625" style="77"/>
    <col min="9476" max="9476" width="37" style="77" customWidth="1"/>
    <col min="9477" max="9477" width="16.28515625" style="77" customWidth="1"/>
    <col min="9478" max="9478" width="14.5703125" style="77" customWidth="1"/>
    <col min="9479" max="9479" width="14.85546875" style="77" customWidth="1"/>
    <col min="9480" max="9480" width="12.42578125" style="77" customWidth="1"/>
    <col min="9481" max="9481" width="14" style="77" customWidth="1"/>
    <col min="9482" max="9482" width="12.28515625" style="77" customWidth="1"/>
    <col min="9483" max="9731" width="9.140625" style="77"/>
    <col min="9732" max="9732" width="37" style="77" customWidth="1"/>
    <col min="9733" max="9733" width="16.28515625" style="77" customWidth="1"/>
    <col min="9734" max="9734" width="14.5703125" style="77" customWidth="1"/>
    <col min="9735" max="9735" width="14.85546875" style="77" customWidth="1"/>
    <col min="9736" max="9736" width="12.42578125" style="77" customWidth="1"/>
    <col min="9737" max="9737" width="14" style="77" customWidth="1"/>
    <col min="9738" max="9738" width="12.28515625" style="77" customWidth="1"/>
    <col min="9739" max="9987" width="9.140625" style="77"/>
    <col min="9988" max="9988" width="37" style="77" customWidth="1"/>
    <col min="9989" max="9989" width="16.28515625" style="77" customWidth="1"/>
    <col min="9990" max="9990" width="14.5703125" style="77" customWidth="1"/>
    <col min="9991" max="9991" width="14.85546875" style="77" customWidth="1"/>
    <col min="9992" max="9992" width="12.42578125" style="77" customWidth="1"/>
    <col min="9993" max="9993" width="14" style="77" customWidth="1"/>
    <col min="9994" max="9994" width="12.28515625" style="77" customWidth="1"/>
    <col min="9995" max="10243" width="9.140625" style="77"/>
    <col min="10244" max="10244" width="37" style="77" customWidth="1"/>
    <col min="10245" max="10245" width="16.28515625" style="77" customWidth="1"/>
    <col min="10246" max="10246" width="14.5703125" style="77" customWidth="1"/>
    <col min="10247" max="10247" width="14.85546875" style="77" customWidth="1"/>
    <col min="10248" max="10248" width="12.42578125" style="77" customWidth="1"/>
    <col min="10249" max="10249" width="14" style="77" customWidth="1"/>
    <col min="10250" max="10250" width="12.28515625" style="77" customWidth="1"/>
    <col min="10251" max="10499" width="9.140625" style="77"/>
    <col min="10500" max="10500" width="37" style="77" customWidth="1"/>
    <col min="10501" max="10501" width="16.28515625" style="77" customWidth="1"/>
    <col min="10502" max="10502" width="14.5703125" style="77" customWidth="1"/>
    <col min="10503" max="10503" width="14.85546875" style="77" customWidth="1"/>
    <col min="10504" max="10504" width="12.42578125" style="77" customWidth="1"/>
    <col min="10505" max="10505" width="14" style="77" customWidth="1"/>
    <col min="10506" max="10506" width="12.28515625" style="77" customWidth="1"/>
    <col min="10507" max="10755" width="9.140625" style="77"/>
    <col min="10756" max="10756" width="37" style="77" customWidth="1"/>
    <col min="10757" max="10757" width="16.28515625" style="77" customWidth="1"/>
    <col min="10758" max="10758" width="14.5703125" style="77" customWidth="1"/>
    <col min="10759" max="10759" width="14.85546875" style="77" customWidth="1"/>
    <col min="10760" max="10760" width="12.42578125" style="77" customWidth="1"/>
    <col min="10761" max="10761" width="14" style="77" customWidth="1"/>
    <col min="10762" max="10762" width="12.28515625" style="77" customWidth="1"/>
    <col min="10763" max="11011" width="9.140625" style="77"/>
    <col min="11012" max="11012" width="37" style="77" customWidth="1"/>
    <col min="11013" max="11013" width="16.28515625" style="77" customWidth="1"/>
    <col min="11014" max="11014" width="14.5703125" style="77" customWidth="1"/>
    <col min="11015" max="11015" width="14.85546875" style="77" customWidth="1"/>
    <col min="11016" max="11016" width="12.42578125" style="77" customWidth="1"/>
    <col min="11017" max="11017" width="14" style="77" customWidth="1"/>
    <col min="11018" max="11018" width="12.28515625" style="77" customWidth="1"/>
    <col min="11019" max="11267" width="9.140625" style="77"/>
    <col min="11268" max="11268" width="37" style="77" customWidth="1"/>
    <col min="11269" max="11269" width="16.28515625" style="77" customWidth="1"/>
    <col min="11270" max="11270" width="14.5703125" style="77" customWidth="1"/>
    <col min="11271" max="11271" width="14.85546875" style="77" customWidth="1"/>
    <col min="11272" max="11272" width="12.42578125" style="77" customWidth="1"/>
    <col min="11273" max="11273" width="14" style="77" customWidth="1"/>
    <col min="11274" max="11274" width="12.28515625" style="77" customWidth="1"/>
    <col min="11275" max="11523" width="9.140625" style="77"/>
    <col min="11524" max="11524" width="37" style="77" customWidth="1"/>
    <col min="11525" max="11525" width="16.28515625" style="77" customWidth="1"/>
    <col min="11526" max="11526" width="14.5703125" style="77" customWidth="1"/>
    <col min="11527" max="11527" width="14.85546875" style="77" customWidth="1"/>
    <col min="11528" max="11528" width="12.42578125" style="77" customWidth="1"/>
    <col min="11529" max="11529" width="14" style="77" customWidth="1"/>
    <col min="11530" max="11530" width="12.28515625" style="77" customWidth="1"/>
    <col min="11531" max="11779" width="9.140625" style="77"/>
    <col min="11780" max="11780" width="37" style="77" customWidth="1"/>
    <col min="11781" max="11781" width="16.28515625" style="77" customWidth="1"/>
    <col min="11782" max="11782" width="14.5703125" style="77" customWidth="1"/>
    <col min="11783" max="11783" width="14.85546875" style="77" customWidth="1"/>
    <col min="11784" max="11784" width="12.42578125" style="77" customWidth="1"/>
    <col min="11785" max="11785" width="14" style="77" customWidth="1"/>
    <col min="11786" max="11786" width="12.28515625" style="77" customWidth="1"/>
    <col min="11787" max="12035" width="9.140625" style="77"/>
    <col min="12036" max="12036" width="37" style="77" customWidth="1"/>
    <col min="12037" max="12037" width="16.28515625" style="77" customWidth="1"/>
    <col min="12038" max="12038" width="14.5703125" style="77" customWidth="1"/>
    <col min="12039" max="12039" width="14.85546875" style="77" customWidth="1"/>
    <col min="12040" max="12040" width="12.42578125" style="77" customWidth="1"/>
    <col min="12041" max="12041" width="14" style="77" customWidth="1"/>
    <col min="12042" max="12042" width="12.28515625" style="77" customWidth="1"/>
    <col min="12043" max="12291" width="9.140625" style="77"/>
    <col min="12292" max="12292" width="37" style="77" customWidth="1"/>
    <col min="12293" max="12293" width="16.28515625" style="77" customWidth="1"/>
    <col min="12294" max="12294" width="14.5703125" style="77" customWidth="1"/>
    <col min="12295" max="12295" width="14.85546875" style="77" customWidth="1"/>
    <col min="12296" max="12296" width="12.42578125" style="77" customWidth="1"/>
    <col min="12297" max="12297" width="14" style="77" customWidth="1"/>
    <col min="12298" max="12298" width="12.28515625" style="77" customWidth="1"/>
    <col min="12299" max="12547" width="9.140625" style="77"/>
    <col min="12548" max="12548" width="37" style="77" customWidth="1"/>
    <col min="12549" max="12549" width="16.28515625" style="77" customWidth="1"/>
    <col min="12550" max="12550" width="14.5703125" style="77" customWidth="1"/>
    <col min="12551" max="12551" width="14.85546875" style="77" customWidth="1"/>
    <col min="12552" max="12552" width="12.42578125" style="77" customWidth="1"/>
    <col min="12553" max="12553" width="14" style="77" customWidth="1"/>
    <col min="12554" max="12554" width="12.28515625" style="77" customWidth="1"/>
    <col min="12555" max="12803" width="9.140625" style="77"/>
    <col min="12804" max="12804" width="37" style="77" customWidth="1"/>
    <col min="12805" max="12805" width="16.28515625" style="77" customWidth="1"/>
    <col min="12806" max="12806" width="14.5703125" style="77" customWidth="1"/>
    <col min="12807" max="12807" width="14.85546875" style="77" customWidth="1"/>
    <col min="12808" max="12808" width="12.42578125" style="77" customWidth="1"/>
    <col min="12809" max="12809" width="14" style="77" customWidth="1"/>
    <col min="12810" max="12810" width="12.28515625" style="77" customWidth="1"/>
    <col min="12811" max="13059" width="9.140625" style="77"/>
    <col min="13060" max="13060" width="37" style="77" customWidth="1"/>
    <col min="13061" max="13061" width="16.28515625" style="77" customWidth="1"/>
    <col min="13062" max="13062" width="14.5703125" style="77" customWidth="1"/>
    <col min="13063" max="13063" width="14.85546875" style="77" customWidth="1"/>
    <col min="13064" max="13064" width="12.42578125" style="77" customWidth="1"/>
    <col min="13065" max="13065" width="14" style="77" customWidth="1"/>
    <col min="13066" max="13066" width="12.28515625" style="77" customWidth="1"/>
    <col min="13067" max="13315" width="9.140625" style="77"/>
    <col min="13316" max="13316" width="37" style="77" customWidth="1"/>
    <col min="13317" max="13317" width="16.28515625" style="77" customWidth="1"/>
    <col min="13318" max="13318" width="14.5703125" style="77" customWidth="1"/>
    <col min="13319" max="13319" width="14.85546875" style="77" customWidth="1"/>
    <col min="13320" max="13320" width="12.42578125" style="77" customWidth="1"/>
    <col min="13321" max="13321" width="14" style="77" customWidth="1"/>
    <col min="13322" max="13322" width="12.28515625" style="77" customWidth="1"/>
    <col min="13323" max="13571" width="9.140625" style="77"/>
    <col min="13572" max="13572" width="37" style="77" customWidth="1"/>
    <col min="13573" max="13573" width="16.28515625" style="77" customWidth="1"/>
    <col min="13574" max="13574" width="14.5703125" style="77" customWidth="1"/>
    <col min="13575" max="13575" width="14.85546875" style="77" customWidth="1"/>
    <col min="13576" max="13576" width="12.42578125" style="77" customWidth="1"/>
    <col min="13577" max="13577" width="14" style="77" customWidth="1"/>
    <col min="13578" max="13578" width="12.28515625" style="77" customWidth="1"/>
    <col min="13579" max="13827" width="9.140625" style="77"/>
    <col min="13828" max="13828" width="37" style="77" customWidth="1"/>
    <col min="13829" max="13829" width="16.28515625" style="77" customWidth="1"/>
    <col min="13830" max="13830" width="14.5703125" style="77" customWidth="1"/>
    <col min="13831" max="13831" width="14.85546875" style="77" customWidth="1"/>
    <col min="13832" max="13832" width="12.42578125" style="77" customWidth="1"/>
    <col min="13833" max="13833" width="14" style="77" customWidth="1"/>
    <col min="13834" max="13834" width="12.28515625" style="77" customWidth="1"/>
    <col min="13835" max="14083" width="9.140625" style="77"/>
    <col min="14084" max="14084" width="37" style="77" customWidth="1"/>
    <col min="14085" max="14085" width="16.28515625" style="77" customWidth="1"/>
    <col min="14086" max="14086" width="14.5703125" style="77" customWidth="1"/>
    <col min="14087" max="14087" width="14.85546875" style="77" customWidth="1"/>
    <col min="14088" max="14088" width="12.42578125" style="77" customWidth="1"/>
    <col min="14089" max="14089" width="14" style="77" customWidth="1"/>
    <col min="14090" max="14090" width="12.28515625" style="77" customWidth="1"/>
    <col min="14091" max="14339" width="9.140625" style="77"/>
    <col min="14340" max="14340" width="37" style="77" customWidth="1"/>
    <col min="14341" max="14341" width="16.28515625" style="77" customWidth="1"/>
    <col min="14342" max="14342" width="14.5703125" style="77" customWidth="1"/>
    <col min="14343" max="14343" width="14.85546875" style="77" customWidth="1"/>
    <col min="14344" max="14344" width="12.42578125" style="77" customWidth="1"/>
    <col min="14345" max="14345" width="14" style="77" customWidth="1"/>
    <col min="14346" max="14346" width="12.28515625" style="77" customWidth="1"/>
    <col min="14347" max="14595" width="9.140625" style="77"/>
    <col min="14596" max="14596" width="37" style="77" customWidth="1"/>
    <col min="14597" max="14597" width="16.28515625" style="77" customWidth="1"/>
    <col min="14598" max="14598" width="14.5703125" style="77" customWidth="1"/>
    <col min="14599" max="14599" width="14.85546875" style="77" customWidth="1"/>
    <col min="14600" max="14600" width="12.42578125" style="77" customWidth="1"/>
    <col min="14601" max="14601" width="14" style="77" customWidth="1"/>
    <col min="14602" max="14602" width="12.28515625" style="77" customWidth="1"/>
    <col min="14603" max="14851" width="9.140625" style="77"/>
    <col min="14852" max="14852" width="37" style="77" customWidth="1"/>
    <col min="14853" max="14853" width="16.28515625" style="77" customWidth="1"/>
    <col min="14854" max="14854" width="14.5703125" style="77" customWidth="1"/>
    <col min="14855" max="14855" width="14.85546875" style="77" customWidth="1"/>
    <col min="14856" max="14856" width="12.42578125" style="77" customWidth="1"/>
    <col min="14857" max="14857" width="14" style="77" customWidth="1"/>
    <col min="14858" max="14858" width="12.28515625" style="77" customWidth="1"/>
    <col min="14859" max="15107" width="9.140625" style="77"/>
    <col min="15108" max="15108" width="37" style="77" customWidth="1"/>
    <col min="15109" max="15109" width="16.28515625" style="77" customWidth="1"/>
    <col min="15110" max="15110" width="14.5703125" style="77" customWidth="1"/>
    <col min="15111" max="15111" width="14.85546875" style="77" customWidth="1"/>
    <col min="15112" max="15112" width="12.42578125" style="77" customWidth="1"/>
    <col min="15113" max="15113" width="14" style="77" customWidth="1"/>
    <col min="15114" max="15114" width="12.28515625" style="77" customWidth="1"/>
    <col min="15115" max="15363" width="9.140625" style="77"/>
    <col min="15364" max="15364" width="37" style="77" customWidth="1"/>
    <col min="15365" max="15365" width="16.28515625" style="77" customWidth="1"/>
    <col min="15366" max="15366" width="14.5703125" style="77" customWidth="1"/>
    <col min="15367" max="15367" width="14.85546875" style="77" customWidth="1"/>
    <col min="15368" max="15368" width="12.42578125" style="77" customWidth="1"/>
    <col min="15369" max="15369" width="14" style="77" customWidth="1"/>
    <col min="15370" max="15370" width="12.28515625" style="77" customWidth="1"/>
    <col min="15371" max="15619" width="9.140625" style="77"/>
    <col min="15620" max="15620" width="37" style="77" customWidth="1"/>
    <col min="15621" max="15621" width="16.28515625" style="77" customWidth="1"/>
    <col min="15622" max="15622" width="14.5703125" style="77" customWidth="1"/>
    <col min="15623" max="15623" width="14.85546875" style="77" customWidth="1"/>
    <col min="15624" max="15624" width="12.42578125" style="77" customWidth="1"/>
    <col min="15625" max="15625" width="14" style="77" customWidth="1"/>
    <col min="15626" max="15626" width="12.28515625" style="77" customWidth="1"/>
    <col min="15627" max="15875" width="9.140625" style="77"/>
    <col min="15876" max="15876" width="37" style="77" customWidth="1"/>
    <col min="15877" max="15877" width="16.28515625" style="77" customWidth="1"/>
    <col min="15878" max="15878" width="14.5703125" style="77" customWidth="1"/>
    <col min="15879" max="15879" width="14.85546875" style="77" customWidth="1"/>
    <col min="15880" max="15880" width="12.42578125" style="77" customWidth="1"/>
    <col min="15881" max="15881" width="14" style="77" customWidth="1"/>
    <col min="15882" max="15882" width="12.28515625" style="77" customWidth="1"/>
    <col min="15883" max="16131" width="9.140625" style="77"/>
    <col min="16132" max="16132" width="37" style="77" customWidth="1"/>
    <col min="16133" max="16133" width="16.28515625" style="77" customWidth="1"/>
    <col min="16134" max="16134" width="14.5703125" style="77" customWidth="1"/>
    <col min="16135" max="16135" width="14.85546875" style="77" customWidth="1"/>
    <col min="16136" max="16136" width="12.42578125" style="77" customWidth="1"/>
    <col min="16137" max="16137" width="14" style="77" customWidth="1"/>
    <col min="16138" max="16138" width="12.28515625" style="77" customWidth="1"/>
    <col min="16139" max="16384" width="9.140625" style="77"/>
  </cols>
  <sheetData>
    <row r="1" spans="1:11" x14ac:dyDescent="0.2">
      <c r="A1" s="836"/>
      <c r="B1" s="836"/>
      <c r="C1" s="435"/>
      <c r="K1" s="94" t="s">
        <v>225</v>
      </c>
    </row>
    <row r="2" spans="1:11" x14ac:dyDescent="0.2">
      <c r="A2" s="198"/>
      <c r="B2" s="198"/>
      <c r="C2" s="198"/>
    </row>
    <row r="3" spans="1:11" x14ac:dyDescent="0.2">
      <c r="A3" s="822" t="s">
        <v>59</v>
      </c>
      <c r="B3" s="822"/>
      <c r="C3" s="822"/>
      <c r="D3" s="953"/>
      <c r="E3" s="953"/>
      <c r="F3" s="953"/>
      <c r="G3" s="953"/>
      <c r="H3" s="953"/>
      <c r="I3" s="953"/>
      <c r="J3" s="953"/>
      <c r="K3" s="953"/>
    </row>
    <row r="4" spans="1:11" x14ac:dyDescent="0.2">
      <c r="A4" s="683"/>
      <c r="B4" s="683"/>
      <c r="C4" s="683"/>
    </row>
    <row r="5" spans="1:11" x14ac:dyDescent="0.2">
      <c r="A5" s="198"/>
      <c r="B5" s="198"/>
      <c r="C5" s="198"/>
    </row>
    <row r="6" spans="1:11" ht="12.75" customHeight="1" x14ac:dyDescent="0.2">
      <c r="A6" s="949" t="s">
        <v>224</v>
      </c>
      <c r="B6" s="957" t="s">
        <v>223</v>
      </c>
      <c r="C6" s="958"/>
      <c r="D6" s="957" t="s">
        <v>340</v>
      </c>
      <c r="E6" s="958"/>
      <c r="F6" s="957" t="s">
        <v>351</v>
      </c>
      <c r="G6" s="958"/>
      <c r="H6" s="954" t="s">
        <v>341</v>
      </c>
      <c r="I6" s="955"/>
      <c r="J6" s="955"/>
      <c r="K6" s="956"/>
    </row>
    <row r="7" spans="1:11" ht="22.5" customHeight="1" x14ac:dyDescent="0.2">
      <c r="A7" s="950"/>
      <c r="B7" s="959"/>
      <c r="C7" s="960"/>
      <c r="D7" s="959"/>
      <c r="E7" s="960"/>
      <c r="F7" s="959"/>
      <c r="G7" s="960"/>
      <c r="H7" s="947" t="s">
        <v>342</v>
      </c>
      <c r="I7" s="948"/>
      <c r="J7" s="947" t="s">
        <v>457</v>
      </c>
      <c r="K7" s="948"/>
    </row>
    <row r="8" spans="1:11" x14ac:dyDescent="0.2">
      <c r="A8" s="951"/>
      <c r="B8" s="740">
        <v>42005</v>
      </c>
      <c r="C8" s="740">
        <v>42185</v>
      </c>
      <c r="D8" s="740">
        <v>42005</v>
      </c>
      <c r="E8" s="740">
        <v>42185</v>
      </c>
      <c r="F8" s="740">
        <v>42005</v>
      </c>
      <c r="G8" s="740">
        <v>42185</v>
      </c>
      <c r="H8" s="740">
        <v>42005</v>
      </c>
      <c r="I8" s="740">
        <v>42185</v>
      </c>
      <c r="J8" s="740">
        <v>42005</v>
      </c>
      <c r="K8" s="740">
        <v>42185</v>
      </c>
    </row>
    <row r="9" spans="1:11" x14ac:dyDescent="0.2">
      <c r="A9" s="741" t="s">
        <v>749</v>
      </c>
      <c r="B9" s="742">
        <v>2</v>
      </c>
      <c r="C9" s="742">
        <v>2</v>
      </c>
      <c r="D9" s="742">
        <v>2</v>
      </c>
      <c r="E9" s="742">
        <v>2</v>
      </c>
      <c r="F9" s="742">
        <v>2</v>
      </c>
      <c r="G9" s="742">
        <v>2</v>
      </c>
      <c r="H9" s="742">
        <v>2</v>
      </c>
      <c r="I9" s="742">
        <v>2</v>
      </c>
      <c r="J9" s="742">
        <v>0</v>
      </c>
      <c r="K9" s="742">
        <v>0</v>
      </c>
    </row>
    <row r="10" spans="1:11" x14ac:dyDescent="0.2">
      <c r="A10" s="741" t="s">
        <v>334</v>
      </c>
      <c r="B10" s="742">
        <v>72</v>
      </c>
      <c r="C10" s="742">
        <v>70</v>
      </c>
      <c r="D10" s="742">
        <v>70</v>
      </c>
      <c r="E10" s="742">
        <v>68</v>
      </c>
      <c r="F10" s="742">
        <v>68</v>
      </c>
      <c r="G10" s="742">
        <v>66</v>
      </c>
      <c r="H10" s="742">
        <v>65</v>
      </c>
      <c r="I10" s="742">
        <v>61</v>
      </c>
      <c r="J10" s="742">
        <v>7</v>
      </c>
      <c r="K10" s="742">
        <v>6</v>
      </c>
    </row>
    <row r="11" spans="1:11" ht="15" customHeight="1" x14ac:dyDescent="0.2">
      <c r="A11" s="741" t="s">
        <v>335</v>
      </c>
      <c r="B11" s="742">
        <v>40</v>
      </c>
      <c r="C11" s="742">
        <v>40</v>
      </c>
      <c r="D11" s="742">
        <v>37</v>
      </c>
      <c r="E11" s="742">
        <v>39</v>
      </c>
      <c r="F11" s="742">
        <v>37</v>
      </c>
      <c r="G11" s="742">
        <v>37</v>
      </c>
      <c r="H11" s="742">
        <v>39</v>
      </c>
      <c r="I11" s="742">
        <v>39</v>
      </c>
      <c r="J11" s="742">
        <v>1</v>
      </c>
      <c r="K11" s="742">
        <v>1</v>
      </c>
    </row>
    <row r="12" spans="1:11" ht="15" customHeight="1" x14ac:dyDescent="0.2">
      <c r="A12" s="741" t="s">
        <v>336</v>
      </c>
      <c r="B12" s="742">
        <v>150</v>
      </c>
      <c r="C12" s="742">
        <v>150</v>
      </c>
      <c r="D12" s="742">
        <v>156</v>
      </c>
      <c r="E12" s="742">
        <v>156</v>
      </c>
      <c r="F12" s="742">
        <v>148</v>
      </c>
      <c r="G12" s="742">
        <v>147</v>
      </c>
      <c r="H12" s="742">
        <v>149</v>
      </c>
      <c r="I12" s="742">
        <v>149</v>
      </c>
      <c r="J12" s="742">
        <v>1</v>
      </c>
      <c r="K12" s="742">
        <v>1</v>
      </c>
    </row>
    <row r="13" spans="1:11" ht="15" customHeight="1" x14ac:dyDescent="0.2">
      <c r="A13" s="741" t="s">
        <v>337</v>
      </c>
      <c r="B13" s="742">
        <v>205</v>
      </c>
      <c r="C13" s="742">
        <v>200</v>
      </c>
      <c r="D13" s="742">
        <v>175</v>
      </c>
      <c r="E13" s="742">
        <v>195</v>
      </c>
      <c r="F13" s="742">
        <v>183</v>
      </c>
      <c r="G13" s="742">
        <v>195</v>
      </c>
      <c r="H13" s="742">
        <v>195</v>
      </c>
      <c r="I13" s="742">
        <v>190</v>
      </c>
      <c r="J13" s="742">
        <v>10</v>
      </c>
      <c r="K13" s="742">
        <v>10</v>
      </c>
    </row>
    <row r="14" spans="1:11" ht="15" customHeight="1" x14ac:dyDescent="0.2">
      <c r="A14" s="741" t="s">
        <v>416</v>
      </c>
      <c r="B14" s="742">
        <v>23</v>
      </c>
      <c r="C14" s="742">
        <v>23</v>
      </c>
      <c r="D14" s="742">
        <v>22</v>
      </c>
      <c r="E14" s="742">
        <v>22</v>
      </c>
      <c r="F14" s="742">
        <v>22</v>
      </c>
      <c r="G14" s="742">
        <v>22</v>
      </c>
      <c r="H14" s="742">
        <v>22</v>
      </c>
      <c r="I14" s="742">
        <v>22</v>
      </c>
      <c r="J14" s="742">
        <v>1</v>
      </c>
      <c r="K14" s="742">
        <v>1</v>
      </c>
    </row>
    <row r="15" spans="1:11" ht="15" customHeight="1" x14ac:dyDescent="0.2">
      <c r="A15" s="741" t="s">
        <v>338</v>
      </c>
      <c r="B15" s="742">
        <v>5</v>
      </c>
      <c r="C15" s="742">
        <v>5</v>
      </c>
      <c r="D15" s="742">
        <v>5</v>
      </c>
      <c r="E15" s="742">
        <v>5</v>
      </c>
      <c r="F15" s="742">
        <v>5</v>
      </c>
      <c r="G15" s="742">
        <v>5</v>
      </c>
      <c r="H15" s="742">
        <v>5</v>
      </c>
      <c r="I15" s="742">
        <v>5</v>
      </c>
      <c r="J15" s="742">
        <v>0</v>
      </c>
      <c r="K15" s="742">
        <v>0</v>
      </c>
    </row>
    <row r="16" spans="1:11" ht="15" customHeight="1" x14ac:dyDescent="0.2">
      <c r="A16" s="741" t="s">
        <v>853</v>
      </c>
      <c r="B16" s="742">
        <v>0</v>
      </c>
      <c r="C16" s="742">
        <v>8</v>
      </c>
      <c r="D16" s="742">
        <v>0</v>
      </c>
      <c r="E16" s="742">
        <v>6</v>
      </c>
      <c r="F16" s="742">
        <v>0</v>
      </c>
      <c r="G16" s="742">
        <v>6</v>
      </c>
      <c r="H16" s="742">
        <v>0</v>
      </c>
      <c r="I16" s="742">
        <v>6</v>
      </c>
      <c r="J16" s="742">
        <v>0</v>
      </c>
      <c r="K16" s="742">
        <v>0</v>
      </c>
    </row>
    <row r="17" spans="1:11" ht="15" customHeight="1" x14ac:dyDescent="0.2">
      <c r="A17" s="741" t="s">
        <v>339</v>
      </c>
      <c r="B17" s="742">
        <v>37</v>
      </c>
      <c r="C17" s="742">
        <v>37</v>
      </c>
      <c r="D17" s="742">
        <v>37</v>
      </c>
      <c r="E17" s="742">
        <v>37</v>
      </c>
      <c r="F17" s="742">
        <v>37</v>
      </c>
      <c r="G17" s="742">
        <v>37</v>
      </c>
      <c r="H17" s="742">
        <v>35</v>
      </c>
      <c r="I17" s="742">
        <v>35</v>
      </c>
      <c r="J17" s="742">
        <v>2</v>
      </c>
      <c r="K17" s="742">
        <v>2</v>
      </c>
    </row>
    <row r="18" spans="1:11" ht="15.75" customHeight="1" x14ac:dyDescent="0.2">
      <c r="A18" s="743" t="s">
        <v>87</v>
      </c>
      <c r="B18" s="743">
        <f>SUM(B9:B17)</f>
        <v>534</v>
      </c>
      <c r="C18" s="743">
        <f t="shared" ref="C18:K18" si="0">SUM(C9:C17)</f>
        <v>535</v>
      </c>
      <c r="D18" s="743">
        <f t="shared" si="0"/>
        <v>504</v>
      </c>
      <c r="E18" s="743">
        <f t="shared" si="0"/>
        <v>530</v>
      </c>
      <c r="F18" s="743">
        <f t="shared" si="0"/>
        <v>502</v>
      </c>
      <c r="G18" s="743">
        <f t="shared" si="0"/>
        <v>517</v>
      </c>
      <c r="H18" s="743">
        <f t="shared" si="0"/>
        <v>512</v>
      </c>
      <c r="I18" s="743">
        <f t="shared" si="0"/>
        <v>509</v>
      </c>
      <c r="J18" s="743">
        <f t="shared" si="0"/>
        <v>22</v>
      </c>
      <c r="K18" s="743">
        <f t="shared" si="0"/>
        <v>21</v>
      </c>
    </row>
    <row r="21" spans="1:11" x14ac:dyDescent="0.2">
      <c r="A21" s="744" t="s">
        <v>343</v>
      </c>
    </row>
    <row r="22" spans="1:11" x14ac:dyDescent="0.2">
      <c r="A22" s="744" t="s">
        <v>344</v>
      </c>
    </row>
    <row r="23" spans="1:11" x14ac:dyDescent="0.2">
      <c r="A23" s="744" t="s">
        <v>345</v>
      </c>
    </row>
    <row r="24" spans="1:11" x14ac:dyDescent="0.2">
      <c r="A24" s="744" t="s">
        <v>346</v>
      </c>
    </row>
    <row r="25" spans="1:11" x14ac:dyDescent="0.2">
      <c r="A25" s="744" t="s">
        <v>347</v>
      </c>
    </row>
    <row r="26" spans="1:11" x14ac:dyDescent="0.2">
      <c r="A26" s="744" t="s">
        <v>348</v>
      </c>
    </row>
    <row r="27" spans="1:11" x14ac:dyDescent="0.2">
      <c r="A27" s="744" t="s">
        <v>349</v>
      </c>
    </row>
    <row r="29" spans="1:11" x14ac:dyDescent="0.2">
      <c r="A29" s="952" t="s">
        <v>160</v>
      </c>
      <c r="B29" s="952"/>
      <c r="C29" s="952"/>
      <c r="D29" s="952"/>
      <c r="E29" s="952"/>
      <c r="F29" s="952"/>
      <c r="G29" s="93"/>
    </row>
    <row r="30" spans="1:11" x14ac:dyDescent="0.2">
      <c r="A30" s="661"/>
      <c r="B30" s="93"/>
      <c r="C30" s="93"/>
      <c r="D30" s="661"/>
      <c r="E30" s="661"/>
      <c r="F30" s="661"/>
      <c r="G30" s="94" t="s">
        <v>350</v>
      </c>
    </row>
    <row r="31" spans="1:11" x14ac:dyDescent="0.2">
      <c r="A31" s="946" t="s">
        <v>458</v>
      </c>
      <c r="B31" s="946"/>
      <c r="C31" s="946"/>
      <c r="D31" s="946"/>
      <c r="E31" s="946"/>
      <c r="F31" s="946"/>
      <c r="G31" s="946"/>
    </row>
    <row r="32" spans="1:11" x14ac:dyDescent="0.2">
      <c r="A32" s="745"/>
      <c r="B32" s="745"/>
      <c r="C32" s="745"/>
      <c r="D32" s="745"/>
      <c r="E32" s="745"/>
      <c r="F32" s="745"/>
      <c r="G32" s="745"/>
    </row>
    <row r="33" spans="1:7" x14ac:dyDescent="0.2">
      <c r="A33" s="661"/>
      <c r="B33" s="661"/>
      <c r="C33" s="661"/>
      <c r="D33" s="661"/>
      <c r="E33" s="661"/>
      <c r="F33" s="661"/>
      <c r="G33" s="661"/>
    </row>
    <row r="34" spans="1:7" x14ac:dyDescent="0.2">
      <c r="A34" s="810" t="s">
        <v>224</v>
      </c>
      <c r="B34" s="817" t="s">
        <v>223</v>
      </c>
      <c r="C34" s="817"/>
      <c r="D34" s="817"/>
      <c r="E34" s="817" t="s">
        <v>223</v>
      </c>
      <c r="F34" s="817"/>
      <c r="G34" s="817"/>
    </row>
    <row r="35" spans="1:7" x14ac:dyDescent="0.2">
      <c r="A35" s="811"/>
      <c r="B35" s="943">
        <v>42005</v>
      </c>
      <c r="C35" s="944"/>
      <c r="D35" s="945"/>
      <c r="E35" s="943">
        <v>42185</v>
      </c>
      <c r="F35" s="944"/>
      <c r="G35" s="945"/>
    </row>
    <row r="36" spans="1:7" ht="15" customHeight="1" x14ac:dyDescent="0.2">
      <c r="A36" s="89"/>
      <c r="B36" s="433" t="s">
        <v>222</v>
      </c>
      <c r="C36" s="433" t="s">
        <v>221</v>
      </c>
      <c r="D36" s="433" t="s">
        <v>220</v>
      </c>
      <c r="E36" s="433" t="s">
        <v>222</v>
      </c>
      <c r="F36" s="433" t="s">
        <v>221</v>
      </c>
      <c r="G36" s="433" t="s">
        <v>220</v>
      </c>
    </row>
    <row r="37" spans="1:7" ht="15" customHeight="1" x14ac:dyDescent="0.2">
      <c r="A37" s="26" t="s">
        <v>415</v>
      </c>
      <c r="B37" s="26"/>
      <c r="C37" s="26"/>
      <c r="D37" s="26">
        <v>25</v>
      </c>
      <c r="E37" s="26"/>
      <c r="F37" s="26"/>
      <c r="G37" s="26">
        <v>28</v>
      </c>
    </row>
    <row r="38" spans="1:7" ht="15" customHeight="1" x14ac:dyDescent="0.2">
      <c r="A38" s="26" t="s">
        <v>339</v>
      </c>
      <c r="B38" s="26"/>
      <c r="C38" s="26"/>
      <c r="D38" s="26"/>
      <c r="E38" s="26"/>
      <c r="F38" s="26"/>
      <c r="G38" s="26">
        <v>1</v>
      </c>
    </row>
    <row r="39" spans="1:7" ht="15.75" customHeight="1" x14ac:dyDescent="0.2">
      <c r="A39" s="26"/>
      <c r="B39" s="26"/>
      <c r="C39" s="26"/>
      <c r="D39" s="26"/>
      <c r="E39" s="26"/>
      <c r="F39" s="26"/>
      <c r="G39" s="26"/>
    </row>
    <row r="40" spans="1:7" x14ac:dyDescent="0.2">
      <c r="A40" s="746" t="s">
        <v>87</v>
      </c>
      <c r="B40" s="746">
        <f t="shared" ref="B40:G40" si="1">SUM(B37:B39)</f>
        <v>0</v>
      </c>
      <c r="C40" s="746">
        <f t="shared" si="1"/>
        <v>0</v>
      </c>
      <c r="D40" s="746">
        <f t="shared" si="1"/>
        <v>25</v>
      </c>
      <c r="E40" s="746">
        <f t="shared" si="1"/>
        <v>0</v>
      </c>
      <c r="F40" s="746">
        <f t="shared" si="1"/>
        <v>0</v>
      </c>
      <c r="G40" s="746">
        <f t="shared" si="1"/>
        <v>29</v>
      </c>
    </row>
  </sheetData>
  <mergeCells count="16">
    <mergeCell ref="A1:B1"/>
    <mergeCell ref="A3:K3"/>
    <mergeCell ref="H6:K6"/>
    <mergeCell ref="B6:C7"/>
    <mergeCell ref="D6:E7"/>
    <mergeCell ref="F6:G7"/>
    <mergeCell ref="B35:D35"/>
    <mergeCell ref="E35:G35"/>
    <mergeCell ref="A31:G31"/>
    <mergeCell ref="H7:I7"/>
    <mergeCell ref="J7:K7"/>
    <mergeCell ref="A6:A8"/>
    <mergeCell ref="B34:D34"/>
    <mergeCell ref="E34:G34"/>
    <mergeCell ref="A29:F29"/>
    <mergeCell ref="A34:A35"/>
  </mergeCells>
  <printOptions horizontalCentered="1"/>
  <pageMargins left="0" right="0" top="0.55118110236220474" bottom="0.31496062992125984" header="0.27559055118110237" footer="0.19685039370078741"/>
  <pageSetup paperSize="9" orientation="landscape" r:id="rId1"/>
  <headerFooter>
    <oddHeader>&amp;LVeresegyház Város Önkormányzat&amp;C&amp;"Arial CE,Félkövér"ELŐIRÁNYZAT MÓDOSÍTÁS, TELJESÍTÉS 2015.06.30.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workbookViewId="0">
      <selection activeCell="E13" sqref="E13"/>
    </sheetView>
  </sheetViews>
  <sheetFormatPr defaultRowHeight="12.75" x14ac:dyDescent="0.2"/>
  <cols>
    <col min="1" max="1" width="6.28515625" style="77" customWidth="1"/>
    <col min="2" max="3" width="9.140625" style="77"/>
    <col min="4" max="4" width="26.42578125" style="77" customWidth="1"/>
    <col min="5" max="5" width="19.140625" style="77" customWidth="1"/>
    <col min="6" max="6" width="9.140625" style="77"/>
    <col min="7" max="7" width="7.140625" style="77" customWidth="1"/>
    <col min="8" max="16384" width="9.140625" style="77"/>
  </cols>
  <sheetData>
    <row r="2" spans="1:7" ht="14.25" customHeight="1" x14ac:dyDescent="0.2">
      <c r="A2" s="836" t="s">
        <v>251</v>
      </c>
      <c r="B2" s="836"/>
      <c r="C2" s="836"/>
      <c r="D2" s="836"/>
      <c r="E2" s="836"/>
      <c r="F2" s="836"/>
    </row>
    <row r="4" spans="1:7" x14ac:dyDescent="0.2">
      <c r="A4" s="747"/>
      <c r="B4" s="748" t="s">
        <v>250</v>
      </c>
      <c r="C4" s="747"/>
      <c r="D4" s="747"/>
      <c r="E4" s="747"/>
      <c r="F4" s="747"/>
    </row>
    <row r="5" spans="1:7" x14ac:dyDescent="0.2">
      <c r="A5" s="747"/>
      <c r="B5" s="748" t="s">
        <v>249</v>
      </c>
      <c r="C5" s="748"/>
      <c r="D5" s="748"/>
      <c r="E5" s="748"/>
      <c r="F5" s="748"/>
    </row>
    <row r="6" spans="1:7" ht="15.75" x14ac:dyDescent="0.2">
      <c r="A6" s="747"/>
      <c r="B6" s="748"/>
      <c r="C6" s="748"/>
      <c r="D6" s="748"/>
      <c r="E6" s="748"/>
      <c r="F6" s="749"/>
    </row>
    <row r="7" spans="1:7" ht="15.75" x14ac:dyDescent="0.2">
      <c r="A7" s="747"/>
      <c r="B7" s="748"/>
      <c r="C7" s="748"/>
      <c r="D7" s="748" t="s">
        <v>748</v>
      </c>
      <c r="E7" s="748"/>
      <c r="F7" s="749"/>
    </row>
    <row r="8" spans="1:7" ht="15.75" x14ac:dyDescent="0.2">
      <c r="B8" s="749"/>
      <c r="C8" s="749"/>
      <c r="D8" s="749"/>
      <c r="E8" s="749"/>
      <c r="F8" s="749"/>
    </row>
    <row r="10" spans="1:7" x14ac:dyDescent="0.2">
      <c r="A10" s="750" t="s">
        <v>248</v>
      </c>
      <c r="B10" s="750"/>
      <c r="C10" s="750"/>
      <c r="D10" s="750"/>
      <c r="E10" s="750"/>
      <c r="F10" s="750"/>
      <c r="G10" s="750"/>
    </row>
    <row r="11" spans="1:7" x14ac:dyDescent="0.2">
      <c r="A11" s="750"/>
      <c r="B11" s="750"/>
      <c r="C11" s="750"/>
      <c r="D11" s="750"/>
      <c r="E11" s="750"/>
      <c r="F11" s="750"/>
      <c r="G11" s="750"/>
    </row>
    <row r="12" spans="1:7" x14ac:dyDescent="0.2">
      <c r="A12" s="750"/>
      <c r="B12" s="750"/>
      <c r="C12" s="750"/>
      <c r="D12" s="750"/>
      <c r="E12" s="750"/>
      <c r="F12" s="750"/>
      <c r="G12" s="750"/>
    </row>
    <row r="13" spans="1:7" x14ac:dyDescent="0.2">
      <c r="A13" s="750" t="s">
        <v>247</v>
      </c>
      <c r="B13" s="750"/>
      <c r="C13" s="750"/>
      <c r="D13" s="750"/>
      <c r="E13" s="750"/>
      <c r="F13" s="750"/>
      <c r="G13" s="750"/>
    </row>
    <row r="14" spans="1:7" x14ac:dyDescent="0.2">
      <c r="A14" s="750" t="s">
        <v>246</v>
      </c>
      <c r="B14" s="750"/>
      <c r="C14" s="750"/>
      <c r="D14" s="750"/>
      <c r="E14" s="750"/>
      <c r="F14" s="750"/>
      <c r="G14" s="750"/>
    </row>
    <row r="15" spans="1:7" x14ac:dyDescent="0.2">
      <c r="A15" s="751" t="s">
        <v>245</v>
      </c>
    </row>
    <row r="16" spans="1:7" x14ac:dyDescent="0.2">
      <c r="A16" s="751"/>
    </row>
    <row r="18" spans="1:5" x14ac:dyDescent="0.2">
      <c r="A18" s="968" t="s">
        <v>244</v>
      </c>
      <c r="B18" s="971"/>
      <c r="C18" s="972"/>
      <c r="D18" s="973"/>
      <c r="E18" s="752" t="s">
        <v>243</v>
      </c>
    </row>
    <row r="19" spans="1:5" x14ac:dyDescent="0.2">
      <c r="A19" s="969"/>
      <c r="B19" s="965" t="s">
        <v>242</v>
      </c>
      <c r="C19" s="966"/>
      <c r="D19" s="967"/>
      <c r="E19" s="753" t="s">
        <v>241</v>
      </c>
    </row>
    <row r="20" spans="1:5" x14ac:dyDescent="0.2">
      <c r="A20" s="970"/>
      <c r="B20" s="974"/>
      <c r="C20" s="975"/>
      <c r="D20" s="976"/>
      <c r="E20" s="753" t="s">
        <v>240</v>
      </c>
    </row>
    <row r="21" spans="1:5" ht="15" customHeight="1" x14ac:dyDescent="0.2">
      <c r="A21" s="754">
        <v>1</v>
      </c>
      <c r="B21" s="755" t="s">
        <v>239</v>
      </c>
      <c r="C21" s="756"/>
      <c r="D21" s="757"/>
      <c r="E21" s="757"/>
    </row>
    <row r="22" spans="1:5" ht="15" customHeight="1" x14ac:dyDescent="0.2">
      <c r="A22" s="758">
        <v>2</v>
      </c>
      <c r="B22" s="759" t="s">
        <v>238</v>
      </c>
      <c r="C22" s="760"/>
      <c r="D22" s="761"/>
      <c r="E22" s="761"/>
    </row>
    <row r="23" spans="1:5" ht="15" customHeight="1" x14ac:dyDescent="0.2">
      <c r="A23" s="762"/>
      <c r="B23" s="763" t="s">
        <v>237</v>
      </c>
      <c r="C23" s="764"/>
      <c r="D23" s="765"/>
      <c r="E23" s="765"/>
    </row>
    <row r="24" spans="1:5" ht="15" customHeight="1" x14ac:dyDescent="0.2">
      <c r="A24" s="758">
        <v>3</v>
      </c>
      <c r="B24" s="759" t="s">
        <v>236</v>
      </c>
      <c r="C24" s="760"/>
      <c r="D24" s="761"/>
      <c r="E24" s="761"/>
    </row>
    <row r="25" spans="1:5" ht="15" customHeight="1" x14ac:dyDescent="0.2">
      <c r="A25" s="762"/>
      <c r="B25" s="962" t="s">
        <v>235</v>
      </c>
      <c r="C25" s="963"/>
      <c r="D25" s="964"/>
      <c r="E25" s="765"/>
    </row>
    <row r="26" spans="1:5" ht="15" customHeight="1" x14ac:dyDescent="0.2">
      <c r="A26" s="762">
        <v>4</v>
      </c>
      <c r="B26" s="763" t="s">
        <v>234</v>
      </c>
      <c r="C26" s="764"/>
      <c r="D26" s="765"/>
      <c r="E26" s="765"/>
    </row>
    <row r="27" spans="1:5" ht="15" customHeight="1" x14ac:dyDescent="0.2">
      <c r="A27" s="758">
        <v>5</v>
      </c>
      <c r="B27" s="759" t="s">
        <v>233</v>
      </c>
      <c r="C27" s="760"/>
      <c r="D27" s="761"/>
      <c r="E27" s="761"/>
    </row>
    <row r="28" spans="1:5" ht="15" customHeight="1" x14ac:dyDescent="0.2">
      <c r="A28" s="762"/>
      <c r="B28" s="962" t="s">
        <v>232</v>
      </c>
      <c r="C28" s="963"/>
      <c r="D28" s="964"/>
      <c r="E28" s="765"/>
    </row>
    <row r="29" spans="1:5" ht="15" customHeight="1" x14ac:dyDescent="0.2">
      <c r="A29" s="754">
        <v>6</v>
      </c>
      <c r="B29" s="755" t="s">
        <v>231</v>
      </c>
      <c r="C29" s="756"/>
      <c r="D29" s="757"/>
      <c r="E29" s="757"/>
    </row>
    <row r="30" spans="1:5" ht="15" customHeight="1" x14ac:dyDescent="0.2">
      <c r="A30" s="754">
        <v>7</v>
      </c>
      <c r="B30" s="755" t="s">
        <v>230</v>
      </c>
      <c r="C30" s="756"/>
      <c r="D30" s="757"/>
      <c r="E30" s="757"/>
    </row>
    <row r="31" spans="1:5" ht="17.25" customHeight="1" x14ac:dyDescent="0.2">
      <c r="A31" s="763"/>
      <c r="B31" s="766" t="s">
        <v>64</v>
      </c>
      <c r="C31" s="764"/>
      <c r="D31" s="765"/>
      <c r="E31" s="765"/>
    </row>
    <row r="33" spans="1:5" x14ac:dyDescent="0.2">
      <c r="B33" s="751" t="s">
        <v>229</v>
      </c>
      <c r="C33" s="751"/>
      <c r="D33" s="751"/>
      <c r="E33" s="751"/>
    </row>
    <row r="34" spans="1:5" x14ac:dyDescent="0.2">
      <c r="B34" s="751" t="s">
        <v>228</v>
      </c>
      <c r="C34" s="751"/>
      <c r="D34" s="751"/>
      <c r="E34" s="751"/>
    </row>
    <row r="35" spans="1:5" x14ac:dyDescent="0.2">
      <c r="B35" s="751"/>
      <c r="C35" s="751"/>
      <c r="D35" s="751"/>
      <c r="E35" s="751"/>
    </row>
    <row r="37" spans="1:5" x14ac:dyDescent="0.2">
      <c r="A37" s="961"/>
      <c r="B37" s="961"/>
      <c r="C37" s="961"/>
      <c r="D37" s="961"/>
    </row>
    <row r="40" spans="1:5" x14ac:dyDescent="0.2">
      <c r="E40" s="77" t="s">
        <v>227</v>
      </c>
    </row>
    <row r="41" spans="1:5" x14ac:dyDescent="0.2">
      <c r="E41" s="77" t="s">
        <v>226</v>
      </c>
    </row>
  </sheetData>
  <mergeCells count="8">
    <mergeCell ref="A2:F2"/>
    <mergeCell ref="A37:D37"/>
    <mergeCell ref="B25:D25"/>
    <mergeCell ref="B28:D28"/>
    <mergeCell ref="B19:D19"/>
    <mergeCell ref="A18:A20"/>
    <mergeCell ref="B18:D18"/>
    <mergeCell ref="B20:D20"/>
  </mergeCells>
  <phoneticPr fontId="12" type="noConversion"/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&amp;L&amp;9Veresegyház Város Önkormányzat&amp;C&amp;"Arial CE,Félkövér"ELŐIRÁNYZAT MÓDOSÍTÁS, TELJESÍTÉS 2015.06.30.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L32" sqref="L32"/>
    </sheetView>
  </sheetViews>
  <sheetFormatPr defaultRowHeight="12.75" x14ac:dyDescent="0.2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 x14ac:dyDescent="0.2">
      <c r="H1" s="34"/>
      <c r="J1" s="13"/>
      <c r="K1" s="13" t="s">
        <v>300</v>
      </c>
      <c r="L1" s="13"/>
    </row>
    <row r="2" spans="1:12" ht="12" customHeight="1" x14ac:dyDescent="0.2">
      <c r="A2" s="996" t="s">
        <v>299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2"/>
    </row>
    <row r="3" spans="1:12" ht="12" customHeight="1" x14ac:dyDescent="0.2">
      <c r="A3" s="1001"/>
      <c r="B3" s="1001"/>
      <c r="C3" s="1001"/>
      <c r="D3" s="33"/>
      <c r="E3" s="33"/>
      <c r="F3" s="7"/>
      <c r="G3" s="1002"/>
      <c r="H3" s="1002"/>
      <c r="J3" s="6"/>
      <c r="K3" s="6" t="s">
        <v>298</v>
      </c>
      <c r="L3" s="6"/>
    </row>
    <row r="4" spans="1:12" ht="12" customHeight="1" x14ac:dyDescent="0.2">
      <c r="A4" s="997" t="s">
        <v>62</v>
      </c>
      <c r="B4" s="997"/>
      <c r="C4" s="997"/>
      <c r="D4" s="997"/>
      <c r="E4" s="997"/>
      <c r="F4" s="997"/>
      <c r="G4" s="997" t="s">
        <v>63</v>
      </c>
      <c r="H4" s="997"/>
      <c r="I4" s="997"/>
      <c r="J4" s="997"/>
      <c r="K4" s="997"/>
      <c r="L4" s="32"/>
    </row>
    <row r="5" spans="1:12" x14ac:dyDescent="0.2">
      <c r="A5" s="819" t="s">
        <v>94</v>
      </c>
      <c r="B5" s="820"/>
      <c r="C5" s="821"/>
      <c r="D5" s="998" t="s">
        <v>297</v>
      </c>
      <c r="E5" s="944"/>
      <c r="F5" s="945"/>
      <c r="G5" s="819" t="s">
        <v>94</v>
      </c>
      <c r="H5" s="821"/>
      <c r="I5" s="817" t="s">
        <v>297</v>
      </c>
      <c r="J5" s="817"/>
      <c r="K5" s="817"/>
      <c r="L5" s="31"/>
    </row>
    <row r="6" spans="1:12" x14ac:dyDescent="0.2">
      <c r="A6" s="941"/>
      <c r="B6" s="999"/>
      <c r="C6" s="1000"/>
      <c r="D6" s="17">
        <v>2016</v>
      </c>
      <c r="E6" s="17">
        <v>2017</v>
      </c>
      <c r="F6" s="17">
        <v>2018</v>
      </c>
      <c r="G6" s="941"/>
      <c r="H6" s="1000"/>
      <c r="I6" s="17">
        <v>2016</v>
      </c>
      <c r="J6" s="17">
        <v>2017</v>
      </c>
      <c r="K6" s="17">
        <v>2018</v>
      </c>
      <c r="L6" s="31"/>
    </row>
    <row r="7" spans="1:12" ht="12" customHeight="1" x14ac:dyDescent="0.2">
      <c r="A7" s="980" t="s">
        <v>296</v>
      </c>
      <c r="B7" s="983"/>
      <c r="C7" s="981"/>
      <c r="D7" s="48">
        <f>SUM('20.1.'!D7,'20. 2.'!D7,'20. 3'!D8,'20. 4.'!D7,'20.5.'!D7,'20. 6.'!D7,'20.7.'!D7,'20. 8.'!D8)</f>
        <v>820050</v>
      </c>
      <c r="E7" s="48">
        <f>SUM('20.1.'!E7,'20. 2.'!E7,'20. 3'!E8,'20. 4.'!E7,'20.5.'!E7,'20. 6.'!E7,'20.7.'!E7,'20. 8.'!E8)</f>
        <v>840050</v>
      </c>
      <c r="F7" s="48">
        <f>SUM('20.1.'!F7,'20. 2.'!F7,'20. 3'!F8,'20. 4.'!F7,'20.5.'!F7,'20. 6.'!F7,'20.7.'!F7,'20. 8.'!F8)</f>
        <v>860050</v>
      </c>
      <c r="G7" s="980" t="s">
        <v>295</v>
      </c>
      <c r="H7" s="981"/>
      <c r="I7" s="48">
        <f>SUM('20.1.'!I7,'20. 2.'!I7,'20. 3'!I8,'20. 4.'!I7,'20.5.'!I7,'20. 6.'!I7,'20.7.'!I7,'20. 8.'!I8)</f>
        <v>1382900</v>
      </c>
      <c r="J7" s="48">
        <f>SUM('20.1.'!J7,'20. 2.'!J7,'20. 3'!J8,'20. 4.'!J7,'20.5.'!J7,'20. 6.'!J7,'20.7.'!J7,'20. 8.'!J8)</f>
        <v>1400441</v>
      </c>
      <c r="K7" s="48">
        <f>SUM('20.1.'!K7,'20. 2.'!K7,'20. 3'!K8,'20. 4.'!K7,'20.5.'!K7,'20. 6.'!K7,'20.7.'!K7,'20. 8.'!K8)</f>
        <v>1417228</v>
      </c>
      <c r="L7" s="14"/>
    </row>
    <row r="8" spans="1:12" ht="12" customHeight="1" x14ac:dyDescent="0.2">
      <c r="A8" s="980" t="s">
        <v>294</v>
      </c>
      <c r="B8" s="983"/>
      <c r="C8" s="981"/>
      <c r="D8" s="48">
        <f>SUM('20.1.'!D8,'20. 2.'!D8,'20. 3'!D9,'20. 4.'!D8,'20.5.'!D8,'20. 6.'!D8,'20.7.'!D8,'20. 8.'!D9)</f>
        <v>4020200</v>
      </c>
      <c r="E8" s="48">
        <f>SUM('20.1.'!E8,'20. 2.'!E8,'20. 3'!E9,'20. 4.'!E8,'20.5.'!E8,'20. 6.'!E8,'20.7.'!E8,'20. 8.'!E9)</f>
        <v>4020400</v>
      </c>
      <c r="F8" s="48">
        <f>SUM('20.1.'!F8,'20. 2.'!F8,'20. 3'!F9,'20. 4.'!F8,'20.5.'!F8,'20. 6.'!F8,'20.7.'!F8,'20. 8.'!F9)</f>
        <v>4020600</v>
      </c>
      <c r="G8" s="982" t="s">
        <v>293</v>
      </c>
      <c r="H8" s="982"/>
      <c r="I8" s="48">
        <f>SUM('20.1.'!I8,'20. 2.'!I8,'20. 3'!I9,'20. 4.'!I8,'20.5.'!I8,'20. 6.'!I8,'20.7.'!I8,'20. 8.'!I9)</f>
        <v>384160</v>
      </c>
      <c r="J8" s="48">
        <f>SUM('20.1.'!J8,'20. 2.'!J8,'20. 3'!J9,'20. 4.'!J8,'20.5.'!J8,'20. 6.'!J8,'20.7.'!J8,'20. 8.'!J9)</f>
        <v>388883</v>
      </c>
      <c r="K8" s="48">
        <f>SUM('20.1.'!K8,'20. 2.'!K8,'20. 3'!K9,'20. 4.'!K8,'20.5.'!K8,'20. 6.'!K8,'20.7.'!K8,'20. 8.'!K9)</f>
        <v>393775</v>
      </c>
      <c r="L8" s="14"/>
    </row>
    <row r="9" spans="1:12" ht="12" customHeight="1" x14ac:dyDescent="0.2">
      <c r="A9" s="980" t="s">
        <v>292</v>
      </c>
      <c r="B9" s="983"/>
      <c r="C9" s="981"/>
      <c r="D9" s="48">
        <f>SUM('20.1.'!D9,'20. 2.'!D9,'20. 3'!D10,'20. 4.'!D9,'20.5.'!D9,'20. 6.'!D9,'20.7.'!D9,'20. 8.'!D10)</f>
        <v>1229528</v>
      </c>
      <c r="E9" s="48">
        <f>SUM('20.1.'!E9,'20. 2.'!E9,'20. 3'!E10,'20. 4.'!E9,'20.5.'!E9,'20. 6.'!E9,'20.7.'!E9,'20. 8.'!E10)</f>
        <v>1247244</v>
      </c>
      <c r="F9" s="48">
        <f>SUM('20.1.'!F9,'20. 2.'!F9,'20. 3'!F10,'20. 4.'!F9,'20.5.'!F9,'20. 6.'!F9,'20.7.'!F9,'20. 8.'!F10)</f>
        <v>1264035</v>
      </c>
      <c r="G9" s="982" t="s">
        <v>291</v>
      </c>
      <c r="H9" s="982"/>
      <c r="I9" s="48">
        <f>SUM('20.1.'!I9,'20. 2.'!I9,'20. 3'!I10,'20. 4.'!I9,'20.5.'!I9,'20. 6.'!I9,'20.7.'!I9,'20. 8.'!I10)</f>
        <v>1884736</v>
      </c>
      <c r="J9" s="48">
        <f>SUM('20.1.'!J9,'20. 2.'!J9,'20. 3'!J10,'20. 4.'!J9,'20.5.'!J9,'20. 6.'!J9,'20.7.'!J9,'20. 8.'!J10)</f>
        <v>1955485</v>
      </c>
      <c r="K9" s="48">
        <f>SUM('20.1.'!K9,'20. 2.'!K9,'20. 3'!K10,'20. 4.'!K9,'20.5.'!K9,'20. 6.'!K9,'20.7.'!K9,'20. 8.'!K10)</f>
        <v>2006775</v>
      </c>
      <c r="L9" s="14"/>
    </row>
    <row r="10" spans="1:12" ht="12" customHeight="1" x14ac:dyDescent="0.2">
      <c r="A10" s="980" t="s">
        <v>290</v>
      </c>
      <c r="B10" s="983"/>
      <c r="C10" s="981"/>
      <c r="D10" s="48">
        <f>SUM('20.1.'!D10,'20. 2.'!D10,'20. 3'!D11,'20. 4.'!D10,'20.5.'!D10,'20. 6.'!D10,'20.7.'!D10,'20. 8.'!D11)</f>
        <v>60000</v>
      </c>
      <c r="E10" s="48">
        <f>SUM('20.1.'!E10,'20. 2.'!E10,'20. 3'!E11,'20. 4.'!E10,'20.5.'!E10,'20. 6.'!E10,'20.7.'!E10,'20. 8.'!E11)</f>
        <v>62000</v>
      </c>
      <c r="F10" s="48">
        <f>SUM('20.1.'!F10,'20. 2.'!F10,'20. 3'!F11,'20. 4.'!F10,'20.5.'!F10,'20. 6.'!F10,'20.7.'!F10,'20. 8.'!F11)</f>
        <v>64000</v>
      </c>
      <c r="G10" s="982" t="s">
        <v>289</v>
      </c>
      <c r="H10" s="982"/>
      <c r="I10" s="48">
        <f>SUM('20.1.'!I10,'20. 2.'!I10,'20. 3'!I11,'20. 4.'!I10,'20.5.'!I10,'20. 6.'!I10,'20.7.'!I10,'20. 8.'!I11)</f>
        <v>82000</v>
      </c>
      <c r="J10" s="48">
        <f>SUM('20.1.'!J10,'20. 2.'!J10,'20. 3'!J11,'20. 4.'!J10,'20.5.'!J10,'20. 6.'!J10,'20.7.'!J10,'20. 8.'!J11)</f>
        <v>83000</v>
      </c>
      <c r="K10" s="48">
        <f>SUM('20.1.'!K10,'20. 2.'!K10,'20. 3'!K11,'20. 4.'!K10,'20.5.'!K10,'20. 6.'!K10,'20.7.'!K10,'20. 8.'!K11)</f>
        <v>84000</v>
      </c>
      <c r="L10" s="14"/>
    </row>
    <row r="11" spans="1:12" ht="12" customHeight="1" x14ac:dyDescent="0.2">
      <c r="A11" s="982"/>
      <c r="B11" s="982"/>
      <c r="C11" s="982"/>
      <c r="D11" s="48"/>
      <c r="E11" s="48"/>
      <c r="F11" s="48"/>
      <c r="G11" s="982" t="s">
        <v>288</v>
      </c>
      <c r="H11" s="982"/>
      <c r="I11" s="48">
        <f>SUM('20.1.'!I11,'20. 2.'!I11,'20. 3'!I12,'20. 4.'!I11,'20.5.'!I11,'20. 6.'!I11,'20.7.'!I11,'20. 8.'!I12)</f>
        <v>450000</v>
      </c>
      <c r="J11" s="48">
        <f>SUM('20.1.'!J11,'20. 2.'!J11,'20. 3'!J12,'20. 4.'!J11,'20.5.'!J11,'20. 6.'!J11,'20.7.'!J11,'20. 8.'!J12)</f>
        <v>465000</v>
      </c>
      <c r="K11" s="48">
        <f>SUM('20.1.'!K11,'20. 2.'!K11,'20. 3'!K12,'20. 4.'!K11,'20.5.'!K11,'20. 6.'!K11,'20.7.'!K11,'20. 8.'!K12)</f>
        <v>470000</v>
      </c>
      <c r="L11" s="14"/>
    </row>
    <row r="12" spans="1:12" ht="12" customHeight="1" x14ac:dyDescent="0.2">
      <c r="A12" s="984"/>
      <c r="B12" s="984"/>
      <c r="C12" s="984"/>
      <c r="D12" s="48"/>
      <c r="E12" s="48"/>
      <c r="F12" s="48"/>
      <c r="G12" s="994" t="s">
        <v>287</v>
      </c>
      <c r="H12" s="995"/>
      <c r="I12" s="48">
        <f>SUM('20.1.'!I12,'20. 2.'!I12,'20. 3'!I13,'20. 4.'!I12,'20.5.'!I12,'20. 6.'!I12,'20.7.'!I12,'20. 8.'!I13)</f>
        <v>180000</v>
      </c>
      <c r="J12" s="48">
        <f>SUM('20.1.'!J12,'20. 2.'!J12,'20. 3'!J13,'20. 4.'!J12,'20.5.'!J12,'20. 6.'!J12,'20.7.'!J12,'20. 8.'!J13)</f>
        <v>180000</v>
      </c>
      <c r="K12" s="48">
        <f>SUM('20.1.'!K12,'20. 2.'!K12,'20. 3'!K13,'20. 4.'!K12,'20.5.'!K12,'20. 6.'!K12,'20.7.'!K12,'20. 8.'!K13)</f>
        <v>180000</v>
      </c>
      <c r="L12" s="14"/>
    </row>
    <row r="13" spans="1:12" ht="12" customHeight="1" x14ac:dyDescent="0.2">
      <c r="A13" s="987"/>
      <c r="B13" s="987"/>
      <c r="C13" s="987"/>
      <c r="D13" s="48"/>
      <c r="E13" s="48"/>
      <c r="F13" s="48"/>
      <c r="G13" s="980" t="s">
        <v>286</v>
      </c>
      <c r="H13" s="981"/>
      <c r="I13" s="48">
        <f>SUM('20.1.'!I13,'20. 2.'!I13,'20. 3'!I14,'20. 4.'!I13,'20.5.'!I13,'20. 6.'!I13,'20.7.'!I13,'20. 8.'!I14)</f>
        <v>0</v>
      </c>
      <c r="J13" s="48">
        <f>SUM('20.1.'!J13,'20. 2.'!J13,'20. 3'!J14,'20. 4.'!J13,'20.5.'!J13,'20. 6.'!J13,'20.7.'!J13,'20. 8.'!J14)</f>
        <v>0</v>
      </c>
      <c r="K13" s="48">
        <f>SUM('20.1.'!K13,'20. 2.'!K13,'20. 3'!K14,'20. 4.'!K13,'20.5.'!K13,'20. 6.'!K13,'20.7.'!K13,'20. 8.'!K14)</f>
        <v>0</v>
      </c>
      <c r="L13" s="14"/>
    </row>
    <row r="14" spans="1:12" ht="23.25" customHeight="1" x14ac:dyDescent="0.2">
      <c r="A14" s="985" t="s">
        <v>285</v>
      </c>
      <c r="B14" s="988"/>
      <c r="C14" s="986"/>
      <c r="D14" s="49">
        <f>SUM(D7:D10)</f>
        <v>6129778</v>
      </c>
      <c r="E14" s="49">
        <f>SUM(E7:E10)</f>
        <v>6169694</v>
      </c>
      <c r="F14" s="49">
        <f>SUM(F7:F10)</f>
        <v>6208685</v>
      </c>
      <c r="G14" s="985" t="s">
        <v>284</v>
      </c>
      <c r="H14" s="986"/>
      <c r="I14" s="53">
        <f>SUM(I7:I11)</f>
        <v>4183796</v>
      </c>
      <c r="J14" s="53">
        <f>SUM(J7:J11)</f>
        <v>4292809</v>
      </c>
      <c r="K14" s="53">
        <f>SUM(K7:K11)</f>
        <v>4371778</v>
      </c>
      <c r="L14" s="14"/>
    </row>
    <row r="15" spans="1:12" ht="12" customHeight="1" x14ac:dyDescent="0.2">
      <c r="A15" s="980"/>
      <c r="B15" s="983"/>
      <c r="C15" s="981"/>
      <c r="D15" s="48"/>
      <c r="E15" s="48"/>
      <c r="F15" s="48"/>
      <c r="G15" s="980"/>
      <c r="H15" s="981"/>
      <c r="I15" s="22"/>
      <c r="J15" s="22"/>
      <c r="K15" s="22"/>
      <c r="L15" s="14"/>
    </row>
    <row r="16" spans="1:12" ht="12" customHeight="1" x14ac:dyDescent="0.2">
      <c r="A16" s="980" t="s">
        <v>270</v>
      </c>
      <c r="B16" s="983"/>
      <c r="C16" s="981"/>
      <c r="D16" s="48">
        <f>SUM('20.1.'!D16,'20. 2.'!D16,'20. 3'!D17,'20. 4.'!D16,'20.5.'!D16,'20. 6.'!D16,'20.7.'!D16,'20. 8.'!D17)</f>
        <v>0</v>
      </c>
      <c r="E16" s="48">
        <f>SUM('20.1.'!E16,'20. 2.'!E16,'20. 3'!E17,'20. 4.'!E16,'20.5.'!E16,'20. 6.'!E16,'20.7.'!E16,'20. 8.'!E17)</f>
        <v>0</v>
      </c>
      <c r="F16" s="48">
        <f>SUM('20.1.'!F16,'20. 2.'!F16,'20. 3'!F17,'20. 4.'!F16,'20.5.'!F16,'20. 6.'!F16,'20.7.'!F16,'20. 8.'!F17)</f>
        <v>0</v>
      </c>
      <c r="G16" s="980" t="s">
        <v>283</v>
      </c>
      <c r="H16" s="981"/>
      <c r="I16" s="48">
        <f>SUM('20.1.'!I16,'20. 2.'!I16,'20. 3'!I17,'20. 4.'!I16,'20.5.'!I16,'20. 6.'!I16,'20.7.'!I16,'20. 8.'!I17)</f>
        <v>0</v>
      </c>
      <c r="J16" s="48">
        <f>SUM('20.1.'!J16,'20. 2.'!J16,'20. 3'!J17,'20. 4.'!J16,'20.5.'!J16,'20. 6.'!J16,'20.7.'!J16,'20. 8.'!J17)</f>
        <v>0</v>
      </c>
      <c r="K16" s="48">
        <f>SUM('20.1.'!K16,'20. 2.'!K16,'20. 3'!K17,'20. 4.'!K16,'20.5.'!K16,'20. 6.'!K16,'20.7.'!K16,'20. 8.'!K17)</f>
        <v>0</v>
      </c>
    </row>
    <row r="17" spans="1:12" ht="12" customHeight="1" x14ac:dyDescent="0.2">
      <c r="A17" s="977" t="s">
        <v>268</v>
      </c>
      <c r="B17" s="977"/>
      <c r="C17" s="977"/>
      <c r="D17" s="48">
        <f>SUM('20.1.'!D17,'20. 2.'!D17,'20. 3'!D18,'20. 4.'!D17,'20.5.'!D17,'20. 6.'!D17,'20.7.'!D17,'20. 8.'!D18)</f>
        <v>0</v>
      </c>
      <c r="E17" s="48">
        <f>SUM('20.1.'!E17,'20. 2.'!E17,'20. 3'!E18,'20. 4.'!E17,'20.5.'!E17,'20. 6.'!E17,'20.7.'!E17,'20. 8.'!E18)</f>
        <v>0</v>
      </c>
      <c r="F17" s="48">
        <f>SUM('20.1.'!F17,'20. 2.'!F17,'20. 3'!F18,'20. 4.'!F17,'20.5.'!F17,'20. 6.'!F17,'20.7.'!F17,'20. 8.'!F18)</f>
        <v>0</v>
      </c>
      <c r="G17" s="977" t="s">
        <v>267</v>
      </c>
      <c r="H17" s="977"/>
      <c r="I17" s="48">
        <f>SUM('20.1.'!I17,'20. 2.'!I17,'20. 3'!I18,'20. 4.'!I17,'20.5.'!I17,'20. 6.'!I17,'20.7.'!I17,'20. 8.'!I18)</f>
        <v>0</v>
      </c>
      <c r="J17" s="48">
        <f>SUM('20.1.'!J17,'20. 2.'!J17,'20. 3'!J18,'20. 4.'!J17,'20.5.'!J17,'20. 6.'!J17,'20.7.'!J17,'20. 8.'!J18)</f>
        <v>0</v>
      </c>
      <c r="K17" s="48">
        <f>SUM('20.1.'!K17,'20. 2.'!K17,'20. 3'!K18,'20. 4.'!K17,'20.5.'!K17,'20. 6.'!K17,'20.7.'!K17,'20. 8.'!K18)</f>
        <v>0</v>
      </c>
    </row>
    <row r="18" spans="1:12" ht="12" customHeight="1" x14ac:dyDescent="0.2">
      <c r="A18" s="977" t="s">
        <v>266</v>
      </c>
      <c r="B18" s="977"/>
      <c r="C18" s="977"/>
      <c r="D18" s="48">
        <f>SUM('20.1.'!D18,'20. 2.'!D18,'20. 3'!D19,'20. 4.'!D18,'20.5.'!D18,'20. 6.'!D18,'20.7.'!D18,'20. 8.'!D19)</f>
        <v>0</v>
      </c>
      <c r="E18" s="48">
        <f>SUM('20.1.'!E18,'20. 2.'!E18,'20. 3'!E19,'20. 4.'!E18,'20.5.'!E18,'20. 6.'!E18,'20.7.'!E18,'20. 8.'!E19)</f>
        <v>0</v>
      </c>
      <c r="F18" s="48">
        <f>SUM('20.1.'!F18,'20. 2.'!F18,'20. 3'!F19,'20. 4.'!F18,'20.5.'!F18,'20. 6.'!F18,'20.7.'!F18,'20. 8.'!F19)</f>
        <v>0</v>
      </c>
      <c r="G18" s="992" t="s">
        <v>282</v>
      </c>
      <c r="H18" s="992"/>
      <c r="I18" s="48">
        <f>SUM('20.1.'!I18,'20. 2.'!I18,'20. 3'!I19,'20. 4.'!I18,'20.5.'!I18,'20. 6.'!I18,'20.7.'!I18,'20. 8.'!I19)</f>
        <v>0</v>
      </c>
      <c r="J18" s="48">
        <f>SUM('20.1.'!J18,'20. 2.'!J18,'20. 3'!J19,'20. 4.'!J18,'20.5.'!J18,'20. 6.'!J18,'20.7.'!J18,'20. 8.'!J19)</f>
        <v>0</v>
      </c>
      <c r="K18" s="48">
        <f>SUM('20.1.'!K18,'20. 2.'!K18,'20. 3'!K19,'20. 4.'!K18,'20.5.'!K18,'20. 6.'!K18,'20.7.'!K18,'20. 8.'!K19)</f>
        <v>0</v>
      </c>
    </row>
    <row r="19" spans="1:12" ht="12" customHeight="1" x14ac:dyDescent="0.2">
      <c r="A19" s="982" t="s">
        <v>264</v>
      </c>
      <c r="B19" s="982"/>
      <c r="C19" s="982"/>
      <c r="D19" s="48">
        <f>SUM('20.1.'!D19,'20. 2.'!D19,'20. 3'!D20,'20. 4.'!D19,'20.5.'!D19,'20. 6.'!D19,'20.7.'!D19,'20. 8.'!D20)</f>
        <v>0</v>
      </c>
      <c r="E19" s="48">
        <f>SUM('20.1.'!E19,'20. 2.'!E19,'20. 3'!E20,'20. 4.'!E19,'20.5.'!E19,'20. 6.'!E19,'20.7.'!E19,'20. 8.'!E20)</f>
        <v>0</v>
      </c>
      <c r="F19" s="48">
        <f>SUM('20.1.'!F19,'20. 2.'!F19,'20. 3'!F20,'20. 4.'!F19,'20.5.'!F19,'20. 6.'!F19,'20.7.'!F19,'20. 8.'!F20)</f>
        <v>0</v>
      </c>
      <c r="G19" s="977" t="s">
        <v>263</v>
      </c>
      <c r="H19" s="977"/>
      <c r="I19" s="48">
        <f>SUM('20.1.'!I19,'20. 2.'!I19,'20. 3'!I20,'20. 4.'!I19,'20.5.'!I19,'20. 6.'!I19,'20.7.'!I19,'20. 8.'!I20)</f>
        <v>0</v>
      </c>
      <c r="J19" s="48">
        <f>SUM('20.1.'!J19,'20. 2.'!J19,'20. 3'!J20,'20. 4.'!J19,'20.5.'!J19,'20. 6.'!J19,'20.7.'!J19,'20. 8.'!J20)</f>
        <v>0</v>
      </c>
      <c r="K19" s="48">
        <f>SUM('20.1.'!K19,'20. 2.'!K19,'20. 3'!K20,'20. 4.'!K19,'20.5.'!K19,'20. 6.'!K19,'20.7.'!K19,'20. 8.'!K20)</f>
        <v>0</v>
      </c>
    </row>
    <row r="20" spans="1:12" ht="12" customHeight="1" x14ac:dyDescent="0.2">
      <c r="A20" s="982" t="s">
        <v>262</v>
      </c>
      <c r="B20" s="982"/>
      <c r="C20" s="982"/>
      <c r="D20" s="48">
        <f>SUM('20.1.'!D20,'20. 2.'!D20,'20. 3'!D21,'20. 4.'!D20,'20.5.'!D20,'20. 6.'!D20,'20.7.'!D20,'20. 8.'!D21)</f>
        <v>0</v>
      </c>
      <c r="E20" s="48">
        <f>SUM('20.1.'!E20,'20. 2.'!E20,'20. 3'!E21,'20. 4.'!E20,'20.5.'!E20,'20. 6.'!E20,'20.7.'!E20,'20. 8.'!E21)</f>
        <v>0</v>
      </c>
      <c r="F20" s="48">
        <f>SUM('20.1.'!F20,'20. 2.'!F20,'20. 3'!F21,'20. 4.'!F20,'20.5.'!F20,'20. 6.'!F20,'20.7.'!F20,'20. 8.'!F21)</f>
        <v>0</v>
      </c>
      <c r="G20" s="977" t="s">
        <v>261</v>
      </c>
      <c r="H20" s="977"/>
      <c r="I20" s="48">
        <v>0</v>
      </c>
      <c r="J20" s="48">
        <v>0</v>
      </c>
      <c r="K20" s="48">
        <v>0</v>
      </c>
    </row>
    <row r="21" spans="1:12" ht="12" customHeight="1" x14ac:dyDescent="0.2">
      <c r="A21" s="977" t="s">
        <v>260</v>
      </c>
      <c r="B21" s="977"/>
      <c r="C21" s="977"/>
      <c r="D21" s="48">
        <v>0</v>
      </c>
      <c r="E21" s="48">
        <v>0</v>
      </c>
      <c r="F21" s="48">
        <v>0</v>
      </c>
      <c r="G21" s="977" t="s">
        <v>259</v>
      </c>
      <c r="H21" s="977"/>
      <c r="I21" s="48">
        <f>SUM('20.1.'!I21,'20. 2.'!I21,'20. 3'!I22,'20. 4.'!I21,'20.5.'!I21,'20. 6.'!I21,'20.7.'!I21,'20. 8.'!I22)</f>
        <v>0</v>
      </c>
      <c r="J21" s="48">
        <f>SUM('20.1.'!J21,'20. 2.'!J21,'20. 3'!J22,'20. 4.'!J21,'20.5.'!J21,'20. 6.'!J21,'20.7.'!J21,'20. 8.'!J22)</f>
        <v>0</v>
      </c>
      <c r="K21" s="48">
        <f>SUM('20.1.'!K21,'20. 2.'!K21,'20. 3'!K22,'20. 4.'!K21,'20.5.'!K21,'20. 6.'!K21,'20.7.'!K21,'20. 8.'!K22)</f>
        <v>0</v>
      </c>
      <c r="L21" s="39"/>
    </row>
    <row r="22" spans="1:12" ht="12" customHeight="1" x14ac:dyDescent="0.2">
      <c r="A22" s="993"/>
      <c r="B22" s="993"/>
      <c r="C22" s="993"/>
      <c r="D22" s="48"/>
      <c r="E22" s="48"/>
      <c r="F22" s="48"/>
      <c r="G22" s="977" t="s">
        <v>258</v>
      </c>
      <c r="H22" s="977"/>
      <c r="I22" s="48">
        <f>SUM('20.1.'!I22,'20. 2.'!I22,'20. 3'!I23,'20. 4.'!I22,'20.5.'!I22,'20. 6.'!I22,'20.7.'!I22,'20. 8.'!I23)</f>
        <v>0</v>
      </c>
      <c r="J22" s="48">
        <f>SUM('20.1.'!J22,'20. 2.'!J22,'20. 3'!J23,'20. 4.'!J22,'20.5.'!J22,'20. 6.'!J22,'20.7.'!J22,'20. 8.'!J23)</f>
        <v>0</v>
      </c>
      <c r="K22" s="48">
        <f>SUM('20.1.'!K22,'20. 2.'!K22,'20. 3'!K23,'20. 4.'!K22,'20.5.'!K22,'20. 6.'!K22,'20.7.'!K22,'20. 8.'!K23)</f>
        <v>0</v>
      </c>
    </row>
    <row r="23" spans="1:12" ht="12" customHeight="1" x14ac:dyDescent="0.2">
      <c r="A23" s="984" t="s">
        <v>281</v>
      </c>
      <c r="B23" s="984"/>
      <c r="C23" s="984"/>
      <c r="D23" s="49">
        <f>SUM(D15:D21)</f>
        <v>0</v>
      </c>
      <c r="E23" s="49">
        <f>SUM(E15:E21)</f>
        <v>0</v>
      </c>
      <c r="F23" s="49">
        <f>SUM(F15:F21)</f>
        <v>0</v>
      </c>
      <c r="G23" s="985" t="s">
        <v>280</v>
      </c>
      <c r="H23" s="986"/>
      <c r="I23" s="49">
        <f>SUM(I16:I22)</f>
        <v>0</v>
      </c>
      <c r="J23" s="49">
        <f>SUM(J16:J22)</f>
        <v>0</v>
      </c>
      <c r="K23" s="49">
        <f>SUM(K16:K22)</f>
        <v>0</v>
      </c>
      <c r="L23" s="14"/>
    </row>
    <row r="24" spans="1:12" ht="12" customHeight="1" x14ac:dyDescent="0.2">
      <c r="A24" s="987"/>
      <c r="B24" s="987"/>
      <c r="C24" s="987"/>
      <c r="D24" s="48"/>
      <c r="E24" s="48"/>
      <c r="F24" s="48"/>
      <c r="G24" s="978"/>
      <c r="H24" s="979"/>
      <c r="I24" s="48"/>
      <c r="J24" s="48"/>
      <c r="K24" s="48"/>
      <c r="L24" s="14"/>
    </row>
    <row r="25" spans="1:12" ht="12" customHeight="1" x14ac:dyDescent="0.2">
      <c r="A25" s="984" t="s">
        <v>279</v>
      </c>
      <c r="B25" s="984"/>
      <c r="C25" s="984"/>
      <c r="D25" s="49">
        <f>+D23+D14</f>
        <v>6129778</v>
      </c>
      <c r="E25" s="49">
        <f>+E23+E14</f>
        <v>6169694</v>
      </c>
      <c r="F25" s="49">
        <f>+F23+F14</f>
        <v>6208685</v>
      </c>
      <c r="G25" s="985" t="s">
        <v>278</v>
      </c>
      <c r="H25" s="986"/>
      <c r="I25" s="49">
        <f>+I23+I14</f>
        <v>4183796</v>
      </c>
      <c r="J25" s="49">
        <f>+J23+J14</f>
        <v>4292809</v>
      </c>
      <c r="K25" s="49">
        <f>+K23+K14</f>
        <v>4371778</v>
      </c>
      <c r="L25" s="14"/>
    </row>
    <row r="26" spans="1:12" ht="12" customHeight="1" x14ac:dyDescent="0.2">
      <c r="A26" s="982"/>
      <c r="B26" s="982"/>
      <c r="C26" s="982"/>
      <c r="D26" s="48"/>
      <c r="E26" s="48"/>
      <c r="F26" s="48"/>
      <c r="G26" s="980"/>
      <c r="H26" s="981"/>
      <c r="I26" s="48"/>
      <c r="J26" s="48"/>
      <c r="K26" s="48"/>
      <c r="L26" s="14"/>
    </row>
    <row r="27" spans="1:12" ht="12.75" customHeight="1" x14ac:dyDescent="0.2">
      <c r="A27" s="980" t="s">
        <v>277</v>
      </c>
      <c r="B27" s="983"/>
      <c r="C27" s="981"/>
      <c r="D27" s="48">
        <f>SUM('20.1.'!D27,'20. 2.'!D27,'20. 3'!D28,'20. 4.'!D27,'20.5.'!D27,'20. 6.'!D27,'20.7.'!D27,'20. 8.'!D28)</f>
        <v>15000</v>
      </c>
      <c r="E27" s="48">
        <f>SUM('20.1.'!E27,'20. 2.'!E27,'20. 3'!E28,'20. 4.'!E27,'20.5.'!E27,'20. 6.'!E27,'20.7.'!E27,'20. 8.'!E28)</f>
        <v>18000</v>
      </c>
      <c r="F27" s="48">
        <f>SUM('20.1.'!F27,'20. 2.'!F27,'20. 3'!F28,'20. 4.'!F27,'20.5.'!F27,'20. 6.'!F27,'20.7.'!F27,'20. 8.'!F28)</f>
        <v>21000</v>
      </c>
      <c r="G27" s="980" t="s">
        <v>276</v>
      </c>
      <c r="H27" s="981"/>
      <c r="I27" s="48">
        <f>SUM('20.1.'!I27,'20. 2.'!I27,'20. 3'!I28,'20. 4.'!I27,'20.5.'!I27,'20. 6.'!I27,'20.7.'!I27,'20. 8.'!I28)</f>
        <v>1415986</v>
      </c>
      <c r="J27" s="48">
        <f>SUM('20.1.'!J27,'20. 2.'!J27,'20. 3'!J28,'20. 4.'!J27,'20.5.'!J27,'20. 6.'!J27,'20.7.'!J27,'20. 8.'!J28)</f>
        <v>1272624</v>
      </c>
      <c r="K27" s="48">
        <f>SUM('20.1.'!K27,'20. 2.'!K27,'20. 3'!K28,'20. 4.'!K27,'20.5.'!K27,'20. 6.'!K27,'20.7.'!K27,'20. 8.'!K28)</f>
        <v>1218646</v>
      </c>
      <c r="L27" s="14"/>
    </row>
    <row r="28" spans="1:12" ht="12" customHeight="1" x14ac:dyDescent="0.2">
      <c r="A28" s="980" t="s">
        <v>275</v>
      </c>
      <c r="B28" s="983"/>
      <c r="C28" s="981"/>
      <c r="D28" s="48">
        <f>SUM('20.1.'!D28,'20. 2.'!D28,'20. 3'!D29,'20. 4.'!D28,'20.5.'!D28,'20. 6.'!D28,'20.7.'!D28,'20. 8.'!D29)</f>
        <v>200000</v>
      </c>
      <c r="E28" s="48">
        <f>SUM('20.1.'!E28,'20. 2.'!E28,'20. 3'!E29,'20. 4.'!E28,'20.5.'!E28,'20. 6.'!E28,'20.7.'!E28,'20. 8.'!E29)</f>
        <v>200000</v>
      </c>
      <c r="F28" s="48">
        <f>SUM('20.1.'!F28,'20. 2.'!F28,'20. 3'!F29,'20. 4.'!F28,'20.5.'!F28,'20. 6.'!F28,'20.7.'!F28,'20. 8.'!F29)</f>
        <v>200000</v>
      </c>
      <c r="G28" s="980" t="s">
        <v>215</v>
      </c>
      <c r="H28" s="981"/>
      <c r="I28" s="48">
        <f>SUM('20.1.'!I28,'20. 2.'!I28,'20. 3'!I29,'20. 4.'!I28,'20.5.'!I28,'20. 6.'!I28,'20.7.'!I28,'20. 8.'!I29)</f>
        <v>197897</v>
      </c>
      <c r="J28" s="48">
        <f>SUM('20.1.'!J28,'20. 2.'!J28,'20. 3'!J29,'20. 4.'!J28,'20.5.'!J28,'20. 6.'!J28,'20.7.'!J28,'20. 8.'!J29)</f>
        <v>188397</v>
      </c>
      <c r="K28" s="48">
        <f>SUM('20.1.'!K28,'20. 2.'!K28,'20. 3'!K29,'20. 4.'!K28,'20.5.'!K28,'20. 6.'!K28,'20.7.'!K28,'20. 8.'!K29)</f>
        <v>205397</v>
      </c>
      <c r="L28" s="14"/>
    </row>
    <row r="29" spans="1:12" ht="12" customHeight="1" x14ac:dyDescent="0.2">
      <c r="A29" s="982" t="s">
        <v>274</v>
      </c>
      <c r="B29" s="982"/>
      <c r="C29" s="982"/>
      <c r="D29" s="48">
        <f>SUM('20.1.'!D29,'20. 2.'!D29,'20. 3'!D30,'20. 4.'!D29,'20.5.'!D29,'20. 6.'!D29,'20.7.'!D29,'20. 8.'!D30)</f>
        <v>38000</v>
      </c>
      <c r="E29" s="48">
        <f>SUM('20.1.'!E29,'20. 2.'!E29,'20. 3'!E30,'20. 4.'!E29,'20.5.'!E29,'20. 6.'!E29,'20.7.'!E29,'20. 8.'!E30)</f>
        <v>38000</v>
      </c>
      <c r="F29" s="48">
        <f>SUM('20.1.'!F29,'20. 2.'!F29,'20. 3'!F30,'20. 4.'!F29,'20.5.'!F29,'20. 6.'!F29,'20.7.'!F29,'20. 8.'!F30)</f>
        <v>38000</v>
      </c>
      <c r="G29" s="980" t="s">
        <v>273</v>
      </c>
      <c r="H29" s="981"/>
      <c r="I29" s="48">
        <f>SUM('20.1.'!I29,'20. 2.'!I29,'20. 3'!I30,'20. 4.'!I29,'20.5.'!I29,'20. 6.'!I29,'20.7.'!I29,'20. 8.'!I30)</f>
        <v>80000</v>
      </c>
      <c r="J29" s="48">
        <f>SUM('20.1.'!J29,'20. 2.'!J29,'20. 3'!J30,'20. 4.'!J29,'20.5.'!J29,'20. 6.'!J29,'20.7.'!J29,'20. 8.'!J30)</f>
        <v>85000</v>
      </c>
      <c r="K29" s="48">
        <f>SUM('20.1.'!K29,'20. 2.'!K29,'20. 3'!K30,'20. 4.'!K29,'20.5.'!K29,'20. 6.'!K29,'20.7.'!K29,'20. 8.'!K30)</f>
        <v>85000</v>
      </c>
      <c r="L29" s="14"/>
    </row>
    <row r="30" spans="1:12" ht="24" customHeight="1" x14ac:dyDescent="0.2">
      <c r="A30" s="985" t="s">
        <v>272</v>
      </c>
      <c r="B30" s="988"/>
      <c r="C30" s="986"/>
      <c r="D30" s="49">
        <f>SUM(D27:D29)</f>
        <v>253000</v>
      </c>
      <c r="E30" s="49">
        <f t="shared" ref="E30:F30" si="0">SUM(E27:E29)</f>
        <v>256000</v>
      </c>
      <c r="F30" s="49">
        <f t="shared" si="0"/>
        <v>259000</v>
      </c>
      <c r="G30" s="985" t="s">
        <v>271</v>
      </c>
      <c r="H30" s="986"/>
      <c r="I30" s="49">
        <f>SUM(I27:I29)</f>
        <v>1693883</v>
      </c>
      <c r="J30" s="49">
        <f>SUM(J27:J29)</f>
        <v>1546021</v>
      </c>
      <c r="K30" s="49">
        <f>SUM(K27:K29)</f>
        <v>1509043</v>
      </c>
      <c r="L30" s="14"/>
    </row>
    <row r="31" spans="1:12" ht="12" customHeight="1" x14ac:dyDescent="0.2">
      <c r="A31" s="982"/>
      <c r="B31" s="982"/>
      <c r="C31" s="982"/>
      <c r="D31" s="48"/>
      <c r="E31" s="48"/>
      <c r="F31" s="48"/>
      <c r="G31" s="980"/>
      <c r="H31" s="981"/>
      <c r="I31" s="48"/>
      <c r="J31" s="48"/>
      <c r="K31" s="48"/>
      <c r="L31" s="14"/>
    </row>
    <row r="32" spans="1:12" ht="12" customHeight="1" x14ac:dyDescent="0.2">
      <c r="A32" s="980" t="s">
        <v>270</v>
      </c>
      <c r="B32" s="983"/>
      <c r="C32" s="981"/>
      <c r="D32" s="48">
        <f>SUM('20.1.'!D32,'20. 2.'!D32,'20. 3'!D33,'20. 4.'!D32,'20.5.'!D32,'20. 6.'!D32,'20.7.'!D32,'20. 8.'!D33)</f>
        <v>0</v>
      </c>
      <c r="E32" s="48">
        <f>SUM('20.1.'!E32,'20. 2.'!E32,'20. 3'!E33,'20. 4.'!E32,'20.5.'!E32,'20. 6.'!E32,'20.7.'!E32,'20. 8.'!E33)</f>
        <v>0</v>
      </c>
      <c r="F32" s="48">
        <f>SUM('20.1.'!F32,'20. 2.'!F32,'20. 3'!F33,'20. 4.'!F32,'20.5.'!F32,'20. 6.'!F32,'20.7.'!F32,'20. 8.'!F33)</f>
        <v>0</v>
      </c>
      <c r="G32" s="980" t="s">
        <v>269</v>
      </c>
      <c r="H32" s="981"/>
      <c r="I32" s="48">
        <f>SUM('20.1.'!I32,'20. 2.'!I32,'20. 3'!I33,'20. 4.'!I32,'20.5.'!I32,'20. 6.'!I32,'20.7.'!I32,'20. 8.'!I33)</f>
        <v>205099</v>
      </c>
      <c r="J32" s="48">
        <f>SUM('20.1.'!J32,'20. 2.'!J32,'20. 3'!J33,'20. 4.'!J32,'20.5.'!J32,'20. 6.'!J32,'20.7.'!J32,'20. 8.'!J33)</f>
        <v>286864</v>
      </c>
      <c r="K32" s="48">
        <f>SUM('20.1.'!K32,'20. 2.'!K32,'20. 3'!K33,'20. 4.'!K32,'20.5.'!K32,'20. 6.'!K32,'20.7.'!K32,'20. 8.'!K33)</f>
        <v>286864</v>
      </c>
    </row>
    <row r="33" spans="1:12" ht="12" customHeight="1" x14ac:dyDescent="0.2">
      <c r="A33" s="977" t="s">
        <v>268</v>
      </c>
      <c r="B33" s="977"/>
      <c r="C33" s="977"/>
      <c r="D33" s="48">
        <f>SUM('20.1.'!D33,'20. 2.'!D33,'20. 3'!D34,'20. 4.'!D33,'20.5.'!D33,'20. 6.'!D33,'20.7.'!D33,'20. 8.'!D34)</f>
        <v>0</v>
      </c>
      <c r="E33" s="48">
        <f>SUM('20.1.'!E33,'20. 2.'!E33,'20. 3'!E34,'20. 4.'!E33,'20.5.'!E33,'20. 6.'!E33,'20.7.'!E33,'20. 8.'!E34)</f>
        <v>0</v>
      </c>
      <c r="F33" s="48">
        <f>SUM('20.1.'!F33,'20. 2.'!F33,'20. 3'!F34,'20. 4.'!F33,'20.5.'!F33,'20. 6.'!F33,'20.7.'!F33,'20. 8.'!F34)</f>
        <v>0</v>
      </c>
      <c r="G33" s="977" t="s">
        <v>267</v>
      </c>
      <c r="H33" s="977"/>
      <c r="I33" s="48">
        <f>SUM('20.1.'!I33,'20. 2.'!I33,'20. 3'!I34,'20. 4.'!I33,'20.5.'!I33,'20. 6.'!I33,'20.7.'!I33,'20. 8.'!I34)</f>
        <v>0</v>
      </c>
      <c r="J33" s="48">
        <f>SUM('20.1.'!J33,'20. 2.'!J33,'20. 3'!J34,'20. 4.'!J33,'20.5.'!J33,'20. 6.'!J33,'20.7.'!J33,'20. 8.'!J34)</f>
        <v>0</v>
      </c>
      <c r="K33" s="48">
        <f>SUM('20.1.'!K33,'20. 2.'!K33,'20. 3'!K34,'20. 4.'!K33,'20.5.'!K33,'20. 6.'!K33,'20.7.'!K33,'20. 8.'!K34)</f>
        <v>0</v>
      </c>
    </row>
    <row r="34" spans="1:12" ht="12" customHeight="1" x14ac:dyDescent="0.2">
      <c r="A34" s="977" t="s">
        <v>266</v>
      </c>
      <c r="B34" s="977"/>
      <c r="C34" s="977"/>
      <c r="D34" s="48">
        <f>SUM('20.1.'!D34,'20. 2.'!D34,'20. 3'!D35,'20. 4.'!D34,'20.5.'!D34,'20. 6.'!D34,'20.7.'!D34,'20. 8.'!D35)</f>
        <v>0</v>
      </c>
      <c r="E34" s="48">
        <f>SUM('20.1.'!E34,'20. 2.'!E34,'20. 3'!E35,'20. 4.'!E34,'20.5.'!E34,'20. 6.'!E34,'20.7.'!E34,'20. 8.'!E35)</f>
        <v>0</v>
      </c>
      <c r="F34" s="48">
        <f>SUM('20.1.'!F34,'20. 2.'!F34,'20. 3'!F35,'20. 4.'!F34,'20.5.'!F34,'20. 6.'!F34,'20.7.'!F34,'20. 8.'!F35)</f>
        <v>0</v>
      </c>
      <c r="G34" s="980" t="s">
        <v>265</v>
      </c>
      <c r="H34" s="981"/>
      <c r="I34" s="48">
        <f>SUM('20.1.'!I34,'20. 2.'!I34,'20. 3'!I35,'20. 4.'!I34,'20.5.'!I34,'20. 6.'!I34,'20.7.'!I34,'20. 8.'!I35)</f>
        <v>0</v>
      </c>
      <c r="J34" s="48">
        <f>SUM('20.1.'!J34,'20. 2.'!J34,'20. 3'!J35,'20. 4.'!J34,'20.5.'!J34,'20. 6.'!J34,'20.7.'!J34,'20. 8.'!J35)</f>
        <v>0</v>
      </c>
      <c r="K34" s="48">
        <f>SUM('20.1.'!K34,'20. 2.'!K34,'20. 3'!K35,'20. 4.'!K34,'20.5.'!K34,'20. 6.'!K34,'20.7.'!K34,'20. 8.'!K35)</f>
        <v>0</v>
      </c>
    </row>
    <row r="35" spans="1:12" ht="12" customHeight="1" x14ac:dyDescent="0.2">
      <c r="A35" s="982" t="s">
        <v>264</v>
      </c>
      <c r="B35" s="982"/>
      <c r="C35" s="982"/>
      <c r="D35" s="48">
        <f>SUM('20.1.'!D35,'20. 2.'!D35,'20. 3'!D36,'20. 4.'!D35,'20.5.'!D35,'20. 6.'!D35,'20.7.'!D35,'20. 8.'!D36)</f>
        <v>0</v>
      </c>
      <c r="E35" s="48">
        <f>SUM('20.1.'!E35,'20. 2.'!E35,'20. 3'!E36,'20. 4.'!E35,'20.5.'!E35,'20. 6.'!E35,'20.7.'!E35,'20. 8.'!E36)</f>
        <v>0</v>
      </c>
      <c r="F35" s="48">
        <f>SUM('20.1.'!F35,'20. 2.'!F35,'20. 3'!F36,'20. 4.'!F35,'20.5.'!F35,'20. 6.'!F35,'20.7.'!F35,'20. 8.'!F36)</f>
        <v>0</v>
      </c>
      <c r="G35" s="980" t="s">
        <v>263</v>
      </c>
      <c r="H35" s="981"/>
      <c r="I35" s="48">
        <f>SUM('20.1.'!I35,'20. 2.'!I35,'20. 3'!I36,'20. 4.'!I35,'20.5.'!I35,'20. 6.'!I35,'20.7.'!I35,'20. 8.'!I36)</f>
        <v>0</v>
      </c>
      <c r="J35" s="48">
        <f>SUM('20.1.'!J35,'20. 2.'!J35,'20. 3'!J36,'20. 4.'!J35,'20.5.'!J35,'20. 6.'!J35,'20.7.'!J35,'20. 8.'!J36)</f>
        <v>0</v>
      </c>
      <c r="K35" s="48">
        <f>SUM('20.1.'!K35,'20. 2.'!K35,'20. 3'!K36,'20. 4.'!K35,'20.5.'!K35,'20. 6.'!K35,'20.7.'!K35,'20. 8.'!K36)</f>
        <v>0</v>
      </c>
    </row>
    <row r="36" spans="1:12" ht="12" customHeight="1" x14ac:dyDescent="0.2">
      <c r="A36" s="982" t="s">
        <v>262</v>
      </c>
      <c r="B36" s="982"/>
      <c r="C36" s="982"/>
      <c r="D36" s="48">
        <f>SUM('20.1.'!D36,'20. 2.'!D36,'20. 3'!D37,'20. 4.'!D36,'20.5.'!D36,'20. 6.'!D36,'20.7.'!D36,'20. 8.'!D37)</f>
        <v>0</v>
      </c>
      <c r="E36" s="48">
        <f>SUM('20.1.'!E36,'20. 2.'!E36,'20. 3'!E37,'20. 4.'!E36,'20.5.'!E36,'20. 6.'!E36,'20.7.'!E36,'20. 8.'!E37)</f>
        <v>0</v>
      </c>
      <c r="F36" s="48">
        <f>SUM('20.1.'!F36,'20. 2.'!F36,'20. 3'!F37,'20. 4.'!F36,'20.5.'!F36,'20. 6.'!F36,'20.7.'!F36,'20. 8.'!F37)</f>
        <v>0</v>
      </c>
      <c r="G36" s="977" t="s">
        <v>261</v>
      </c>
      <c r="H36" s="977"/>
      <c r="I36" s="48">
        <f>SUM('20.1.'!I36,'20. 2.'!I36,'20. 3'!I37,'20. 4.'!I36,'20.5.'!I36,'20. 6.'!I36,'20.7.'!I36,'20. 8.'!I37)</f>
        <v>68750</v>
      </c>
      <c r="J36" s="48">
        <f>SUM('20.1.'!J36,'20. 2.'!J36,'20. 3'!J37,'20. 4.'!J36,'20.5.'!J36,'20. 6.'!J36,'20.7.'!J36,'20. 8.'!J37)</f>
        <v>70750</v>
      </c>
      <c r="K36" s="48">
        <f>SUM('20.1.'!K36,'20. 2.'!K36,'20. 3'!K37,'20. 4.'!K36,'20.5.'!K36,'20. 6.'!K36,'20.7.'!K36,'20. 8.'!K37)</f>
        <v>72250</v>
      </c>
    </row>
    <row r="37" spans="1:12" ht="12" customHeight="1" x14ac:dyDescent="0.2">
      <c r="A37" s="977" t="s">
        <v>260</v>
      </c>
      <c r="B37" s="977"/>
      <c r="C37" s="977"/>
      <c r="D37" s="48">
        <f>SUM('20.1.'!D37,'20. 2.'!D37,'20. 3'!D38,'20. 4.'!D37,'20.5.'!D37,'20. 6.'!D37,'20.7.'!D37,'20. 8.'!D38)</f>
        <v>68750</v>
      </c>
      <c r="E37" s="48">
        <f>SUM('20.1.'!E37,'20. 2.'!E37,'20. 3'!E38,'20. 4.'!E37,'20.5.'!E37,'20. 6.'!E37,'20.7.'!E37,'20. 8.'!E38)</f>
        <v>70750</v>
      </c>
      <c r="F37" s="48">
        <f>SUM('20.1.'!F37,'20. 2.'!F37,'20. 3'!F38,'20. 4.'!F37,'20.5.'!F37,'20. 6.'!F37,'20.7.'!F37,'20. 8.'!F38)</f>
        <v>72250</v>
      </c>
      <c r="G37" s="977" t="s">
        <v>259</v>
      </c>
      <c r="H37" s="977"/>
      <c r="I37" s="48">
        <f>SUM('20.1.'!I37,'20. 2.'!I37,'20. 3'!I38,'20. 4.'!I37,'20.5.'!I37,'20. 6.'!I37,'20.7.'!I37,'20. 8.'!I38)</f>
        <v>0</v>
      </c>
      <c r="J37" s="48">
        <f>SUM('20.1.'!J37,'20. 2.'!J37,'20. 3'!J38,'20. 4.'!J37,'20.5.'!J37,'20. 6.'!J37,'20.7.'!J37,'20. 8.'!J38)</f>
        <v>0</v>
      </c>
      <c r="K37" s="48">
        <f>SUM('20.1.'!K37,'20. 2.'!K37,'20. 3'!K38,'20. 4.'!K37,'20.5.'!K37,'20. 6.'!K37,'20.7.'!K37,'20. 8.'!K38)</f>
        <v>0</v>
      </c>
    </row>
    <row r="38" spans="1:12" ht="12" customHeight="1" x14ac:dyDescent="0.2">
      <c r="A38" s="993"/>
      <c r="B38" s="993"/>
      <c r="C38" s="993"/>
      <c r="D38" s="3"/>
      <c r="E38" s="16"/>
      <c r="F38" s="16"/>
      <c r="G38" s="977" t="s">
        <v>258</v>
      </c>
      <c r="H38" s="977"/>
      <c r="I38" s="48">
        <f>SUM('20.1.'!I38,'20. 2.'!I38,'20. 3'!I39,'20. 4.'!I38,'20.5.'!I38,'20. 6.'!I38,'20.7.'!I38,'20. 8.'!I39)</f>
        <v>0</v>
      </c>
      <c r="J38" s="48">
        <f>SUM('20.1.'!J38,'20. 2.'!J38,'20. 3'!J39,'20. 4.'!J38,'20.5.'!J38,'20. 6.'!J38,'20.7.'!J38,'20. 8.'!J39)</f>
        <v>0</v>
      </c>
      <c r="K38" s="48">
        <f>SUM('20.1.'!K38,'20. 2.'!K38,'20. 3'!K39,'20. 4.'!K38,'20.5.'!K38,'20. 6.'!K38,'20.7.'!K38,'20. 8.'!K39)</f>
        <v>0</v>
      </c>
    </row>
    <row r="39" spans="1:12" ht="12" customHeight="1" x14ac:dyDescent="0.2">
      <c r="A39" s="21"/>
      <c r="B39" s="58"/>
      <c r="C39" s="56"/>
      <c r="D39" s="59"/>
      <c r="E39" s="60"/>
      <c r="F39" s="60"/>
      <c r="G39" s="54"/>
      <c r="H39" s="55" t="s">
        <v>456</v>
      </c>
      <c r="I39" s="48">
        <f>SUM('20.1.'!I39,'20. 2.'!I39,'20. 3'!I40,'20. 4.'!I39,'20.5.'!I39,'20. 6.'!I39,'20.7.'!I39,'20. 8.'!I40)</f>
        <v>300000</v>
      </c>
      <c r="J39" s="48">
        <f>SUM('20.1.'!J39,'20. 2.'!J39,'20. 3'!J40,'20. 4.'!J39,'20.5.'!J39,'20. 6.'!J39,'20.7.'!J39,'20. 8.'!J40)</f>
        <v>300000</v>
      </c>
      <c r="K39" s="48">
        <f>SUM('20.1.'!K39,'20. 2.'!K39,'20. 3'!K40,'20. 4.'!K39,'20.5.'!K39,'20. 6.'!K39,'20.7.'!K39,'20. 8.'!K40)</f>
        <v>300000</v>
      </c>
    </row>
    <row r="40" spans="1:12" ht="12" customHeight="1" x14ac:dyDescent="0.2">
      <c r="A40" s="985" t="s">
        <v>257</v>
      </c>
      <c r="B40" s="988"/>
      <c r="C40" s="986"/>
      <c r="D40" s="50">
        <f>SUM(D32:D38)</f>
        <v>68750</v>
      </c>
      <c r="E40" s="50">
        <f>SUM(E32:E38)</f>
        <v>70750</v>
      </c>
      <c r="F40" s="50">
        <f>SUM(F32:F38)</f>
        <v>72250</v>
      </c>
      <c r="G40" s="985" t="s">
        <v>256</v>
      </c>
      <c r="H40" s="986"/>
      <c r="I40" s="53">
        <f>SUM(I32:I39)</f>
        <v>573849</v>
      </c>
      <c r="J40" s="53">
        <f>SUM(J32:J39)</f>
        <v>657614</v>
      </c>
      <c r="K40" s="53">
        <f>SUM(K32:K39)</f>
        <v>659114</v>
      </c>
      <c r="L40" s="14"/>
    </row>
    <row r="41" spans="1:12" ht="12" customHeight="1" x14ac:dyDescent="0.2">
      <c r="A41" s="982"/>
      <c r="B41" s="982"/>
      <c r="C41" s="982"/>
      <c r="D41" s="24"/>
      <c r="E41" s="24"/>
      <c r="F41" s="22"/>
      <c r="G41" s="980"/>
      <c r="H41" s="981"/>
      <c r="I41" s="22"/>
      <c r="J41" s="22"/>
      <c r="K41" s="22"/>
      <c r="L41" s="14"/>
    </row>
    <row r="42" spans="1:12" ht="12.75" customHeight="1" x14ac:dyDescent="0.2">
      <c r="A42" s="984" t="s">
        <v>255</v>
      </c>
      <c r="B42" s="984"/>
      <c r="C42" s="984"/>
      <c r="D42" s="51">
        <f>+D40+D30</f>
        <v>321750</v>
      </c>
      <c r="E42" s="51">
        <f>+E40+E30</f>
        <v>326750</v>
      </c>
      <c r="F42" s="51">
        <f>+F40+F30</f>
        <v>331250</v>
      </c>
      <c r="G42" s="985" t="s">
        <v>254</v>
      </c>
      <c r="H42" s="986"/>
      <c r="I42" s="53">
        <f>+I40+I30</f>
        <v>2267732</v>
      </c>
      <c r="J42" s="53">
        <f>+J40+J30</f>
        <v>2203635</v>
      </c>
      <c r="K42" s="53">
        <f>+K40+K30</f>
        <v>2168157</v>
      </c>
      <c r="L42" s="14"/>
    </row>
    <row r="43" spans="1:12" ht="12" customHeight="1" x14ac:dyDescent="0.2">
      <c r="A43" s="982"/>
      <c r="B43" s="982"/>
      <c r="C43" s="982"/>
      <c r="D43" s="23"/>
      <c r="E43" s="23"/>
      <c r="F43" s="22"/>
      <c r="G43" s="990"/>
      <c r="H43" s="991"/>
      <c r="I43" s="22"/>
      <c r="J43" s="22"/>
      <c r="K43" s="22"/>
      <c r="L43" s="14"/>
    </row>
    <row r="44" spans="1:12" ht="12.75" customHeight="1" x14ac:dyDescent="0.2">
      <c r="A44" s="989" t="s">
        <v>253</v>
      </c>
      <c r="B44" s="989"/>
      <c r="C44" s="989"/>
      <c r="D44" s="52">
        <f>+D42+D25</f>
        <v>6451528</v>
      </c>
      <c r="E44" s="52">
        <f>+E42+E25</f>
        <v>6496444</v>
      </c>
      <c r="F44" s="52">
        <f>+F42+F25</f>
        <v>6539935</v>
      </c>
      <c r="G44" s="989" t="s">
        <v>252</v>
      </c>
      <c r="H44" s="989"/>
      <c r="I44" s="53">
        <f>+I42+I25</f>
        <v>6451528</v>
      </c>
      <c r="J44" s="53">
        <f>+J42+J25</f>
        <v>6496444</v>
      </c>
      <c r="K44" s="53">
        <f>+K42+K25</f>
        <v>6539935</v>
      </c>
      <c r="L44" s="14"/>
    </row>
    <row r="47" spans="1:12" x14ac:dyDescent="0.2">
      <c r="D47" s="41"/>
      <c r="E47" s="41"/>
      <c r="F47" s="41"/>
    </row>
    <row r="49" spans="4:6" x14ac:dyDescent="0.2">
      <c r="D49" s="41"/>
      <c r="E49" s="41"/>
      <c r="F49" s="41"/>
    </row>
  </sheetData>
  <mergeCells count="83">
    <mergeCell ref="A2:K2"/>
    <mergeCell ref="G4:K4"/>
    <mergeCell ref="D5:F5"/>
    <mergeCell ref="A5:C6"/>
    <mergeCell ref="A4:F4"/>
    <mergeCell ref="A3:C3"/>
    <mergeCell ref="G3:H3"/>
    <mergeCell ref="I5:K5"/>
    <mergeCell ref="G5:H6"/>
    <mergeCell ref="A8:C8"/>
    <mergeCell ref="A7:C7"/>
    <mergeCell ref="A26:C26"/>
    <mergeCell ref="A16:C16"/>
    <mergeCell ref="A11:C11"/>
    <mergeCell ref="A23:C23"/>
    <mergeCell ref="A20:C20"/>
    <mergeCell ref="A19:C19"/>
    <mergeCell ref="A9:C9"/>
    <mergeCell ref="A21:C21"/>
    <mergeCell ref="A17:C17"/>
    <mergeCell ref="A18:C18"/>
    <mergeCell ref="G42:H42"/>
    <mergeCell ref="A30:C30"/>
    <mergeCell ref="A42:C42"/>
    <mergeCell ref="A40:C40"/>
    <mergeCell ref="A41:C41"/>
    <mergeCell ref="A33:C33"/>
    <mergeCell ref="G30:H30"/>
    <mergeCell ref="G31:H31"/>
    <mergeCell ref="G41:H41"/>
    <mergeCell ref="A38:C38"/>
    <mergeCell ref="A34:C34"/>
    <mergeCell ref="A35:C35"/>
    <mergeCell ref="A32:C32"/>
    <mergeCell ref="A37:C37"/>
    <mergeCell ref="G14:H14"/>
    <mergeCell ref="G12:H12"/>
    <mergeCell ref="A12:C12"/>
    <mergeCell ref="G11:H11"/>
    <mergeCell ref="A10:C10"/>
    <mergeCell ref="G9:H9"/>
    <mergeCell ref="A13:C13"/>
    <mergeCell ref="A14:C14"/>
    <mergeCell ref="A44:C44"/>
    <mergeCell ref="G44:H44"/>
    <mergeCell ref="A43:C43"/>
    <mergeCell ref="G43:H43"/>
    <mergeCell ref="G10:H10"/>
    <mergeCell ref="G27:H27"/>
    <mergeCell ref="G28:H28"/>
    <mergeCell ref="G18:H18"/>
    <mergeCell ref="A22:C22"/>
    <mergeCell ref="G13:H13"/>
    <mergeCell ref="A24:C24"/>
    <mergeCell ref="G15:H15"/>
    <mergeCell ref="A15:C15"/>
    <mergeCell ref="G7:H7"/>
    <mergeCell ref="G40:H40"/>
    <mergeCell ref="G16:H16"/>
    <mergeCell ref="G17:H17"/>
    <mergeCell ref="G22:H22"/>
    <mergeCell ref="G8:H8"/>
    <mergeCell ref="G23:H23"/>
    <mergeCell ref="G25:H25"/>
    <mergeCell ref="G38:H38"/>
    <mergeCell ref="G32:H32"/>
    <mergeCell ref="G33:H33"/>
    <mergeCell ref="G34:H34"/>
    <mergeCell ref="G35:H35"/>
    <mergeCell ref="G36:H36"/>
    <mergeCell ref="G37:H37"/>
    <mergeCell ref="G19:H19"/>
    <mergeCell ref="G20:H20"/>
    <mergeCell ref="G21:H21"/>
    <mergeCell ref="G24:H24"/>
    <mergeCell ref="G26:H26"/>
    <mergeCell ref="A36:C36"/>
    <mergeCell ref="G29:H29"/>
    <mergeCell ref="A29:C29"/>
    <mergeCell ref="A31:C31"/>
    <mergeCell ref="A28:C28"/>
    <mergeCell ref="A27:C27"/>
    <mergeCell ref="A25:C25"/>
  </mergeCells>
  <phoneticPr fontId="12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 Város ÖnkormányzatVÁROS MINDÖSSZESEN&amp;C&amp;"Arial CE,Félkövér"ELŐIRÁNYZAT MÓDOSÍTÁS, TELJESÍTÉS 2015.06.30.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G3" sqref="G3:H3"/>
    </sheetView>
  </sheetViews>
  <sheetFormatPr defaultRowHeight="12.75" x14ac:dyDescent="0.2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 x14ac:dyDescent="0.2">
      <c r="H1" s="34"/>
      <c r="J1" s="13"/>
      <c r="K1" s="13" t="s">
        <v>425</v>
      </c>
      <c r="L1" s="13"/>
    </row>
    <row r="2" spans="1:12" ht="12" customHeight="1" x14ac:dyDescent="0.2">
      <c r="A2" s="996" t="s">
        <v>299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2"/>
    </row>
    <row r="3" spans="1:12" ht="12" customHeight="1" x14ac:dyDescent="0.2">
      <c r="A3" s="1001"/>
      <c r="B3" s="1001"/>
      <c r="C3" s="1001"/>
      <c r="D3" s="33"/>
      <c r="E3" s="33"/>
      <c r="F3" s="7"/>
      <c r="G3" s="1002"/>
      <c r="H3" s="1002"/>
      <c r="J3" s="6"/>
      <c r="K3" s="6" t="s">
        <v>298</v>
      </c>
      <c r="L3" s="6"/>
    </row>
    <row r="4" spans="1:12" ht="12" customHeight="1" x14ac:dyDescent="0.2">
      <c r="A4" s="997" t="s">
        <v>62</v>
      </c>
      <c r="B4" s="997"/>
      <c r="C4" s="997"/>
      <c r="D4" s="997"/>
      <c r="E4" s="997"/>
      <c r="F4" s="997"/>
      <c r="G4" s="997" t="s">
        <v>63</v>
      </c>
      <c r="H4" s="997"/>
      <c r="I4" s="997"/>
      <c r="J4" s="997"/>
      <c r="K4" s="997"/>
      <c r="L4" s="32"/>
    </row>
    <row r="5" spans="1:12" x14ac:dyDescent="0.2">
      <c r="A5" s="819" t="s">
        <v>94</v>
      </c>
      <c r="B5" s="820"/>
      <c r="C5" s="821"/>
      <c r="D5" s="998" t="s">
        <v>297</v>
      </c>
      <c r="E5" s="944"/>
      <c r="F5" s="945"/>
      <c r="G5" s="819" t="s">
        <v>94</v>
      </c>
      <c r="H5" s="821"/>
      <c r="I5" s="817" t="s">
        <v>297</v>
      </c>
      <c r="J5" s="817"/>
      <c r="K5" s="817"/>
      <c r="L5" s="31"/>
    </row>
    <row r="6" spans="1:12" x14ac:dyDescent="0.2">
      <c r="A6" s="941"/>
      <c r="B6" s="999"/>
      <c r="C6" s="1000"/>
      <c r="D6" s="17">
        <v>2016</v>
      </c>
      <c r="E6" s="17">
        <v>2017</v>
      </c>
      <c r="F6" s="17">
        <v>2018</v>
      </c>
      <c r="G6" s="941"/>
      <c r="H6" s="1000"/>
      <c r="I6" s="17">
        <v>2016</v>
      </c>
      <c r="J6" s="17">
        <v>2017</v>
      </c>
      <c r="K6" s="17">
        <v>2018</v>
      </c>
      <c r="L6" s="31"/>
    </row>
    <row r="7" spans="1:12" ht="12" customHeight="1" x14ac:dyDescent="0.2">
      <c r="A7" s="980" t="s">
        <v>296</v>
      </c>
      <c r="B7" s="983"/>
      <c r="C7" s="981"/>
      <c r="D7" s="48">
        <v>820000</v>
      </c>
      <c r="E7" s="48">
        <v>840000</v>
      </c>
      <c r="F7" s="48">
        <v>860000</v>
      </c>
      <c r="G7" s="980" t="s">
        <v>295</v>
      </c>
      <c r="H7" s="981"/>
      <c r="I7" s="22">
        <v>60000</v>
      </c>
      <c r="J7" s="22">
        <v>60000</v>
      </c>
      <c r="K7" s="22">
        <v>60000</v>
      </c>
      <c r="L7" s="14"/>
    </row>
    <row r="8" spans="1:12" ht="12" customHeight="1" x14ac:dyDescent="0.2">
      <c r="A8" s="980" t="s">
        <v>294</v>
      </c>
      <c r="B8" s="983"/>
      <c r="C8" s="981"/>
      <c r="D8" s="48">
        <v>4015000</v>
      </c>
      <c r="E8" s="48">
        <v>4015000</v>
      </c>
      <c r="F8" s="48">
        <v>4015000</v>
      </c>
      <c r="G8" s="982" t="s">
        <v>293</v>
      </c>
      <c r="H8" s="982"/>
      <c r="I8" s="22">
        <v>14200</v>
      </c>
      <c r="J8" s="22">
        <v>14200</v>
      </c>
      <c r="K8" s="22">
        <v>14200</v>
      </c>
      <c r="L8" s="14"/>
    </row>
    <row r="9" spans="1:12" ht="12" customHeight="1" x14ac:dyDescent="0.2">
      <c r="A9" s="980" t="s">
        <v>292</v>
      </c>
      <c r="B9" s="983"/>
      <c r="C9" s="981"/>
      <c r="D9" s="48">
        <v>350000</v>
      </c>
      <c r="E9" s="48">
        <v>350000</v>
      </c>
      <c r="F9" s="48">
        <v>350000</v>
      </c>
      <c r="G9" s="982" t="s">
        <v>291</v>
      </c>
      <c r="H9" s="982"/>
      <c r="I9" s="22">
        <v>900000</v>
      </c>
      <c r="J9" s="22">
        <v>950000</v>
      </c>
      <c r="K9" s="22">
        <v>980000</v>
      </c>
      <c r="L9" s="14"/>
    </row>
    <row r="10" spans="1:12" ht="12" customHeight="1" x14ac:dyDescent="0.2">
      <c r="A10" s="980" t="s">
        <v>290</v>
      </c>
      <c r="B10" s="983"/>
      <c r="C10" s="981"/>
      <c r="D10" s="48">
        <v>60000</v>
      </c>
      <c r="E10" s="48">
        <v>62000</v>
      </c>
      <c r="F10" s="48">
        <v>64000</v>
      </c>
      <c r="G10" s="982" t="s">
        <v>289</v>
      </c>
      <c r="H10" s="982"/>
      <c r="I10" s="22">
        <v>82000</v>
      </c>
      <c r="J10" s="22">
        <v>83000</v>
      </c>
      <c r="K10" s="22">
        <v>84000</v>
      </c>
      <c r="L10" s="14"/>
    </row>
    <row r="11" spans="1:12" ht="12" customHeight="1" x14ac:dyDescent="0.2">
      <c r="A11" s="982"/>
      <c r="B11" s="982"/>
      <c r="C11" s="982"/>
      <c r="D11" s="48"/>
      <c r="E11" s="48"/>
      <c r="F11" s="48"/>
      <c r="G11" s="982" t="s">
        <v>288</v>
      </c>
      <c r="H11" s="982"/>
      <c r="I11" s="22">
        <v>450000</v>
      </c>
      <c r="J11" s="22">
        <v>465000</v>
      </c>
      <c r="K11" s="22">
        <v>470000</v>
      </c>
      <c r="L11" s="14"/>
    </row>
    <row r="12" spans="1:12" ht="12" customHeight="1" x14ac:dyDescent="0.2">
      <c r="A12" s="984"/>
      <c r="B12" s="984"/>
      <c r="C12" s="984"/>
      <c r="D12" s="30"/>
      <c r="E12" s="30"/>
      <c r="F12" s="22"/>
      <c r="G12" s="994" t="s">
        <v>287</v>
      </c>
      <c r="H12" s="995"/>
      <c r="I12" s="22">
        <v>180000</v>
      </c>
      <c r="J12" s="22">
        <v>180000</v>
      </c>
      <c r="K12" s="22">
        <v>180000</v>
      </c>
      <c r="L12" s="14"/>
    </row>
    <row r="13" spans="1:12" ht="12" customHeight="1" x14ac:dyDescent="0.2">
      <c r="A13" s="987"/>
      <c r="B13" s="987"/>
      <c r="C13" s="987"/>
      <c r="D13" s="28"/>
      <c r="E13" s="28"/>
      <c r="F13" s="22"/>
      <c r="G13" s="980" t="s">
        <v>286</v>
      </c>
      <c r="H13" s="981"/>
      <c r="I13" s="22"/>
      <c r="J13" s="22"/>
      <c r="K13" s="22"/>
      <c r="L13" s="14"/>
    </row>
    <row r="14" spans="1:12" ht="23.25" customHeight="1" x14ac:dyDescent="0.2">
      <c r="A14" s="985" t="s">
        <v>285</v>
      </c>
      <c r="B14" s="988"/>
      <c r="C14" s="986"/>
      <c r="D14" s="46">
        <f>SUM(D7:D10)</f>
        <v>5245000</v>
      </c>
      <c r="E14" s="46">
        <f>SUM(E7:E10)</f>
        <v>5267000</v>
      </c>
      <c r="F14" s="46">
        <f>SUM(F7:F10)</f>
        <v>5289000</v>
      </c>
      <c r="G14" s="985" t="s">
        <v>284</v>
      </c>
      <c r="H14" s="986"/>
      <c r="I14" s="53">
        <f>SUM(I7:I11)</f>
        <v>1506200</v>
      </c>
      <c r="J14" s="53">
        <f>SUM(J7:J11)</f>
        <v>1572200</v>
      </c>
      <c r="K14" s="53">
        <f>SUM(K7:K11)</f>
        <v>1608200</v>
      </c>
      <c r="L14" s="14"/>
    </row>
    <row r="15" spans="1:12" ht="12" customHeight="1" x14ac:dyDescent="0.2">
      <c r="A15" s="980"/>
      <c r="B15" s="983"/>
      <c r="C15" s="981"/>
      <c r="D15" s="29"/>
      <c r="E15" s="29"/>
      <c r="F15" s="22"/>
      <c r="G15" s="980"/>
      <c r="H15" s="981"/>
      <c r="I15" s="22"/>
      <c r="J15" s="22"/>
      <c r="K15" s="22"/>
      <c r="L15" s="14"/>
    </row>
    <row r="16" spans="1:12" ht="12" customHeight="1" x14ac:dyDescent="0.2">
      <c r="A16" s="980" t="s">
        <v>270</v>
      </c>
      <c r="B16" s="983"/>
      <c r="C16" s="981"/>
      <c r="D16" s="3"/>
      <c r="E16" s="16"/>
      <c r="F16" s="16"/>
      <c r="G16" s="980" t="s">
        <v>283</v>
      </c>
      <c r="H16" s="981"/>
      <c r="I16" s="4"/>
      <c r="J16" s="4"/>
      <c r="K16" s="4"/>
    </row>
    <row r="17" spans="1:12" ht="12" customHeight="1" x14ac:dyDescent="0.2">
      <c r="A17" s="977" t="s">
        <v>268</v>
      </c>
      <c r="B17" s="977"/>
      <c r="C17" s="977"/>
      <c r="D17" s="3"/>
      <c r="E17" s="16"/>
      <c r="F17" s="16"/>
      <c r="G17" s="977" t="s">
        <v>267</v>
      </c>
      <c r="H17" s="977"/>
      <c r="I17" s="4"/>
      <c r="J17" s="4"/>
      <c r="K17" s="4"/>
    </row>
    <row r="18" spans="1:12" ht="12" customHeight="1" x14ac:dyDescent="0.2">
      <c r="A18" s="977" t="s">
        <v>266</v>
      </c>
      <c r="B18" s="977"/>
      <c r="C18" s="977"/>
      <c r="D18" s="3"/>
      <c r="E18" s="26"/>
      <c r="F18" s="26"/>
      <c r="G18" s="992" t="s">
        <v>282</v>
      </c>
      <c r="H18" s="992"/>
      <c r="I18" s="4"/>
      <c r="J18" s="4"/>
      <c r="K18" s="4"/>
    </row>
    <row r="19" spans="1:12" ht="12" customHeight="1" x14ac:dyDescent="0.2">
      <c r="A19" s="982" t="s">
        <v>264</v>
      </c>
      <c r="B19" s="982"/>
      <c r="C19" s="982"/>
      <c r="D19" s="3"/>
      <c r="E19" s="16"/>
      <c r="F19" s="16"/>
      <c r="G19" s="977" t="s">
        <v>263</v>
      </c>
      <c r="H19" s="977"/>
      <c r="I19" s="4"/>
      <c r="J19" s="4"/>
      <c r="K19" s="4"/>
    </row>
    <row r="20" spans="1:12" ht="12" customHeight="1" x14ac:dyDescent="0.2">
      <c r="A20" s="982" t="s">
        <v>262</v>
      </c>
      <c r="B20" s="982"/>
      <c r="C20" s="982"/>
      <c r="D20" s="3"/>
      <c r="E20" s="16"/>
      <c r="F20" s="16"/>
      <c r="G20" s="977" t="s">
        <v>261</v>
      </c>
      <c r="H20" s="977"/>
      <c r="I20" s="22">
        <f>SUM('20. 2.'!D21,'20. 3'!D22,'20. 4.'!D21,'20.5.'!D21,'20. 6.'!D21,'20.7.'!D21,'20. 8.'!D22)</f>
        <v>1792818</v>
      </c>
      <c r="J20" s="22">
        <f>SUM('20. 2.'!E21,'20. 3'!E22,'20. 4.'!E21,'20.5.'!E21,'20. 6.'!E21,'20.7.'!E21,'20. 8.'!E22)</f>
        <v>1817915</v>
      </c>
      <c r="K20" s="22">
        <f>SUM('20. 2.'!F21,'20. 3'!F22,'20. 4.'!F21,'20.5.'!F21,'20. 6.'!F21,'20.7.'!F21,'20. 8.'!F22)</f>
        <v>1843893</v>
      </c>
    </row>
    <row r="21" spans="1:12" ht="12" customHeight="1" x14ac:dyDescent="0.2">
      <c r="A21" s="977" t="s">
        <v>260</v>
      </c>
      <c r="B21" s="977"/>
      <c r="C21" s="977"/>
      <c r="D21" s="3"/>
      <c r="E21" s="16"/>
      <c r="F21" s="16"/>
      <c r="G21" s="977" t="s">
        <v>259</v>
      </c>
      <c r="H21" s="977"/>
      <c r="I21" s="4"/>
      <c r="J21" s="4"/>
      <c r="K21" s="4"/>
    </row>
    <row r="22" spans="1:12" ht="12" customHeight="1" x14ac:dyDescent="0.2">
      <c r="A22" s="993"/>
      <c r="B22" s="993"/>
      <c r="C22" s="993"/>
      <c r="D22" s="3"/>
      <c r="E22" s="16"/>
      <c r="F22" s="16"/>
      <c r="G22" s="977" t="s">
        <v>258</v>
      </c>
      <c r="H22" s="977"/>
      <c r="I22" s="4"/>
      <c r="J22" s="4"/>
      <c r="K22" s="4"/>
    </row>
    <row r="23" spans="1:12" ht="12" customHeight="1" x14ac:dyDescent="0.2">
      <c r="A23" s="984" t="s">
        <v>281</v>
      </c>
      <c r="B23" s="984"/>
      <c r="C23" s="984"/>
      <c r="D23" s="46">
        <f>SUM(D16:D21)</f>
        <v>0</v>
      </c>
      <c r="E23" s="46">
        <f>SUM(E16:E21)</f>
        <v>0</v>
      </c>
      <c r="F23" s="46">
        <f>SUM(F16:F21)</f>
        <v>0</v>
      </c>
      <c r="G23" s="985" t="s">
        <v>280</v>
      </c>
      <c r="H23" s="986"/>
      <c r="I23" s="53">
        <f>SUM(I16:I22)</f>
        <v>1792818</v>
      </c>
      <c r="J23" s="53">
        <f>SUM(J16:J22)</f>
        <v>1817915</v>
      </c>
      <c r="K23" s="53">
        <f>SUM(K16:K22)</f>
        <v>1843893</v>
      </c>
      <c r="L23" s="14"/>
    </row>
    <row r="24" spans="1:12" ht="12" customHeight="1" x14ac:dyDescent="0.2">
      <c r="A24" s="987"/>
      <c r="B24" s="987"/>
      <c r="C24" s="987"/>
      <c r="D24" s="28"/>
      <c r="E24" s="28"/>
      <c r="F24" s="22"/>
      <c r="G24" s="978"/>
      <c r="H24" s="979"/>
      <c r="I24" s="22"/>
      <c r="J24" s="22"/>
      <c r="K24" s="22"/>
      <c r="L24" s="14"/>
    </row>
    <row r="25" spans="1:12" ht="12" customHeight="1" x14ac:dyDescent="0.2">
      <c r="A25" s="984" t="s">
        <v>279</v>
      </c>
      <c r="B25" s="984"/>
      <c r="C25" s="984"/>
      <c r="D25" s="46">
        <f>+D23+D14</f>
        <v>5245000</v>
      </c>
      <c r="E25" s="46">
        <f>+E23+E14</f>
        <v>5267000</v>
      </c>
      <c r="F25" s="46">
        <f>+F23+F14</f>
        <v>5289000</v>
      </c>
      <c r="G25" s="985" t="s">
        <v>278</v>
      </c>
      <c r="H25" s="986"/>
      <c r="I25" s="53">
        <f>+I23+I14</f>
        <v>3299018</v>
      </c>
      <c r="J25" s="53">
        <f>+J23+J14</f>
        <v>3390115</v>
      </c>
      <c r="K25" s="53">
        <f>+K23+K14</f>
        <v>3452093</v>
      </c>
      <c r="L25" s="14"/>
    </row>
    <row r="26" spans="1:12" ht="12" customHeight="1" x14ac:dyDescent="0.2">
      <c r="A26" s="982"/>
      <c r="B26" s="982"/>
      <c r="C26" s="982"/>
      <c r="D26" s="23"/>
      <c r="E26" s="23"/>
      <c r="F26" s="22"/>
      <c r="G26" s="980"/>
      <c r="H26" s="981"/>
      <c r="I26" s="22"/>
      <c r="J26" s="22"/>
      <c r="K26" s="22"/>
      <c r="L26" s="14"/>
    </row>
    <row r="27" spans="1:12" ht="12.75" customHeight="1" x14ac:dyDescent="0.2">
      <c r="A27" s="980" t="s">
        <v>277</v>
      </c>
      <c r="B27" s="983"/>
      <c r="C27" s="981"/>
      <c r="D27" s="48">
        <v>15000</v>
      </c>
      <c r="E27" s="48">
        <v>18000</v>
      </c>
      <c r="F27" s="48">
        <v>21000</v>
      </c>
      <c r="G27" s="980" t="s">
        <v>276</v>
      </c>
      <c r="H27" s="981"/>
      <c r="I27" s="22">
        <v>1375133</v>
      </c>
      <c r="J27" s="22">
        <v>1215271</v>
      </c>
      <c r="K27" s="22">
        <v>1171793</v>
      </c>
      <c r="L27" s="14"/>
    </row>
    <row r="28" spans="1:12" ht="12" customHeight="1" x14ac:dyDescent="0.2">
      <c r="A28" s="980" t="s">
        <v>275</v>
      </c>
      <c r="B28" s="983"/>
      <c r="C28" s="981"/>
      <c r="D28" s="48">
        <v>200000</v>
      </c>
      <c r="E28" s="48">
        <v>200000</v>
      </c>
      <c r="F28" s="48">
        <v>200000</v>
      </c>
      <c r="G28" s="980" t="s">
        <v>215</v>
      </c>
      <c r="H28" s="981"/>
      <c r="I28" s="22">
        <v>170000</v>
      </c>
      <c r="J28" s="22">
        <v>175000</v>
      </c>
      <c r="K28" s="22">
        <v>180000</v>
      </c>
      <c r="L28" s="14"/>
    </row>
    <row r="29" spans="1:12" ht="12" customHeight="1" x14ac:dyDescent="0.2">
      <c r="A29" s="982" t="s">
        <v>274</v>
      </c>
      <c r="B29" s="982"/>
      <c r="C29" s="982"/>
      <c r="D29" s="48">
        <v>38000</v>
      </c>
      <c r="E29" s="48">
        <v>38000</v>
      </c>
      <c r="F29" s="48">
        <v>38000</v>
      </c>
      <c r="G29" s="980" t="s">
        <v>273</v>
      </c>
      <c r="H29" s="981"/>
      <c r="I29" s="22">
        <v>80000</v>
      </c>
      <c r="J29" s="22">
        <v>85000</v>
      </c>
      <c r="K29" s="22">
        <v>85000</v>
      </c>
      <c r="L29" s="14"/>
    </row>
    <row r="30" spans="1:12" ht="24" customHeight="1" x14ac:dyDescent="0.2">
      <c r="A30" s="985" t="s">
        <v>272</v>
      </c>
      <c r="B30" s="988"/>
      <c r="C30" s="986"/>
      <c r="D30" s="46">
        <f>SUM(D27:D29)</f>
        <v>253000</v>
      </c>
      <c r="E30" s="46">
        <f>SUM(E27:E29)</f>
        <v>256000</v>
      </c>
      <c r="F30" s="46">
        <f>SUM(F27:F29)</f>
        <v>259000</v>
      </c>
      <c r="G30" s="985" t="s">
        <v>271</v>
      </c>
      <c r="H30" s="986"/>
      <c r="I30" s="53">
        <f>SUM(I27:I29)</f>
        <v>1625133</v>
      </c>
      <c r="J30" s="53">
        <f>SUM(J27:J29)</f>
        <v>1475271</v>
      </c>
      <c r="K30" s="53">
        <f>SUM(K27:K29)</f>
        <v>1436793</v>
      </c>
      <c r="L30" s="14"/>
    </row>
    <row r="31" spans="1:12" ht="12" customHeight="1" x14ac:dyDescent="0.2">
      <c r="A31" s="982"/>
      <c r="B31" s="982"/>
      <c r="C31" s="982"/>
      <c r="D31" s="24"/>
      <c r="E31" s="24"/>
      <c r="F31" s="22"/>
      <c r="G31" s="980"/>
      <c r="H31" s="981"/>
      <c r="I31" s="22"/>
      <c r="J31" s="22"/>
      <c r="K31" s="22"/>
      <c r="L31" s="14"/>
    </row>
    <row r="32" spans="1:12" ht="12" customHeight="1" x14ac:dyDescent="0.2">
      <c r="A32" s="980" t="s">
        <v>270</v>
      </c>
      <c r="B32" s="983"/>
      <c r="C32" s="981"/>
      <c r="D32" s="3"/>
      <c r="E32" s="16"/>
      <c r="F32" s="16"/>
      <c r="G32" s="980" t="s">
        <v>269</v>
      </c>
      <c r="H32" s="981"/>
      <c r="I32" s="22">
        <v>205099</v>
      </c>
      <c r="J32" s="22">
        <v>286864</v>
      </c>
      <c r="K32" s="22">
        <v>286864</v>
      </c>
    </row>
    <row r="33" spans="1:12" ht="12" customHeight="1" x14ac:dyDescent="0.2">
      <c r="A33" s="977" t="s">
        <v>268</v>
      </c>
      <c r="B33" s="977"/>
      <c r="C33" s="977"/>
      <c r="D33" s="3"/>
      <c r="E33" s="16"/>
      <c r="F33" s="16"/>
      <c r="G33" s="977" t="s">
        <v>267</v>
      </c>
      <c r="H33" s="977"/>
      <c r="I33" s="4"/>
      <c r="J33" s="4"/>
      <c r="K33" s="4"/>
    </row>
    <row r="34" spans="1:12" ht="12" customHeight="1" x14ac:dyDescent="0.2">
      <c r="A34" s="977" t="s">
        <v>266</v>
      </c>
      <c r="B34" s="977"/>
      <c r="C34" s="977"/>
      <c r="D34" s="3"/>
      <c r="E34" s="26"/>
      <c r="F34" s="26"/>
      <c r="G34" s="980" t="s">
        <v>265</v>
      </c>
      <c r="H34" s="981"/>
      <c r="I34" s="4"/>
      <c r="J34" s="4"/>
      <c r="K34" s="4"/>
    </row>
    <row r="35" spans="1:12" ht="12" customHeight="1" x14ac:dyDescent="0.2">
      <c r="A35" s="982" t="s">
        <v>264</v>
      </c>
      <c r="B35" s="982"/>
      <c r="C35" s="982"/>
      <c r="D35" s="3"/>
      <c r="E35" s="16"/>
      <c r="F35" s="16"/>
      <c r="G35" s="980" t="s">
        <v>263</v>
      </c>
      <c r="H35" s="981"/>
      <c r="I35" s="4"/>
      <c r="J35" s="4"/>
      <c r="K35" s="4"/>
    </row>
    <row r="36" spans="1:12" ht="12" customHeight="1" x14ac:dyDescent="0.2">
      <c r="A36" s="982" t="s">
        <v>262</v>
      </c>
      <c r="B36" s="982"/>
      <c r="C36" s="982"/>
      <c r="D36" s="3"/>
      <c r="E36" s="16"/>
      <c r="F36" s="16"/>
      <c r="G36" s="977" t="s">
        <v>261</v>
      </c>
      <c r="H36" s="977"/>
      <c r="I36" s="22">
        <f>SUM('20. 2.'!D37,'20. 3'!D38,'20. 4.'!D37,'20.5.'!D37,'20. 6.'!D37,'20.7.'!D37,'20. 8.'!D38)</f>
        <v>68750</v>
      </c>
      <c r="J36" s="22">
        <f>SUM('20. 2.'!E37,'20. 3'!E38,'20. 4.'!E37,'20.5.'!E37,'20. 6.'!E37,'20.7.'!E37,'20. 8.'!E38)</f>
        <v>70750</v>
      </c>
      <c r="K36" s="22">
        <f>SUM('20. 2.'!F37,'20. 3'!F38,'20. 4.'!F37,'20.5.'!F37,'20. 6.'!F37,'20.7.'!F37,'20. 8.'!F38)</f>
        <v>72250</v>
      </c>
    </row>
    <row r="37" spans="1:12" ht="12" customHeight="1" x14ac:dyDescent="0.2">
      <c r="A37" s="977" t="s">
        <v>260</v>
      </c>
      <c r="B37" s="977"/>
      <c r="C37" s="977"/>
      <c r="D37" s="3"/>
      <c r="E37" s="16"/>
      <c r="F37" s="16"/>
      <c r="G37" s="977" t="s">
        <v>259</v>
      </c>
      <c r="H37" s="977"/>
      <c r="I37" s="4"/>
      <c r="J37" s="4"/>
      <c r="K37" s="4"/>
    </row>
    <row r="38" spans="1:12" ht="12" customHeight="1" x14ac:dyDescent="0.2">
      <c r="A38" s="993"/>
      <c r="B38" s="993"/>
      <c r="C38" s="993"/>
      <c r="D38" s="3"/>
      <c r="E38" s="16"/>
      <c r="F38" s="16"/>
      <c r="G38" s="977" t="s">
        <v>258</v>
      </c>
      <c r="H38" s="977"/>
      <c r="I38" s="4"/>
      <c r="J38" s="4"/>
      <c r="K38" s="4"/>
    </row>
    <row r="39" spans="1:12" ht="12" customHeight="1" x14ac:dyDescent="0.2">
      <c r="A39" s="21"/>
      <c r="B39" s="58"/>
      <c r="C39" s="56"/>
      <c r="D39" s="59"/>
      <c r="E39" s="60"/>
      <c r="F39" s="16"/>
      <c r="G39" s="54"/>
      <c r="H39" s="55" t="s">
        <v>456</v>
      </c>
      <c r="I39" s="22">
        <v>300000</v>
      </c>
      <c r="J39" s="22">
        <v>300000</v>
      </c>
      <c r="K39" s="22">
        <v>300000</v>
      </c>
    </row>
    <row r="40" spans="1:12" ht="12" customHeight="1" x14ac:dyDescent="0.2">
      <c r="A40" s="985" t="s">
        <v>257</v>
      </c>
      <c r="B40" s="988"/>
      <c r="C40" s="986"/>
      <c r="D40" s="25"/>
      <c r="E40" s="25"/>
      <c r="F40" s="23"/>
      <c r="G40" s="985" t="s">
        <v>256</v>
      </c>
      <c r="H40" s="986"/>
      <c r="I40" s="53">
        <f>SUM(I32:I39)</f>
        <v>573849</v>
      </c>
      <c r="J40" s="53">
        <f>SUM(J32:J39)</f>
        <v>657614</v>
      </c>
      <c r="K40" s="53">
        <f>SUM(K32:K39)</f>
        <v>659114</v>
      </c>
      <c r="L40" s="14"/>
    </row>
    <row r="41" spans="1:12" ht="12" customHeight="1" x14ac:dyDescent="0.2">
      <c r="A41" s="982"/>
      <c r="B41" s="982"/>
      <c r="C41" s="982"/>
      <c r="D41" s="24"/>
      <c r="E41" s="24"/>
      <c r="F41" s="22"/>
      <c r="G41" s="980"/>
      <c r="H41" s="981"/>
      <c r="I41" s="22"/>
      <c r="J41" s="22"/>
      <c r="K41" s="22"/>
      <c r="L41" s="14"/>
    </row>
    <row r="42" spans="1:12" ht="12.75" customHeight="1" x14ac:dyDescent="0.2">
      <c r="A42" s="984" t="s">
        <v>255</v>
      </c>
      <c r="B42" s="984"/>
      <c r="C42" s="984"/>
      <c r="D42" s="46">
        <f>+D40+D30</f>
        <v>253000</v>
      </c>
      <c r="E42" s="46">
        <f>+E40+E30</f>
        <v>256000</v>
      </c>
      <c r="F42" s="46">
        <f>+F40+F30</f>
        <v>259000</v>
      </c>
      <c r="G42" s="985" t="s">
        <v>254</v>
      </c>
      <c r="H42" s="986"/>
      <c r="I42" s="53">
        <f>+I40+I30</f>
        <v>2198982</v>
      </c>
      <c r="J42" s="53">
        <f>+J40+J30</f>
        <v>2132885</v>
      </c>
      <c r="K42" s="53">
        <f>+K40+K30</f>
        <v>2095907</v>
      </c>
      <c r="L42" s="14"/>
    </row>
    <row r="43" spans="1:12" ht="12" customHeight="1" x14ac:dyDescent="0.2">
      <c r="A43" s="982"/>
      <c r="B43" s="982"/>
      <c r="C43" s="982"/>
      <c r="D43" s="23"/>
      <c r="E43" s="23"/>
      <c r="F43" s="22"/>
      <c r="G43" s="990"/>
      <c r="H43" s="991"/>
      <c r="I43" s="22"/>
      <c r="J43" s="22"/>
      <c r="K43" s="22"/>
      <c r="L43" s="14"/>
    </row>
    <row r="44" spans="1:12" ht="12.75" customHeight="1" x14ac:dyDescent="0.2">
      <c r="A44" s="989" t="s">
        <v>253</v>
      </c>
      <c r="B44" s="989"/>
      <c r="C44" s="989"/>
      <c r="D44" s="46">
        <f>+D42+D25</f>
        <v>5498000</v>
      </c>
      <c r="E44" s="46">
        <f>+E42+E25</f>
        <v>5523000</v>
      </c>
      <c r="F44" s="46">
        <f>+F42+F25</f>
        <v>5548000</v>
      </c>
      <c r="G44" s="989" t="s">
        <v>252</v>
      </c>
      <c r="H44" s="989"/>
      <c r="I44" s="53">
        <f>+I42+I25</f>
        <v>5498000</v>
      </c>
      <c r="J44" s="53">
        <f>+J42+J25</f>
        <v>5523000</v>
      </c>
      <c r="K44" s="53">
        <f>+K42+K25</f>
        <v>5548000</v>
      </c>
      <c r="L44" s="14"/>
    </row>
    <row r="46" spans="1:12" x14ac:dyDescent="0.2">
      <c r="D46" s="41"/>
      <c r="I46" s="41"/>
      <c r="J46" s="41"/>
      <c r="K46" s="41"/>
    </row>
  </sheetData>
  <mergeCells count="83">
    <mergeCell ref="A40:C40"/>
    <mergeCell ref="G40:H40"/>
    <mergeCell ref="A44:C44"/>
    <mergeCell ref="G44:H44"/>
    <mergeCell ref="A41:C41"/>
    <mergeCell ref="G41:H41"/>
    <mergeCell ref="A42:C42"/>
    <mergeCell ref="G42:H42"/>
    <mergeCell ref="A43:C43"/>
    <mergeCell ref="G43:H43"/>
    <mergeCell ref="A37:C37"/>
    <mergeCell ref="G37:H37"/>
    <mergeCell ref="A38:C38"/>
    <mergeCell ref="G38:H38"/>
    <mergeCell ref="A35:C35"/>
    <mergeCell ref="G35:H35"/>
    <mergeCell ref="A36:C36"/>
    <mergeCell ref="G36:H36"/>
    <mergeCell ref="A33:C33"/>
    <mergeCell ref="G33:H33"/>
    <mergeCell ref="A34:C34"/>
    <mergeCell ref="G34:H34"/>
    <mergeCell ref="A31:C31"/>
    <mergeCell ref="G31:H31"/>
    <mergeCell ref="A32:C32"/>
    <mergeCell ref="G32:H32"/>
    <mergeCell ref="A29:C29"/>
    <mergeCell ref="G29:H29"/>
    <mergeCell ref="A30:C30"/>
    <mergeCell ref="G30:H30"/>
    <mergeCell ref="A27:C27"/>
    <mergeCell ref="G27:H27"/>
    <mergeCell ref="A28:C28"/>
    <mergeCell ref="G28:H28"/>
    <mergeCell ref="A25:C25"/>
    <mergeCell ref="G25:H25"/>
    <mergeCell ref="A26:C26"/>
    <mergeCell ref="G26:H26"/>
    <mergeCell ref="A23:C23"/>
    <mergeCell ref="G23:H23"/>
    <mergeCell ref="A24:C24"/>
    <mergeCell ref="G24:H24"/>
    <mergeCell ref="A21:C21"/>
    <mergeCell ref="G21:H21"/>
    <mergeCell ref="A22:C22"/>
    <mergeCell ref="G22:H22"/>
    <mergeCell ref="A19:C19"/>
    <mergeCell ref="G19:H19"/>
    <mergeCell ref="A20:C20"/>
    <mergeCell ref="G20:H20"/>
    <mergeCell ref="A17:C17"/>
    <mergeCell ref="G17:H17"/>
    <mergeCell ref="A18:C18"/>
    <mergeCell ref="G18:H18"/>
    <mergeCell ref="A15:C15"/>
    <mergeCell ref="G15:H15"/>
    <mergeCell ref="A16:C16"/>
    <mergeCell ref="G16:H16"/>
    <mergeCell ref="A13:C13"/>
    <mergeCell ref="G13:H13"/>
    <mergeCell ref="A14:C14"/>
    <mergeCell ref="G14:H14"/>
    <mergeCell ref="A11:C11"/>
    <mergeCell ref="G11:H11"/>
    <mergeCell ref="A12:C12"/>
    <mergeCell ref="G12:H12"/>
    <mergeCell ref="A10:C10"/>
    <mergeCell ref="G10:H10"/>
    <mergeCell ref="A7:C7"/>
    <mergeCell ref="G7:H7"/>
    <mergeCell ref="A8:C8"/>
    <mergeCell ref="G8:H8"/>
    <mergeCell ref="A5:C6"/>
    <mergeCell ref="D5:F5"/>
    <mergeCell ref="G5:H6"/>
    <mergeCell ref="I5:K5"/>
    <mergeCell ref="A9:C9"/>
    <mergeCell ref="G9:H9"/>
    <mergeCell ref="A2:K2"/>
    <mergeCell ref="A3:C3"/>
    <mergeCell ref="G3:H3"/>
    <mergeCell ref="A4:F4"/>
    <mergeCell ref="G4:K4"/>
  </mergeCells>
  <phoneticPr fontId="12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 Város Önkormányzat&amp;C&amp;"Arial CE,Félkövér"ELŐIRÁNYZAT MÓDOSÍTÁS, TELJESÍTÉS 2015.06.30.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SheetLayoutView="100" workbookViewId="0">
      <selection activeCell="G5" sqref="G5:H6"/>
    </sheetView>
  </sheetViews>
  <sheetFormatPr defaultRowHeight="12.75" x14ac:dyDescent="0.2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 x14ac:dyDescent="0.2">
      <c r="H1" s="34"/>
      <c r="J1" s="13"/>
      <c r="K1" s="109" t="s">
        <v>810</v>
      </c>
      <c r="L1" s="13"/>
    </row>
    <row r="2" spans="1:12" ht="12" customHeight="1" x14ac:dyDescent="0.2">
      <c r="A2" s="996" t="s">
        <v>299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2"/>
    </row>
    <row r="3" spans="1:12" ht="12" customHeight="1" x14ac:dyDescent="0.2">
      <c r="A3" s="1001"/>
      <c r="B3" s="1001"/>
      <c r="C3" s="1001"/>
      <c r="D3" s="33"/>
      <c r="E3" s="33"/>
      <c r="F3" s="7"/>
      <c r="G3" s="1002"/>
      <c r="H3" s="1002"/>
      <c r="J3" s="6"/>
      <c r="K3" s="6" t="s">
        <v>298</v>
      </c>
      <c r="L3" s="6"/>
    </row>
    <row r="4" spans="1:12" ht="12" customHeight="1" x14ac:dyDescent="0.2">
      <c r="A4" s="997" t="s">
        <v>62</v>
      </c>
      <c r="B4" s="997"/>
      <c r="C4" s="997"/>
      <c r="D4" s="997"/>
      <c r="E4" s="997"/>
      <c r="F4" s="997"/>
      <c r="G4" s="997" t="s">
        <v>63</v>
      </c>
      <c r="H4" s="997"/>
      <c r="I4" s="997"/>
      <c r="J4" s="997"/>
      <c r="K4" s="997"/>
      <c r="L4" s="32"/>
    </row>
    <row r="5" spans="1:12" x14ac:dyDescent="0.2">
      <c r="A5" s="819" t="s">
        <v>94</v>
      </c>
      <c r="B5" s="820"/>
      <c r="C5" s="821"/>
      <c r="D5" s="998" t="s">
        <v>297</v>
      </c>
      <c r="E5" s="944"/>
      <c r="F5" s="945"/>
      <c r="G5" s="819" t="s">
        <v>94</v>
      </c>
      <c r="H5" s="821"/>
      <c r="I5" s="817" t="s">
        <v>297</v>
      </c>
      <c r="J5" s="817"/>
      <c r="K5" s="817"/>
      <c r="L5" s="31"/>
    </row>
    <row r="6" spans="1:12" x14ac:dyDescent="0.2">
      <c r="A6" s="941"/>
      <c r="B6" s="999"/>
      <c r="C6" s="1000"/>
      <c r="D6" s="17">
        <v>2016</v>
      </c>
      <c r="E6" s="17">
        <v>2017</v>
      </c>
      <c r="F6" s="17">
        <v>2018</v>
      </c>
      <c r="G6" s="941"/>
      <c r="H6" s="1000"/>
      <c r="I6" s="70">
        <v>2016</v>
      </c>
      <c r="J6" s="70">
        <v>2017</v>
      </c>
      <c r="K6" s="70">
        <v>2018</v>
      </c>
      <c r="L6" s="31"/>
    </row>
    <row r="7" spans="1:12" ht="12" customHeight="1" x14ac:dyDescent="0.2">
      <c r="A7" s="980" t="s">
        <v>296</v>
      </c>
      <c r="B7" s="983"/>
      <c r="C7" s="981"/>
      <c r="D7" s="24"/>
      <c r="E7" s="24"/>
      <c r="F7" s="22"/>
      <c r="G7" s="980" t="s">
        <v>295</v>
      </c>
      <c r="H7" s="981"/>
      <c r="I7" s="22">
        <v>250000</v>
      </c>
      <c r="J7" s="22">
        <v>255000</v>
      </c>
      <c r="K7" s="22">
        <v>260000</v>
      </c>
      <c r="L7" s="14"/>
    </row>
    <row r="8" spans="1:12" ht="12" customHeight="1" x14ac:dyDescent="0.2">
      <c r="A8" s="980" t="s">
        <v>294</v>
      </c>
      <c r="B8" s="983"/>
      <c r="C8" s="981"/>
      <c r="D8" s="61">
        <v>5200</v>
      </c>
      <c r="E8" s="61">
        <v>5400</v>
      </c>
      <c r="F8" s="61">
        <v>5600</v>
      </c>
      <c r="G8" s="982" t="s">
        <v>293</v>
      </c>
      <c r="H8" s="982"/>
      <c r="I8" s="22">
        <v>67500</v>
      </c>
      <c r="J8" s="22">
        <v>68650</v>
      </c>
      <c r="K8" s="22">
        <v>70200</v>
      </c>
      <c r="L8" s="14"/>
    </row>
    <row r="9" spans="1:12" ht="12" customHeight="1" x14ac:dyDescent="0.2">
      <c r="A9" s="980" t="s">
        <v>292</v>
      </c>
      <c r="B9" s="983"/>
      <c r="C9" s="981"/>
      <c r="D9" s="61">
        <v>3300</v>
      </c>
      <c r="E9" s="61">
        <v>3500</v>
      </c>
      <c r="F9" s="61">
        <v>3600</v>
      </c>
      <c r="G9" s="982" t="s">
        <v>291</v>
      </c>
      <c r="H9" s="982"/>
      <c r="I9" s="22">
        <v>89000</v>
      </c>
      <c r="J9" s="22">
        <v>91000</v>
      </c>
      <c r="K9" s="22">
        <v>94000</v>
      </c>
      <c r="L9" s="14"/>
    </row>
    <row r="10" spans="1:12" ht="12" customHeight="1" x14ac:dyDescent="0.2">
      <c r="A10" s="980" t="s">
        <v>290</v>
      </c>
      <c r="B10" s="983"/>
      <c r="C10" s="981"/>
      <c r="D10" s="29"/>
      <c r="E10" s="29"/>
      <c r="F10" s="22"/>
      <c r="G10" s="982" t="s">
        <v>289</v>
      </c>
      <c r="H10" s="982"/>
      <c r="I10" s="22"/>
      <c r="J10" s="22"/>
      <c r="K10" s="22"/>
      <c r="L10" s="14"/>
    </row>
    <row r="11" spans="1:12" ht="12" customHeight="1" x14ac:dyDescent="0.2">
      <c r="A11" s="982"/>
      <c r="B11" s="982"/>
      <c r="C11" s="982"/>
      <c r="D11" s="24"/>
      <c r="E11" s="24"/>
      <c r="F11" s="22"/>
      <c r="G11" s="982" t="s">
        <v>288</v>
      </c>
      <c r="H11" s="982"/>
      <c r="I11" s="22"/>
      <c r="J11" s="22"/>
      <c r="K11" s="22"/>
      <c r="L11" s="14"/>
    </row>
    <row r="12" spans="1:12" ht="12" customHeight="1" x14ac:dyDescent="0.2">
      <c r="A12" s="984"/>
      <c r="B12" s="984"/>
      <c r="C12" s="984"/>
      <c r="D12" s="30"/>
      <c r="E12" s="30"/>
      <c r="F12" s="22"/>
      <c r="G12" s="994" t="s">
        <v>287</v>
      </c>
      <c r="H12" s="995"/>
      <c r="I12" s="22"/>
      <c r="J12" s="22"/>
      <c r="K12" s="22"/>
      <c r="L12" s="14"/>
    </row>
    <row r="13" spans="1:12" ht="12" customHeight="1" x14ac:dyDescent="0.2">
      <c r="A13" s="987"/>
      <c r="B13" s="987"/>
      <c r="C13" s="987"/>
      <c r="D13" s="28"/>
      <c r="E13" s="28"/>
      <c r="F13" s="22"/>
      <c r="G13" s="980" t="s">
        <v>286</v>
      </c>
      <c r="H13" s="981"/>
      <c r="I13" s="22"/>
      <c r="J13" s="22"/>
      <c r="K13" s="22"/>
      <c r="L13" s="14"/>
    </row>
    <row r="14" spans="1:12" ht="23.25" customHeight="1" x14ac:dyDescent="0.2">
      <c r="A14" s="985" t="s">
        <v>285</v>
      </c>
      <c r="B14" s="988"/>
      <c r="C14" s="986"/>
      <c r="D14" s="46">
        <f>SUM(D8:D13)</f>
        <v>8500</v>
      </c>
      <c r="E14" s="46">
        <f>SUM(E8:E13)</f>
        <v>8900</v>
      </c>
      <c r="F14" s="46">
        <f>SUM(F8:F13)</f>
        <v>9200</v>
      </c>
      <c r="G14" s="985" t="s">
        <v>284</v>
      </c>
      <c r="H14" s="986"/>
      <c r="I14" s="53">
        <f>SUM(I7:I11)</f>
        <v>406500</v>
      </c>
      <c r="J14" s="53">
        <f>SUM(J7:J11)</f>
        <v>414650</v>
      </c>
      <c r="K14" s="53">
        <f>SUM(K7:K11)</f>
        <v>424200</v>
      </c>
      <c r="L14" s="14"/>
    </row>
    <row r="15" spans="1:12" ht="12" customHeight="1" x14ac:dyDescent="0.2">
      <c r="A15" s="980"/>
      <c r="B15" s="983"/>
      <c r="C15" s="981"/>
      <c r="D15" s="29"/>
      <c r="E15" s="29"/>
      <c r="F15" s="22"/>
      <c r="G15" s="980"/>
      <c r="H15" s="981"/>
      <c r="I15" s="22"/>
      <c r="J15" s="22"/>
      <c r="K15" s="22"/>
      <c r="L15" s="14"/>
    </row>
    <row r="16" spans="1:12" ht="12" customHeight="1" x14ac:dyDescent="0.2">
      <c r="A16" s="980" t="s">
        <v>270</v>
      </c>
      <c r="B16" s="983"/>
      <c r="C16" s="981"/>
      <c r="D16" s="3"/>
      <c r="E16" s="16"/>
      <c r="F16" s="16"/>
      <c r="G16" s="980" t="s">
        <v>283</v>
      </c>
      <c r="H16" s="981"/>
      <c r="I16" s="4"/>
      <c r="J16" s="4"/>
      <c r="K16" s="4"/>
    </row>
    <row r="17" spans="1:12" ht="12" customHeight="1" x14ac:dyDescent="0.2">
      <c r="A17" s="977" t="s">
        <v>268</v>
      </c>
      <c r="B17" s="977"/>
      <c r="C17" s="977"/>
      <c r="D17" s="3"/>
      <c r="E17" s="16"/>
      <c r="F17" s="16"/>
      <c r="G17" s="977" t="s">
        <v>267</v>
      </c>
      <c r="H17" s="977"/>
      <c r="I17" s="4"/>
      <c r="J17" s="4"/>
      <c r="K17" s="4"/>
    </row>
    <row r="18" spans="1:12" ht="12" customHeight="1" x14ac:dyDescent="0.2">
      <c r="A18" s="977" t="s">
        <v>266</v>
      </c>
      <c r="B18" s="977"/>
      <c r="C18" s="977"/>
      <c r="D18" s="3"/>
      <c r="E18" s="26"/>
      <c r="F18" s="26"/>
      <c r="G18" s="992" t="s">
        <v>282</v>
      </c>
      <c r="H18" s="992"/>
      <c r="I18" s="4"/>
      <c r="J18" s="4"/>
      <c r="K18" s="4"/>
    </row>
    <row r="19" spans="1:12" ht="12" customHeight="1" x14ac:dyDescent="0.2">
      <c r="A19" s="982" t="s">
        <v>264</v>
      </c>
      <c r="B19" s="982"/>
      <c r="C19" s="982"/>
      <c r="D19" s="3"/>
      <c r="E19" s="16"/>
      <c r="F19" s="16"/>
      <c r="G19" s="977" t="s">
        <v>263</v>
      </c>
      <c r="H19" s="977"/>
      <c r="I19" s="4"/>
      <c r="J19" s="4"/>
      <c r="K19" s="4"/>
    </row>
    <row r="20" spans="1:12" ht="12" customHeight="1" x14ac:dyDescent="0.2">
      <c r="A20" s="982" t="s">
        <v>262</v>
      </c>
      <c r="B20" s="982"/>
      <c r="C20" s="982"/>
      <c r="D20" s="3"/>
      <c r="E20" s="16"/>
      <c r="F20" s="16"/>
      <c r="G20" s="977" t="s">
        <v>261</v>
      </c>
      <c r="H20" s="977"/>
      <c r="I20" s="4"/>
      <c r="J20" s="4"/>
      <c r="K20" s="4"/>
    </row>
    <row r="21" spans="1:12" ht="12" customHeight="1" x14ac:dyDescent="0.2">
      <c r="A21" s="977" t="s">
        <v>260</v>
      </c>
      <c r="B21" s="977"/>
      <c r="C21" s="977"/>
      <c r="D21" s="61">
        <v>398000</v>
      </c>
      <c r="E21" s="61">
        <v>405750</v>
      </c>
      <c r="F21" s="61">
        <v>415000</v>
      </c>
      <c r="G21" s="977" t="s">
        <v>259</v>
      </c>
      <c r="H21" s="977"/>
      <c r="I21" s="4"/>
      <c r="J21" s="4"/>
      <c r="K21" s="4"/>
    </row>
    <row r="22" spans="1:12" ht="12" customHeight="1" x14ac:dyDescent="0.2">
      <c r="A22" s="993"/>
      <c r="B22" s="993"/>
      <c r="C22" s="993"/>
      <c r="D22" s="3"/>
      <c r="E22" s="16"/>
      <c r="F22" s="16"/>
      <c r="G22" s="977" t="s">
        <v>258</v>
      </c>
      <c r="H22" s="977"/>
      <c r="I22" s="4"/>
      <c r="J22" s="4"/>
      <c r="K22" s="4"/>
    </row>
    <row r="23" spans="1:12" ht="12" customHeight="1" x14ac:dyDescent="0.2">
      <c r="A23" s="984" t="s">
        <v>281</v>
      </c>
      <c r="B23" s="984"/>
      <c r="C23" s="984"/>
      <c r="D23" s="46">
        <f>SUM(D16:D21)</f>
        <v>398000</v>
      </c>
      <c r="E23" s="46">
        <f>SUM(E16:E21)</f>
        <v>405750</v>
      </c>
      <c r="F23" s="46">
        <f>SUM(F16:F21)</f>
        <v>415000</v>
      </c>
      <c r="G23" s="985" t="s">
        <v>280</v>
      </c>
      <c r="H23" s="986"/>
      <c r="I23" s="53">
        <f>SUM(I16:I22)</f>
        <v>0</v>
      </c>
      <c r="J23" s="53">
        <f t="shared" ref="J23:K23" si="0">SUM(J16:J22)</f>
        <v>0</v>
      </c>
      <c r="K23" s="53">
        <f t="shared" si="0"/>
        <v>0</v>
      </c>
      <c r="L23" s="14"/>
    </row>
    <row r="24" spans="1:12" ht="12" customHeight="1" x14ac:dyDescent="0.2">
      <c r="A24" s="987"/>
      <c r="B24" s="987"/>
      <c r="C24" s="987"/>
      <c r="D24" s="28"/>
      <c r="E24" s="28"/>
      <c r="F24" s="22"/>
      <c r="G24" s="978"/>
      <c r="H24" s="979"/>
      <c r="I24" s="22"/>
      <c r="J24" s="22"/>
      <c r="K24" s="22"/>
      <c r="L24" s="14"/>
    </row>
    <row r="25" spans="1:12" ht="12" customHeight="1" x14ac:dyDescent="0.2">
      <c r="A25" s="984" t="s">
        <v>279</v>
      </c>
      <c r="B25" s="984"/>
      <c r="C25" s="984"/>
      <c r="D25" s="46">
        <f>+D23+D14</f>
        <v>406500</v>
      </c>
      <c r="E25" s="46">
        <f>+E23+E14</f>
        <v>414650</v>
      </c>
      <c r="F25" s="46">
        <f>+F23+F14</f>
        <v>424200</v>
      </c>
      <c r="G25" s="985" t="s">
        <v>278</v>
      </c>
      <c r="H25" s="986"/>
      <c r="I25" s="53">
        <f>+I23+I14</f>
        <v>406500</v>
      </c>
      <c r="J25" s="53">
        <f>+J23+J14</f>
        <v>414650</v>
      </c>
      <c r="K25" s="53">
        <f>+K23+K14</f>
        <v>424200</v>
      </c>
      <c r="L25" s="14"/>
    </row>
    <row r="26" spans="1:12" ht="12" customHeight="1" x14ac:dyDescent="0.2">
      <c r="A26" s="982"/>
      <c r="B26" s="982"/>
      <c r="C26" s="982"/>
      <c r="D26" s="23"/>
      <c r="E26" s="23"/>
      <c r="F26" s="22"/>
      <c r="G26" s="980"/>
      <c r="H26" s="981"/>
      <c r="I26" s="22"/>
      <c r="J26" s="22"/>
      <c r="K26" s="22"/>
      <c r="L26" s="14"/>
    </row>
    <row r="27" spans="1:12" ht="12.75" customHeight="1" x14ac:dyDescent="0.2">
      <c r="A27" s="980" t="s">
        <v>277</v>
      </c>
      <c r="B27" s="983"/>
      <c r="C27" s="981"/>
      <c r="D27" s="27"/>
      <c r="E27" s="27"/>
      <c r="F27" s="22"/>
      <c r="G27" s="980" t="s">
        <v>276</v>
      </c>
      <c r="H27" s="981"/>
      <c r="I27" s="22">
        <v>10000</v>
      </c>
      <c r="J27" s="22">
        <v>11000</v>
      </c>
      <c r="K27" s="22">
        <v>12000</v>
      </c>
      <c r="L27" s="14"/>
    </row>
    <row r="28" spans="1:12" ht="12" customHeight="1" x14ac:dyDescent="0.2">
      <c r="A28" s="980" t="s">
        <v>275</v>
      </c>
      <c r="B28" s="983"/>
      <c r="C28" s="981"/>
      <c r="D28" s="27"/>
      <c r="E28" s="27"/>
      <c r="F28" s="22"/>
      <c r="G28" s="980" t="s">
        <v>215</v>
      </c>
      <c r="H28" s="981"/>
      <c r="I28" s="22"/>
      <c r="J28" s="22"/>
      <c r="K28" s="22"/>
      <c r="L28" s="14"/>
    </row>
    <row r="29" spans="1:12" ht="12" customHeight="1" x14ac:dyDescent="0.2">
      <c r="A29" s="982" t="s">
        <v>274</v>
      </c>
      <c r="B29" s="982"/>
      <c r="C29" s="982"/>
      <c r="D29" s="24"/>
      <c r="E29" s="24"/>
      <c r="F29" s="22"/>
      <c r="G29" s="980" t="s">
        <v>273</v>
      </c>
      <c r="H29" s="981"/>
      <c r="I29" s="22"/>
      <c r="J29" s="22"/>
      <c r="K29" s="22"/>
      <c r="L29" s="14"/>
    </row>
    <row r="30" spans="1:12" ht="24" customHeight="1" x14ac:dyDescent="0.2">
      <c r="A30" s="985" t="s">
        <v>272</v>
      </c>
      <c r="B30" s="988"/>
      <c r="C30" s="986"/>
      <c r="D30" s="46">
        <f>SUM(D27:D29)</f>
        <v>0</v>
      </c>
      <c r="E30" s="46">
        <f t="shared" ref="E30:F30" si="1">SUM(E27:E29)</f>
        <v>0</v>
      </c>
      <c r="F30" s="46">
        <f t="shared" si="1"/>
        <v>0</v>
      </c>
      <c r="G30" s="985" t="s">
        <v>271</v>
      </c>
      <c r="H30" s="986"/>
      <c r="I30" s="53">
        <f>SUM(I27:I29)</f>
        <v>10000</v>
      </c>
      <c r="J30" s="53">
        <f t="shared" ref="J30:K30" si="2">SUM(J27:J29)</f>
        <v>11000</v>
      </c>
      <c r="K30" s="53">
        <f t="shared" si="2"/>
        <v>12000</v>
      </c>
      <c r="L30" s="14"/>
    </row>
    <row r="31" spans="1:12" ht="12" customHeight="1" x14ac:dyDescent="0.2">
      <c r="A31" s="982"/>
      <c r="B31" s="982"/>
      <c r="C31" s="982"/>
      <c r="D31" s="24"/>
      <c r="E31" s="24"/>
      <c r="F31" s="22"/>
      <c r="G31" s="980"/>
      <c r="H31" s="981"/>
      <c r="I31" s="22"/>
      <c r="J31" s="22"/>
      <c r="K31" s="22"/>
      <c r="L31" s="14"/>
    </row>
    <row r="32" spans="1:12" ht="12" customHeight="1" x14ac:dyDescent="0.2">
      <c r="A32" s="980" t="s">
        <v>270</v>
      </c>
      <c r="B32" s="983"/>
      <c r="C32" s="981"/>
      <c r="D32" s="3"/>
      <c r="E32" s="16"/>
      <c r="F32" s="16"/>
      <c r="G32" s="980" t="s">
        <v>269</v>
      </c>
      <c r="H32" s="981"/>
      <c r="I32" s="4"/>
      <c r="J32" s="4"/>
      <c r="K32" s="4"/>
    </row>
    <row r="33" spans="1:12" ht="12" customHeight="1" x14ac:dyDescent="0.2">
      <c r="A33" s="977" t="s">
        <v>268</v>
      </c>
      <c r="B33" s="977"/>
      <c r="C33" s="977"/>
      <c r="D33" s="3"/>
      <c r="E33" s="16"/>
      <c r="F33" s="16"/>
      <c r="G33" s="977" t="s">
        <v>267</v>
      </c>
      <c r="H33" s="977"/>
      <c r="I33" s="4"/>
      <c r="J33" s="4"/>
      <c r="K33" s="4"/>
    </row>
    <row r="34" spans="1:12" ht="12" customHeight="1" x14ac:dyDescent="0.2">
      <c r="A34" s="977" t="s">
        <v>266</v>
      </c>
      <c r="B34" s="977"/>
      <c r="C34" s="977"/>
      <c r="D34" s="3"/>
      <c r="E34" s="26"/>
      <c r="F34" s="26"/>
      <c r="G34" s="980" t="s">
        <v>265</v>
      </c>
      <c r="H34" s="981"/>
      <c r="I34" s="4"/>
      <c r="J34" s="4"/>
      <c r="K34" s="4"/>
    </row>
    <row r="35" spans="1:12" ht="12" customHeight="1" x14ac:dyDescent="0.2">
      <c r="A35" s="982" t="s">
        <v>264</v>
      </c>
      <c r="B35" s="982"/>
      <c r="C35" s="982"/>
      <c r="D35" s="3"/>
      <c r="E35" s="16"/>
      <c r="F35" s="16"/>
      <c r="G35" s="980" t="s">
        <v>263</v>
      </c>
      <c r="H35" s="981"/>
      <c r="I35" s="4"/>
      <c r="J35" s="4"/>
      <c r="K35" s="4"/>
    </row>
    <row r="36" spans="1:12" ht="12" customHeight="1" x14ac:dyDescent="0.2">
      <c r="A36" s="982" t="s">
        <v>262</v>
      </c>
      <c r="B36" s="982"/>
      <c r="C36" s="982"/>
      <c r="D36" s="3"/>
      <c r="E36" s="16"/>
      <c r="F36" s="16"/>
      <c r="G36" s="977" t="s">
        <v>261</v>
      </c>
      <c r="H36" s="977"/>
      <c r="I36" s="4"/>
      <c r="J36" s="4"/>
      <c r="K36" s="4"/>
    </row>
    <row r="37" spans="1:12" ht="12" customHeight="1" x14ac:dyDescent="0.2">
      <c r="A37" s="977" t="s">
        <v>260</v>
      </c>
      <c r="B37" s="977"/>
      <c r="C37" s="977"/>
      <c r="D37" s="10">
        <v>10000</v>
      </c>
      <c r="E37" s="42">
        <v>11000</v>
      </c>
      <c r="F37" s="42">
        <v>12000</v>
      </c>
      <c r="G37" s="977" t="s">
        <v>259</v>
      </c>
      <c r="H37" s="977"/>
      <c r="I37" s="4"/>
      <c r="J37" s="4"/>
      <c r="K37" s="4"/>
    </row>
    <row r="38" spans="1:12" ht="12" customHeight="1" x14ac:dyDescent="0.2">
      <c r="A38" s="993"/>
      <c r="B38" s="993"/>
      <c r="C38" s="993"/>
      <c r="D38" s="3"/>
      <c r="E38" s="16"/>
      <c r="F38" s="16"/>
      <c r="G38" s="977" t="s">
        <v>258</v>
      </c>
      <c r="H38" s="977"/>
      <c r="I38" s="4"/>
      <c r="J38" s="4"/>
      <c r="K38" s="4"/>
    </row>
    <row r="39" spans="1:12" ht="12" customHeight="1" x14ac:dyDescent="0.2">
      <c r="A39" s="985" t="s">
        <v>257</v>
      </c>
      <c r="B39" s="988"/>
      <c r="C39" s="986"/>
      <c r="D39" s="50">
        <f>SUM(D32:D37)</f>
        <v>10000</v>
      </c>
      <c r="E39" s="50">
        <f t="shared" ref="E39:F39" si="3">SUM(E32:E37)</f>
        <v>11000</v>
      </c>
      <c r="F39" s="50">
        <f t="shared" si="3"/>
        <v>12000</v>
      </c>
      <c r="G39" s="985" t="s">
        <v>256</v>
      </c>
      <c r="H39" s="986"/>
      <c r="I39" s="53">
        <f>SUM(I32:I38)</f>
        <v>0</v>
      </c>
      <c r="J39" s="53">
        <f t="shared" ref="J39:K39" si="4">SUM(J32:J38)</f>
        <v>0</v>
      </c>
      <c r="K39" s="53">
        <f t="shared" si="4"/>
        <v>0</v>
      </c>
      <c r="L39" s="14"/>
    </row>
    <row r="40" spans="1:12" ht="12" customHeight="1" x14ac:dyDescent="0.2">
      <c r="A40" s="982"/>
      <c r="B40" s="982"/>
      <c r="C40" s="982"/>
      <c r="D40" s="24"/>
      <c r="E40" s="24"/>
      <c r="F40" s="22"/>
      <c r="G40" s="980"/>
      <c r="H40" s="981"/>
      <c r="I40" s="22"/>
      <c r="J40" s="22"/>
      <c r="K40" s="22"/>
      <c r="L40" s="14"/>
    </row>
    <row r="41" spans="1:12" ht="12.75" customHeight="1" x14ac:dyDescent="0.2">
      <c r="A41" s="984" t="s">
        <v>255</v>
      </c>
      <c r="B41" s="984"/>
      <c r="C41" s="984"/>
      <c r="D41" s="51">
        <f>+D39+D30</f>
        <v>10000</v>
      </c>
      <c r="E41" s="51">
        <f>+E39+E30</f>
        <v>11000</v>
      </c>
      <c r="F41" s="51">
        <f>+F39+F30</f>
        <v>12000</v>
      </c>
      <c r="G41" s="985" t="s">
        <v>254</v>
      </c>
      <c r="H41" s="986"/>
      <c r="I41" s="53">
        <f>+I39+I30</f>
        <v>10000</v>
      </c>
      <c r="J41" s="53">
        <f>+J39+J30</f>
        <v>11000</v>
      </c>
      <c r="K41" s="53">
        <f>+K39+K30</f>
        <v>12000</v>
      </c>
      <c r="L41" s="14"/>
    </row>
    <row r="42" spans="1:12" ht="12" customHeight="1" x14ac:dyDescent="0.2">
      <c r="A42" s="982"/>
      <c r="B42" s="982"/>
      <c r="C42" s="982"/>
      <c r="D42" s="23"/>
      <c r="E42" s="23"/>
      <c r="F42" s="22"/>
      <c r="G42" s="990"/>
      <c r="H42" s="991"/>
      <c r="I42" s="22"/>
      <c r="J42" s="22"/>
      <c r="K42" s="22"/>
      <c r="L42" s="14"/>
    </row>
    <row r="43" spans="1:12" ht="12.75" customHeight="1" x14ac:dyDescent="0.2">
      <c r="A43" s="989" t="s">
        <v>253</v>
      </c>
      <c r="B43" s="989"/>
      <c r="C43" s="989"/>
      <c r="D43" s="52">
        <f>+D41+D25</f>
        <v>416500</v>
      </c>
      <c r="E43" s="52">
        <f>+E41+E25</f>
        <v>425650</v>
      </c>
      <c r="F43" s="52">
        <f>+F41+F25</f>
        <v>436200</v>
      </c>
      <c r="G43" s="989" t="s">
        <v>252</v>
      </c>
      <c r="H43" s="989"/>
      <c r="I43" s="53">
        <f>+I41+I25</f>
        <v>416500</v>
      </c>
      <c r="J43" s="53">
        <f>+J41+J25</f>
        <v>425650</v>
      </c>
      <c r="K43" s="53">
        <f>+K41+K25</f>
        <v>436200</v>
      </c>
      <c r="L43" s="14"/>
    </row>
  </sheetData>
  <mergeCells count="83"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5:C35"/>
    <mergeCell ref="G35:H35"/>
    <mergeCell ref="A36:C36"/>
    <mergeCell ref="G36:H36"/>
    <mergeCell ref="A33:C33"/>
    <mergeCell ref="G33:H33"/>
    <mergeCell ref="A34:C34"/>
    <mergeCell ref="G34:H34"/>
    <mergeCell ref="A31:C31"/>
    <mergeCell ref="G31:H31"/>
    <mergeCell ref="A32:C32"/>
    <mergeCell ref="G32:H32"/>
    <mergeCell ref="A29:C29"/>
    <mergeCell ref="G29:H29"/>
    <mergeCell ref="A30:C30"/>
    <mergeCell ref="G30:H30"/>
    <mergeCell ref="A27:C27"/>
    <mergeCell ref="G27:H27"/>
    <mergeCell ref="A28:C28"/>
    <mergeCell ref="G28:H28"/>
    <mergeCell ref="A25:C25"/>
    <mergeCell ref="G25:H25"/>
    <mergeCell ref="A26:C26"/>
    <mergeCell ref="G26:H26"/>
    <mergeCell ref="A23:C23"/>
    <mergeCell ref="G23:H23"/>
    <mergeCell ref="A24:C24"/>
    <mergeCell ref="G24:H24"/>
    <mergeCell ref="A21:C21"/>
    <mergeCell ref="G21:H21"/>
    <mergeCell ref="A22:C22"/>
    <mergeCell ref="G22:H22"/>
    <mergeCell ref="A19:C19"/>
    <mergeCell ref="G19:H19"/>
    <mergeCell ref="A20:C20"/>
    <mergeCell ref="G20:H20"/>
    <mergeCell ref="A17:C17"/>
    <mergeCell ref="G17:H17"/>
    <mergeCell ref="A18:C18"/>
    <mergeCell ref="G18:H18"/>
    <mergeCell ref="A15:C15"/>
    <mergeCell ref="G15:H15"/>
    <mergeCell ref="A16:C16"/>
    <mergeCell ref="G16:H16"/>
    <mergeCell ref="A13:C13"/>
    <mergeCell ref="G13:H13"/>
    <mergeCell ref="A14:C14"/>
    <mergeCell ref="G14:H14"/>
    <mergeCell ref="A11:C11"/>
    <mergeCell ref="G11:H11"/>
    <mergeCell ref="A12:C12"/>
    <mergeCell ref="G12:H12"/>
    <mergeCell ref="A10:C10"/>
    <mergeCell ref="G10:H10"/>
    <mergeCell ref="A7:C7"/>
    <mergeCell ref="G7:H7"/>
    <mergeCell ref="A8:C8"/>
    <mergeCell ref="G8:H8"/>
    <mergeCell ref="A5:C6"/>
    <mergeCell ref="D5:F5"/>
    <mergeCell ref="G5:H6"/>
    <mergeCell ref="I5:K5"/>
    <mergeCell ref="A9:C9"/>
    <mergeCell ref="G9:H9"/>
    <mergeCell ref="A2:K2"/>
    <mergeCell ref="A3:C3"/>
    <mergeCell ref="G3:H3"/>
    <mergeCell ref="A4:F4"/>
    <mergeCell ref="G4:K4"/>
  </mergeCells>
  <phoneticPr fontId="12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&amp;LVeresegyházi Polgármesteri Hivatal&amp;C&amp;"Arial CE,Félkövér"ELŐIRÁNYZAT MÓDOSÍTÁS, TELJESÍTÉS 2015.06.30.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G8" sqref="G8:H8"/>
    </sheetView>
  </sheetViews>
  <sheetFormatPr defaultRowHeight="12.75" x14ac:dyDescent="0.2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 x14ac:dyDescent="0.2">
      <c r="A1" t="s">
        <v>418</v>
      </c>
      <c r="H1" s="34"/>
      <c r="J1" s="62"/>
      <c r="K1" s="62" t="s">
        <v>417</v>
      </c>
      <c r="L1" s="62"/>
    </row>
    <row r="2" spans="1:12" ht="12" customHeight="1" x14ac:dyDescent="0.2">
      <c r="H2" s="34"/>
      <c r="J2" s="62"/>
      <c r="K2" s="62"/>
      <c r="L2" s="62"/>
    </row>
    <row r="3" spans="1:12" ht="12" customHeight="1" x14ac:dyDescent="0.2">
      <c r="A3" s="996" t="s">
        <v>299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65"/>
    </row>
    <row r="4" spans="1:12" ht="12" customHeight="1" x14ac:dyDescent="0.2">
      <c r="A4" s="1001"/>
      <c r="B4" s="1001"/>
      <c r="C4" s="1001"/>
      <c r="D4" s="66"/>
      <c r="E4" s="66"/>
      <c r="F4" s="7"/>
      <c r="G4" s="1002"/>
      <c r="H4" s="1002"/>
      <c r="J4" s="63"/>
      <c r="K4" s="63" t="s">
        <v>298</v>
      </c>
      <c r="L4" s="63"/>
    </row>
    <row r="5" spans="1:12" ht="12" customHeight="1" x14ac:dyDescent="0.2">
      <c r="A5" s="997" t="s">
        <v>62</v>
      </c>
      <c r="B5" s="997"/>
      <c r="C5" s="997"/>
      <c r="D5" s="997"/>
      <c r="E5" s="997"/>
      <c r="F5" s="997"/>
      <c r="G5" s="997" t="s">
        <v>63</v>
      </c>
      <c r="H5" s="997"/>
      <c r="I5" s="997"/>
      <c r="J5" s="997"/>
      <c r="K5" s="997"/>
      <c r="L5" s="32"/>
    </row>
    <row r="6" spans="1:12" x14ac:dyDescent="0.2">
      <c r="A6" s="819" t="s">
        <v>94</v>
      </c>
      <c r="B6" s="820"/>
      <c r="C6" s="821"/>
      <c r="D6" s="998" t="s">
        <v>297</v>
      </c>
      <c r="E6" s="944"/>
      <c r="F6" s="945"/>
      <c r="G6" s="819" t="s">
        <v>94</v>
      </c>
      <c r="H6" s="821"/>
      <c r="I6" s="817" t="s">
        <v>297</v>
      </c>
      <c r="J6" s="817"/>
      <c r="K6" s="817"/>
      <c r="L6" s="31"/>
    </row>
    <row r="7" spans="1:12" x14ac:dyDescent="0.2">
      <c r="A7" s="941"/>
      <c r="B7" s="999"/>
      <c r="C7" s="1000"/>
      <c r="D7" s="64">
        <v>2016</v>
      </c>
      <c r="E7" s="64">
        <v>2017</v>
      </c>
      <c r="F7" s="64">
        <v>2018</v>
      </c>
      <c r="G7" s="941"/>
      <c r="H7" s="1000"/>
      <c r="I7" s="64">
        <v>2016</v>
      </c>
      <c r="J7" s="64">
        <v>2017</v>
      </c>
      <c r="K7" s="64">
        <v>2018</v>
      </c>
      <c r="L7" s="31"/>
    </row>
    <row r="8" spans="1:12" ht="12" customHeight="1" x14ac:dyDescent="0.2">
      <c r="A8" s="980" t="s">
        <v>296</v>
      </c>
      <c r="B8" s="983"/>
      <c r="C8" s="981"/>
      <c r="D8" s="48"/>
      <c r="E8" s="48"/>
      <c r="F8" s="48"/>
      <c r="G8" s="980" t="s">
        <v>295</v>
      </c>
      <c r="H8" s="981"/>
      <c r="I8" s="48">
        <f>ROUND(1.01*427218,0)</f>
        <v>431490</v>
      </c>
      <c r="J8" s="48">
        <f>ROUND(I8*1.01,0)</f>
        <v>435805</v>
      </c>
      <c r="K8" s="48">
        <f>ROUND(J8*1.01,0)</f>
        <v>440163</v>
      </c>
      <c r="L8" s="14"/>
    </row>
    <row r="9" spans="1:12" ht="12" customHeight="1" x14ac:dyDescent="0.2">
      <c r="A9" s="980" t="s">
        <v>294</v>
      </c>
      <c r="B9" s="983"/>
      <c r="C9" s="981"/>
      <c r="D9" s="48"/>
      <c r="E9" s="48"/>
      <c r="F9" s="48"/>
      <c r="G9" s="982" t="s">
        <v>293</v>
      </c>
      <c r="H9" s="982"/>
      <c r="I9" s="48">
        <f>ROUND(1.01*122088,0)</f>
        <v>123309</v>
      </c>
      <c r="J9" s="48">
        <f>ROUND(I9*1.01,0)</f>
        <v>124542</v>
      </c>
      <c r="K9" s="48">
        <f>ROUND(J9*1.01,0)</f>
        <v>125787</v>
      </c>
      <c r="L9" s="14"/>
    </row>
    <row r="10" spans="1:12" ht="12" customHeight="1" x14ac:dyDescent="0.2">
      <c r="A10" s="980" t="s">
        <v>292</v>
      </c>
      <c r="B10" s="983"/>
      <c r="C10" s="981"/>
      <c r="D10" s="48">
        <v>600000</v>
      </c>
      <c r="E10" s="48">
        <f>+D10*1.02</f>
        <v>612000</v>
      </c>
      <c r="F10" s="48">
        <f>+E10*1.02</f>
        <v>624240</v>
      </c>
      <c r="G10" s="982" t="s">
        <v>291</v>
      </c>
      <c r="H10" s="982"/>
      <c r="I10" s="48">
        <f>ROUND(1.05*510340,0)</f>
        <v>535857</v>
      </c>
      <c r="J10" s="48">
        <f>ROUND(I10*1.02,0)</f>
        <v>546574</v>
      </c>
      <c r="K10" s="48">
        <f>ROUND(J10*1.02,0)</f>
        <v>557505</v>
      </c>
      <c r="L10" s="14"/>
    </row>
    <row r="11" spans="1:12" ht="12" customHeight="1" x14ac:dyDescent="0.2">
      <c r="A11" s="980" t="s">
        <v>290</v>
      </c>
      <c r="B11" s="983"/>
      <c r="C11" s="981"/>
      <c r="D11" s="48"/>
      <c r="E11" s="48"/>
      <c r="F11" s="48"/>
      <c r="G11" s="982" t="s">
        <v>289</v>
      </c>
      <c r="H11" s="982"/>
      <c r="I11" s="48"/>
      <c r="J11" s="48"/>
      <c r="K11" s="48"/>
      <c r="L11" s="14"/>
    </row>
    <row r="12" spans="1:12" ht="12" customHeight="1" x14ac:dyDescent="0.2">
      <c r="A12" s="982"/>
      <c r="B12" s="982"/>
      <c r="C12" s="982"/>
      <c r="D12" s="48"/>
      <c r="E12" s="48"/>
      <c r="F12" s="48"/>
      <c r="G12" s="982" t="s">
        <v>288</v>
      </c>
      <c r="H12" s="982"/>
      <c r="I12" s="48"/>
      <c r="J12" s="48"/>
      <c r="K12" s="48"/>
      <c r="L12" s="14"/>
    </row>
    <row r="13" spans="1:12" ht="12" customHeight="1" x14ac:dyDescent="0.2">
      <c r="A13" s="984"/>
      <c r="B13" s="984"/>
      <c r="C13" s="984"/>
      <c r="D13" s="48"/>
      <c r="E13" s="48"/>
      <c r="F13" s="48"/>
      <c r="G13" s="994" t="s">
        <v>287</v>
      </c>
      <c r="H13" s="995"/>
      <c r="I13" s="48"/>
      <c r="J13" s="48"/>
      <c r="K13" s="48"/>
      <c r="L13" s="14"/>
    </row>
    <row r="14" spans="1:12" ht="12" customHeight="1" x14ac:dyDescent="0.2">
      <c r="A14" s="987"/>
      <c r="B14" s="987"/>
      <c r="C14" s="987"/>
      <c r="D14" s="48"/>
      <c r="E14" s="48"/>
      <c r="F14" s="48"/>
      <c r="G14" s="980" t="s">
        <v>286</v>
      </c>
      <c r="H14" s="981"/>
      <c r="I14" s="48"/>
      <c r="J14" s="48"/>
      <c r="K14" s="48"/>
      <c r="L14" s="14"/>
    </row>
    <row r="15" spans="1:12" s="1" customFormat="1" ht="23.25" customHeight="1" x14ac:dyDescent="0.2">
      <c r="A15" s="985" t="s">
        <v>285</v>
      </c>
      <c r="B15" s="988"/>
      <c r="C15" s="986"/>
      <c r="D15" s="49">
        <f>SUM(D8:D11)</f>
        <v>600000</v>
      </c>
      <c r="E15" s="49">
        <f>SUM(E8:E11)</f>
        <v>612000</v>
      </c>
      <c r="F15" s="49">
        <f>SUM(F8:F11)</f>
        <v>624240</v>
      </c>
      <c r="G15" s="985" t="s">
        <v>284</v>
      </c>
      <c r="H15" s="986"/>
      <c r="I15" s="49">
        <f>SUM(I8:I12)</f>
        <v>1090656</v>
      </c>
      <c r="J15" s="49">
        <f>SUM(J8:J12)</f>
        <v>1106921</v>
      </c>
      <c r="K15" s="49">
        <f>SUM(K8:K12)</f>
        <v>1123455</v>
      </c>
      <c r="L15" s="18"/>
    </row>
    <row r="16" spans="1:12" ht="12" customHeight="1" x14ac:dyDescent="0.2">
      <c r="A16" s="980"/>
      <c r="B16" s="983"/>
      <c r="C16" s="981"/>
      <c r="D16" s="48"/>
      <c r="E16" s="48"/>
      <c r="F16" s="48"/>
      <c r="G16" s="980"/>
      <c r="H16" s="981"/>
      <c r="I16" s="44"/>
      <c r="J16" s="44"/>
      <c r="K16" s="43"/>
      <c r="L16" s="14"/>
    </row>
    <row r="17" spans="1:12" ht="12" customHeight="1" x14ac:dyDescent="0.2">
      <c r="A17" s="980" t="s">
        <v>270</v>
      </c>
      <c r="B17" s="983"/>
      <c r="C17" s="981"/>
      <c r="D17" s="48"/>
      <c r="E17" s="48"/>
      <c r="F17" s="48"/>
      <c r="G17" s="980" t="s">
        <v>283</v>
      </c>
      <c r="H17" s="981"/>
      <c r="I17" s="43"/>
      <c r="J17" s="43"/>
      <c r="K17" s="43"/>
    </row>
    <row r="18" spans="1:12" ht="12" customHeight="1" x14ac:dyDescent="0.2">
      <c r="A18" s="977" t="s">
        <v>268</v>
      </c>
      <c r="B18" s="977"/>
      <c r="C18" s="977"/>
      <c r="D18" s="48"/>
      <c r="E18" s="48"/>
      <c r="F18" s="48"/>
      <c r="G18" s="977" t="s">
        <v>267</v>
      </c>
      <c r="H18" s="977"/>
      <c r="I18" s="43"/>
      <c r="J18" s="43"/>
      <c r="K18" s="43"/>
    </row>
    <row r="19" spans="1:12" ht="12" customHeight="1" x14ac:dyDescent="0.2">
      <c r="A19" s="977" t="s">
        <v>266</v>
      </c>
      <c r="B19" s="977"/>
      <c r="C19" s="977"/>
      <c r="D19" s="48"/>
      <c r="E19" s="48"/>
      <c r="F19" s="48"/>
      <c r="G19" s="992" t="s">
        <v>282</v>
      </c>
      <c r="H19" s="992"/>
      <c r="I19" s="43"/>
      <c r="J19" s="43"/>
      <c r="K19" s="43"/>
    </row>
    <row r="20" spans="1:12" ht="12" customHeight="1" x14ac:dyDescent="0.2">
      <c r="A20" s="982" t="s">
        <v>264</v>
      </c>
      <c r="B20" s="982"/>
      <c r="C20" s="982"/>
      <c r="D20" s="48"/>
      <c r="E20" s="48"/>
      <c r="F20" s="48"/>
      <c r="G20" s="977" t="s">
        <v>263</v>
      </c>
      <c r="H20" s="977"/>
      <c r="I20" s="43"/>
      <c r="J20" s="43"/>
      <c r="K20" s="43"/>
    </row>
    <row r="21" spans="1:12" ht="12" customHeight="1" x14ac:dyDescent="0.2">
      <c r="A21" s="982" t="s">
        <v>262</v>
      </c>
      <c r="B21" s="982"/>
      <c r="C21" s="982"/>
      <c r="D21" s="48"/>
      <c r="E21" s="48"/>
      <c r="F21" s="48"/>
      <c r="G21" s="977" t="s">
        <v>261</v>
      </c>
      <c r="H21" s="977"/>
      <c r="I21" s="43"/>
      <c r="J21" s="43"/>
      <c r="K21" s="43"/>
    </row>
    <row r="22" spans="1:12" ht="12" customHeight="1" x14ac:dyDescent="0.2">
      <c r="A22" s="977" t="s">
        <v>260</v>
      </c>
      <c r="B22" s="977"/>
      <c r="C22" s="977"/>
      <c r="D22" s="48">
        <f>+I26-D15</f>
        <v>490656</v>
      </c>
      <c r="E22" s="48">
        <f>+J26-E15</f>
        <v>494921</v>
      </c>
      <c r="F22" s="48">
        <f>+K26-F15</f>
        <v>499215</v>
      </c>
      <c r="G22" s="977" t="s">
        <v>259</v>
      </c>
      <c r="H22" s="977"/>
      <c r="I22" s="43"/>
      <c r="J22" s="43"/>
      <c r="K22" s="43"/>
    </row>
    <row r="23" spans="1:12" ht="12" customHeight="1" x14ac:dyDescent="0.2">
      <c r="A23" s="993"/>
      <c r="B23" s="993"/>
      <c r="C23" s="993"/>
      <c r="D23" s="48"/>
      <c r="E23" s="48"/>
      <c r="F23" s="48"/>
      <c r="G23" s="977" t="s">
        <v>258</v>
      </c>
      <c r="H23" s="977"/>
      <c r="I23" s="43"/>
      <c r="J23" s="43"/>
      <c r="K23" s="43"/>
    </row>
    <row r="24" spans="1:12" ht="12" customHeight="1" x14ac:dyDescent="0.2">
      <c r="A24" s="984" t="s">
        <v>281</v>
      </c>
      <c r="B24" s="984"/>
      <c r="C24" s="984"/>
      <c r="D24" s="49">
        <f>SUM(D17:D22)</f>
        <v>490656</v>
      </c>
      <c r="E24" s="49">
        <f>SUM(E17:E22)</f>
        <v>494921</v>
      </c>
      <c r="F24" s="49">
        <f>SUM(F17:F22)</f>
        <v>499215</v>
      </c>
      <c r="G24" s="985" t="s">
        <v>280</v>
      </c>
      <c r="H24" s="986"/>
      <c r="I24" s="45">
        <f>SUM(I17:I23)</f>
        <v>0</v>
      </c>
      <c r="J24" s="45">
        <f>SUM(J17:J23)</f>
        <v>0</v>
      </c>
      <c r="K24" s="45">
        <f>SUM(K17:K23)</f>
        <v>0</v>
      </c>
      <c r="L24" s="14"/>
    </row>
    <row r="25" spans="1:12" ht="12" customHeight="1" x14ac:dyDescent="0.2">
      <c r="A25" s="987"/>
      <c r="B25" s="987"/>
      <c r="C25" s="987"/>
      <c r="D25" s="49"/>
      <c r="E25" s="49"/>
      <c r="F25" s="49"/>
      <c r="G25" s="978"/>
      <c r="H25" s="979"/>
      <c r="I25" s="43"/>
      <c r="J25" s="43"/>
      <c r="K25" s="43"/>
      <c r="L25" s="14"/>
    </row>
    <row r="26" spans="1:12" ht="12" customHeight="1" x14ac:dyDescent="0.2">
      <c r="A26" s="984" t="s">
        <v>279</v>
      </c>
      <c r="B26" s="984"/>
      <c r="C26" s="984"/>
      <c r="D26" s="49">
        <f>+D15+D24</f>
        <v>1090656</v>
      </c>
      <c r="E26" s="49">
        <f>+E15+E24</f>
        <v>1106921</v>
      </c>
      <c r="F26" s="49">
        <f>+F15+F24</f>
        <v>1123455</v>
      </c>
      <c r="G26" s="985" t="s">
        <v>278</v>
      </c>
      <c r="H26" s="986"/>
      <c r="I26" s="49">
        <f>+I15+I24</f>
        <v>1090656</v>
      </c>
      <c r="J26" s="49">
        <f>+J15+J24</f>
        <v>1106921</v>
      </c>
      <c r="K26" s="49">
        <f>+K15+K24</f>
        <v>1123455</v>
      </c>
      <c r="L26" s="14"/>
    </row>
    <row r="27" spans="1:12" ht="12" customHeight="1" x14ac:dyDescent="0.2">
      <c r="A27" s="982"/>
      <c r="B27" s="982"/>
      <c r="C27" s="982"/>
      <c r="D27" s="49"/>
      <c r="E27" s="49"/>
      <c r="F27" s="49"/>
      <c r="G27" s="980"/>
      <c r="H27" s="981"/>
      <c r="I27" s="48"/>
      <c r="J27" s="48"/>
      <c r="K27" s="48"/>
      <c r="L27" s="14"/>
    </row>
    <row r="28" spans="1:12" ht="12.75" customHeight="1" x14ac:dyDescent="0.2">
      <c r="A28" s="980" t="s">
        <v>277</v>
      </c>
      <c r="B28" s="983"/>
      <c r="C28" s="981"/>
      <c r="D28" s="48"/>
      <c r="E28" s="48"/>
      <c r="F28" s="48"/>
      <c r="G28" s="980" t="s">
        <v>276</v>
      </c>
      <c r="H28" s="981"/>
      <c r="I28" s="48">
        <v>20000</v>
      </c>
      <c r="J28" s="48">
        <v>35000</v>
      </c>
      <c r="K28" s="48">
        <v>25000</v>
      </c>
      <c r="L28" s="14"/>
    </row>
    <row r="29" spans="1:12" ht="12" customHeight="1" x14ac:dyDescent="0.2">
      <c r="A29" s="980" t="s">
        <v>275</v>
      </c>
      <c r="B29" s="983"/>
      <c r="C29" s="981"/>
      <c r="D29" s="48"/>
      <c r="E29" s="48"/>
      <c r="F29" s="48"/>
      <c r="G29" s="980" t="s">
        <v>215</v>
      </c>
      <c r="H29" s="981"/>
      <c r="I29" s="48">
        <v>20000</v>
      </c>
      <c r="J29" s="48">
        <v>5000</v>
      </c>
      <c r="K29" s="48">
        <v>15000</v>
      </c>
      <c r="L29" s="14"/>
    </row>
    <row r="30" spans="1:12" ht="12" customHeight="1" x14ac:dyDescent="0.2">
      <c r="A30" s="982" t="s">
        <v>274</v>
      </c>
      <c r="B30" s="982"/>
      <c r="C30" s="982"/>
      <c r="D30" s="48"/>
      <c r="E30" s="48"/>
      <c r="F30" s="48"/>
      <c r="G30" s="980" t="s">
        <v>273</v>
      </c>
      <c r="H30" s="981"/>
      <c r="I30" s="48"/>
      <c r="J30" s="48"/>
      <c r="K30" s="48"/>
      <c r="L30" s="14"/>
    </row>
    <row r="31" spans="1:12" ht="24" customHeight="1" x14ac:dyDescent="0.2">
      <c r="A31" s="985" t="s">
        <v>272</v>
      </c>
      <c r="B31" s="988"/>
      <c r="C31" s="986"/>
      <c r="D31" s="48">
        <f>SUM(D28:D30)</f>
        <v>0</v>
      </c>
      <c r="E31" s="48">
        <f>SUM(E28:E30)</f>
        <v>0</v>
      </c>
      <c r="F31" s="48">
        <f>SUM(F28:F30)</f>
        <v>0</v>
      </c>
      <c r="G31" s="985" t="s">
        <v>271</v>
      </c>
      <c r="H31" s="986"/>
      <c r="I31" s="49">
        <f>SUM(I28:I30)</f>
        <v>40000</v>
      </c>
      <c r="J31" s="49">
        <f>SUM(J28:J30)</f>
        <v>40000</v>
      </c>
      <c r="K31" s="49">
        <f>SUM(K28:K30)</f>
        <v>40000</v>
      </c>
      <c r="L31" s="14"/>
    </row>
    <row r="32" spans="1:12" ht="12" customHeight="1" x14ac:dyDescent="0.2">
      <c r="A32" s="982"/>
      <c r="B32" s="982"/>
      <c r="C32" s="982"/>
      <c r="D32" s="48"/>
      <c r="E32" s="48"/>
      <c r="F32" s="48"/>
      <c r="G32" s="980"/>
      <c r="H32" s="981"/>
      <c r="I32" s="48"/>
      <c r="J32" s="48"/>
      <c r="K32" s="48"/>
      <c r="L32" s="14"/>
    </row>
    <row r="33" spans="1:12" ht="12" customHeight="1" x14ac:dyDescent="0.2">
      <c r="A33" s="980" t="s">
        <v>270</v>
      </c>
      <c r="B33" s="983"/>
      <c r="C33" s="981"/>
      <c r="D33" s="48"/>
      <c r="E33" s="48"/>
      <c r="F33" s="48"/>
      <c r="G33" s="980" t="s">
        <v>269</v>
      </c>
      <c r="H33" s="981"/>
      <c r="I33" s="48"/>
      <c r="J33" s="48"/>
      <c r="K33" s="48"/>
    </row>
    <row r="34" spans="1:12" ht="12" customHeight="1" x14ac:dyDescent="0.2">
      <c r="A34" s="977" t="s">
        <v>268</v>
      </c>
      <c r="B34" s="977"/>
      <c r="C34" s="977"/>
      <c r="D34" s="48"/>
      <c r="E34" s="48"/>
      <c r="F34" s="48"/>
      <c r="G34" s="977" t="s">
        <v>267</v>
      </c>
      <c r="H34" s="977"/>
      <c r="I34" s="48"/>
      <c r="J34" s="48"/>
      <c r="K34" s="48"/>
    </row>
    <row r="35" spans="1:12" ht="12" customHeight="1" x14ac:dyDescent="0.2">
      <c r="A35" s="977" t="s">
        <v>266</v>
      </c>
      <c r="B35" s="977"/>
      <c r="C35" s="977"/>
      <c r="D35" s="48"/>
      <c r="E35" s="48"/>
      <c r="F35" s="48"/>
      <c r="G35" s="980" t="s">
        <v>265</v>
      </c>
      <c r="H35" s="981"/>
      <c r="I35" s="48"/>
      <c r="J35" s="48"/>
      <c r="K35" s="48"/>
    </row>
    <row r="36" spans="1:12" ht="12" customHeight="1" x14ac:dyDescent="0.2">
      <c r="A36" s="982" t="s">
        <v>264</v>
      </c>
      <c r="B36" s="982"/>
      <c r="C36" s="982"/>
      <c r="D36" s="48"/>
      <c r="E36" s="48"/>
      <c r="F36" s="48"/>
      <c r="G36" s="980" t="s">
        <v>263</v>
      </c>
      <c r="H36" s="981"/>
      <c r="I36" s="48"/>
      <c r="J36" s="48"/>
      <c r="K36" s="48"/>
    </row>
    <row r="37" spans="1:12" ht="12" customHeight="1" x14ac:dyDescent="0.2">
      <c r="A37" s="982" t="s">
        <v>262</v>
      </c>
      <c r="B37" s="982"/>
      <c r="C37" s="982"/>
      <c r="D37" s="48"/>
      <c r="E37" s="48"/>
      <c r="F37" s="48"/>
      <c r="G37" s="977" t="s">
        <v>261</v>
      </c>
      <c r="H37" s="977"/>
      <c r="I37" s="48"/>
      <c r="J37" s="48"/>
      <c r="K37" s="48"/>
    </row>
    <row r="38" spans="1:12" ht="12" customHeight="1" x14ac:dyDescent="0.2">
      <c r="A38" s="977" t="s">
        <v>260</v>
      </c>
      <c r="B38" s="977"/>
      <c r="C38" s="977"/>
      <c r="D38" s="48">
        <f>+I31</f>
        <v>40000</v>
      </c>
      <c r="E38" s="48">
        <f>+J31</f>
        <v>40000</v>
      </c>
      <c r="F38" s="48">
        <f>+K31</f>
        <v>40000</v>
      </c>
      <c r="G38" s="977" t="s">
        <v>259</v>
      </c>
      <c r="H38" s="977"/>
      <c r="I38" s="48"/>
      <c r="J38" s="48"/>
      <c r="K38" s="48"/>
    </row>
    <row r="39" spans="1:12" ht="12" customHeight="1" x14ac:dyDescent="0.2">
      <c r="A39" s="993"/>
      <c r="B39" s="993"/>
      <c r="C39" s="993"/>
      <c r="D39" s="48"/>
      <c r="E39" s="48"/>
      <c r="F39" s="48"/>
      <c r="G39" s="977" t="s">
        <v>258</v>
      </c>
      <c r="H39" s="977"/>
      <c r="I39" s="48"/>
      <c r="J39" s="48"/>
      <c r="K39" s="48"/>
    </row>
    <row r="40" spans="1:12" ht="12" customHeight="1" x14ac:dyDescent="0.2">
      <c r="A40" s="985" t="s">
        <v>257</v>
      </c>
      <c r="B40" s="988"/>
      <c r="C40" s="986"/>
      <c r="D40" s="49">
        <f>SUM(D33:D38)</f>
        <v>40000</v>
      </c>
      <c r="E40" s="49">
        <f>SUM(E33:E38)</f>
        <v>40000</v>
      </c>
      <c r="F40" s="49">
        <f>SUM(F33:F38)</f>
        <v>40000</v>
      </c>
      <c r="G40" s="985" t="s">
        <v>256</v>
      </c>
      <c r="H40" s="986"/>
      <c r="I40" s="48">
        <f>SUM(I33:I39)</f>
        <v>0</v>
      </c>
      <c r="J40" s="48">
        <f>SUM(J33:J39)</f>
        <v>0</v>
      </c>
      <c r="K40" s="48">
        <f>SUM(K33:K39)</f>
        <v>0</v>
      </c>
      <c r="L40" s="14"/>
    </row>
    <row r="41" spans="1:12" ht="12" customHeight="1" x14ac:dyDescent="0.2">
      <c r="A41" s="982"/>
      <c r="B41" s="982"/>
      <c r="C41" s="982"/>
      <c r="D41" s="49"/>
      <c r="E41" s="49"/>
      <c r="F41" s="49"/>
      <c r="G41" s="980"/>
      <c r="H41" s="981"/>
      <c r="I41" s="48"/>
      <c r="J41" s="48"/>
      <c r="K41" s="48"/>
      <c r="L41" s="14"/>
    </row>
    <row r="42" spans="1:12" ht="12.75" customHeight="1" x14ac:dyDescent="0.2">
      <c r="A42" s="984" t="s">
        <v>255</v>
      </c>
      <c r="B42" s="984"/>
      <c r="C42" s="984"/>
      <c r="D42" s="49">
        <f>+D31+D40</f>
        <v>40000</v>
      </c>
      <c r="E42" s="49">
        <f>+E31+E40</f>
        <v>40000</v>
      </c>
      <c r="F42" s="49">
        <f>+F31+F40</f>
        <v>40000</v>
      </c>
      <c r="G42" s="985" t="s">
        <v>254</v>
      </c>
      <c r="H42" s="986"/>
      <c r="I42" s="49">
        <f>+I31+I40</f>
        <v>40000</v>
      </c>
      <c r="J42" s="49">
        <f>+J31+J40</f>
        <v>40000</v>
      </c>
      <c r="K42" s="49">
        <f>+K31+K40</f>
        <v>40000</v>
      </c>
      <c r="L42" s="14"/>
    </row>
    <row r="43" spans="1:12" ht="12" customHeight="1" x14ac:dyDescent="0.2">
      <c r="A43" s="982"/>
      <c r="B43" s="982"/>
      <c r="C43" s="982"/>
      <c r="D43" s="49"/>
      <c r="E43" s="49"/>
      <c r="F43" s="49"/>
      <c r="G43" s="990"/>
      <c r="H43" s="991"/>
      <c r="I43" s="49"/>
      <c r="J43" s="49"/>
      <c r="K43" s="49"/>
      <c r="L43" s="14"/>
    </row>
    <row r="44" spans="1:12" ht="12.75" customHeight="1" x14ac:dyDescent="0.2">
      <c r="A44" s="989" t="s">
        <v>253</v>
      </c>
      <c r="B44" s="989"/>
      <c r="C44" s="989"/>
      <c r="D44" s="49">
        <f>+D26+D42</f>
        <v>1130656</v>
      </c>
      <c r="E44" s="49">
        <f>+E26+E42</f>
        <v>1146921</v>
      </c>
      <c r="F44" s="49">
        <f>+F26+F42</f>
        <v>1163455</v>
      </c>
      <c r="G44" s="989" t="s">
        <v>252</v>
      </c>
      <c r="H44" s="989"/>
      <c r="I44" s="49">
        <f>+I26+I42</f>
        <v>1130656</v>
      </c>
      <c r="J44" s="49">
        <f>+J26+J42</f>
        <v>1146921</v>
      </c>
      <c r="K44" s="49">
        <f>+K26+K42</f>
        <v>1163455</v>
      </c>
      <c r="L44" s="14"/>
    </row>
    <row r="46" spans="1:12" x14ac:dyDescent="0.2">
      <c r="D46" s="41"/>
      <c r="E46" s="41"/>
      <c r="F46" s="41"/>
    </row>
  </sheetData>
  <mergeCells count="83">
    <mergeCell ref="A44:C44"/>
    <mergeCell ref="G44:H44"/>
    <mergeCell ref="A41:C41"/>
    <mergeCell ref="G41:H41"/>
    <mergeCell ref="A42:C42"/>
    <mergeCell ref="G42:H42"/>
    <mergeCell ref="A43:C43"/>
    <mergeCell ref="G43:H43"/>
    <mergeCell ref="A38:C38"/>
    <mergeCell ref="G38:H38"/>
    <mergeCell ref="A39:C39"/>
    <mergeCell ref="G39:H39"/>
    <mergeCell ref="A40:C40"/>
    <mergeCell ref="G40:H40"/>
    <mergeCell ref="A35:C35"/>
    <mergeCell ref="G35:H35"/>
    <mergeCell ref="A36:C36"/>
    <mergeCell ref="G36:H36"/>
    <mergeCell ref="A37:C37"/>
    <mergeCell ref="G37:H37"/>
    <mergeCell ref="A32:C32"/>
    <mergeCell ref="G32:H32"/>
    <mergeCell ref="A33:C33"/>
    <mergeCell ref="G33:H33"/>
    <mergeCell ref="A34:C34"/>
    <mergeCell ref="G34:H34"/>
    <mergeCell ref="A29:C29"/>
    <mergeCell ref="G29:H29"/>
    <mergeCell ref="A30:C30"/>
    <mergeCell ref="G30:H30"/>
    <mergeCell ref="A31:C31"/>
    <mergeCell ref="G31:H31"/>
    <mergeCell ref="A26:C26"/>
    <mergeCell ref="G26:H26"/>
    <mergeCell ref="A27:C27"/>
    <mergeCell ref="G27:H27"/>
    <mergeCell ref="A28:C28"/>
    <mergeCell ref="G28:H28"/>
    <mergeCell ref="A23:C23"/>
    <mergeCell ref="G23:H23"/>
    <mergeCell ref="A24:C24"/>
    <mergeCell ref="G24:H24"/>
    <mergeCell ref="A25:C25"/>
    <mergeCell ref="G25:H25"/>
    <mergeCell ref="A20:C20"/>
    <mergeCell ref="G20:H20"/>
    <mergeCell ref="A21:C21"/>
    <mergeCell ref="G21:H21"/>
    <mergeCell ref="A22:C22"/>
    <mergeCell ref="G22:H22"/>
    <mergeCell ref="A17:C17"/>
    <mergeCell ref="G17:H17"/>
    <mergeCell ref="A18:C18"/>
    <mergeCell ref="G18:H18"/>
    <mergeCell ref="A19:C19"/>
    <mergeCell ref="G19:H19"/>
    <mergeCell ref="A14:C14"/>
    <mergeCell ref="G14:H14"/>
    <mergeCell ref="A15:C15"/>
    <mergeCell ref="G15:H15"/>
    <mergeCell ref="A16:C16"/>
    <mergeCell ref="G16:H16"/>
    <mergeCell ref="A11:C11"/>
    <mergeCell ref="G11:H11"/>
    <mergeCell ref="A12:C12"/>
    <mergeCell ref="G12:H12"/>
    <mergeCell ref="A13:C13"/>
    <mergeCell ref="G13:H13"/>
    <mergeCell ref="A8:C8"/>
    <mergeCell ref="G8:H8"/>
    <mergeCell ref="A9:C9"/>
    <mergeCell ref="G9:H9"/>
    <mergeCell ref="A10:C10"/>
    <mergeCell ref="G10:H10"/>
    <mergeCell ref="A6:C7"/>
    <mergeCell ref="D6:F6"/>
    <mergeCell ref="G6:H7"/>
    <mergeCell ref="I6:K6"/>
    <mergeCell ref="A3:K3"/>
    <mergeCell ref="A4:C4"/>
    <mergeCell ref="G4:H4"/>
    <mergeCell ref="A5:F5"/>
    <mergeCell ref="G5:K5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2015.06.30.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F1" sqref="F1"/>
    </sheetView>
  </sheetViews>
  <sheetFormatPr defaultRowHeight="12.75" x14ac:dyDescent="0.2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 x14ac:dyDescent="0.2">
      <c r="A1" t="s">
        <v>426</v>
      </c>
      <c r="H1" s="34"/>
      <c r="J1" s="62"/>
      <c r="K1" s="62" t="s">
        <v>419</v>
      </c>
      <c r="L1" s="62"/>
    </row>
    <row r="2" spans="1:12" ht="12" customHeight="1" x14ac:dyDescent="0.2">
      <c r="A2" s="996" t="s">
        <v>299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65"/>
    </row>
    <row r="3" spans="1:12" ht="12" customHeight="1" x14ac:dyDescent="0.2">
      <c r="A3" s="1001"/>
      <c r="B3" s="1001"/>
      <c r="C3" s="1001"/>
      <c r="D3" s="66"/>
      <c r="E3" s="66"/>
      <c r="F3" s="7"/>
      <c r="G3" s="1002"/>
      <c r="H3" s="1002"/>
      <c r="J3" s="63"/>
      <c r="K3" s="63" t="s">
        <v>298</v>
      </c>
      <c r="L3" s="63"/>
    </row>
    <row r="4" spans="1:12" ht="12" customHeight="1" x14ac:dyDescent="0.2">
      <c r="A4" s="997" t="s">
        <v>62</v>
      </c>
      <c r="B4" s="997"/>
      <c r="C4" s="997"/>
      <c r="D4" s="997"/>
      <c r="E4" s="997"/>
      <c r="F4" s="997"/>
      <c r="G4" s="997" t="s">
        <v>63</v>
      </c>
      <c r="H4" s="997"/>
      <c r="I4" s="997"/>
      <c r="J4" s="997"/>
      <c r="K4" s="997"/>
      <c r="L4" s="32"/>
    </row>
    <row r="5" spans="1:12" x14ac:dyDescent="0.2">
      <c r="A5" s="819" t="s">
        <v>94</v>
      </c>
      <c r="B5" s="820"/>
      <c r="C5" s="821"/>
      <c r="D5" s="998" t="s">
        <v>297</v>
      </c>
      <c r="E5" s="944"/>
      <c r="F5" s="945"/>
      <c r="G5" s="819" t="s">
        <v>94</v>
      </c>
      <c r="H5" s="821"/>
      <c r="I5" s="817" t="s">
        <v>297</v>
      </c>
      <c r="J5" s="817"/>
      <c r="K5" s="817"/>
      <c r="L5" s="31"/>
    </row>
    <row r="6" spans="1:12" x14ac:dyDescent="0.2">
      <c r="A6" s="941"/>
      <c r="B6" s="999"/>
      <c r="C6" s="1000"/>
      <c r="D6" s="64">
        <v>2016</v>
      </c>
      <c r="E6" s="64">
        <v>2017</v>
      </c>
      <c r="F6" s="64">
        <v>2018</v>
      </c>
      <c r="G6" s="941"/>
      <c r="H6" s="1000"/>
      <c r="I6" s="64">
        <v>2016</v>
      </c>
      <c r="J6" s="64">
        <v>2017</v>
      </c>
      <c r="K6" s="64">
        <v>2018</v>
      </c>
      <c r="L6" s="31"/>
    </row>
    <row r="7" spans="1:12" ht="12" customHeight="1" x14ac:dyDescent="0.2">
      <c r="A7" s="980" t="s">
        <v>296</v>
      </c>
      <c r="B7" s="983"/>
      <c r="C7" s="981"/>
      <c r="D7" s="48"/>
      <c r="E7" s="48"/>
      <c r="F7" s="48"/>
      <c r="G7" s="980" t="s">
        <v>295</v>
      </c>
      <c r="H7" s="981"/>
      <c r="I7" s="48">
        <f>ROUND(1.01*406963,0)</f>
        <v>411033</v>
      </c>
      <c r="J7" s="48">
        <f>ROUND(I7*1.01,0)</f>
        <v>415143</v>
      </c>
      <c r="K7" s="48">
        <f>ROUND(J7*1.01,0)</f>
        <v>419294</v>
      </c>
      <c r="L7" s="14"/>
    </row>
    <row r="8" spans="1:12" ht="12" customHeight="1" x14ac:dyDescent="0.2">
      <c r="A8" s="980" t="s">
        <v>294</v>
      </c>
      <c r="B8" s="983"/>
      <c r="C8" s="981"/>
      <c r="D8" s="48"/>
      <c r="E8" s="48"/>
      <c r="F8" s="48"/>
      <c r="G8" s="980" t="s">
        <v>293</v>
      </c>
      <c r="H8" s="981"/>
      <c r="I8" s="48">
        <f>ROUND(1.01*111234,0)</f>
        <v>112346</v>
      </c>
      <c r="J8" s="48">
        <f>ROUND(I8*1.01,0)</f>
        <v>113469</v>
      </c>
      <c r="K8" s="48">
        <f>ROUND(J8*1.01,0)</f>
        <v>114604</v>
      </c>
      <c r="L8" s="14"/>
    </row>
    <row r="9" spans="1:12" ht="12" customHeight="1" x14ac:dyDescent="0.2">
      <c r="A9" s="980" t="s">
        <v>292</v>
      </c>
      <c r="B9" s="983"/>
      <c r="C9" s="981"/>
      <c r="D9" s="48">
        <v>97575</v>
      </c>
      <c r="E9" s="48">
        <f>ROUND(D9*1.015,0)</f>
        <v>99039</v>
      </c>
      <c r="F9" s="48">
        <f>ROUND(E9*1.015,0)</f>
        <v>100525</v>
      </c>
      <c r="G9" s="980" t="s">
        <v>291</v>
      </c>
      <c r="H9" s="981"/>
      <c r="I9" s="48">
        <v>169411</v>
      </c>
      <c r="J9" s="48">
        <f>ROUND(I9*1.02,0)</f>
        <v>172799</v>
      </c>
      <c r="K9" s="48">
        <f>ROUND(J9*1.02,0)</f>
        <v>176255</v>
      </c>
      <c r="L9" s="14"/>
    </row>
    <row r="10" spans="1:12" ht="12" customHeight="1" x14ac:dyDescent="0.2">
      <c r="A10" s="980" t="s">
        <v>290</v>
      </c>
      <c r="B10" s="983"/>
      <c r="C10" s="981"/>
      <c r="D10" s="48"/>
      <c r="E10" s="48"/>
      <c r="F10" s="48"/>
      <c r="G10" s="980" t="s">
        <v>289</v>
      </c>
      <c r="H10" s="981"/>
      <c r="I10" s="48"/>
      <c r="J10" s="48"/>
      <c r="K10" s="48"/>
      <c r="L10" s="14"/>
    </row>
    <row r="11" spans="1:12" ht="12" customHeight="1" x14ac:dyDescent="0.2">
      <c r="A11" s="982"/>
      <c r="B11" s="982"/>
      <c r="C11" s="982"/>
      <c r="D11" s="48"/>
      <c r="E11" s="48"/>
      <c r="F11" s="48"/>
      <c r="G11" s="980" t="s">
        <v>288</v>
      </c>
      <c r="H11" s="981"/>
      <c r="I11" s="48"/>
      <c r="J11" s="48"/>
      <c r="K11" s="48"/>
      <c r="L11" s="14"/>
    </row>
    <row r="12" spans="1:12" ht="12" customHeight="1" x14ac:dyDescent="0.2">
      <c r="A12" s="984"/>
      <c r="B12" s="984"/>
      <c r="C12" s="984"/>
      <c r="D12" s="48"/>
      <c r="E12" s="48"/>
      <c r="F12" s="48"/>
      <c r="G12" s="994" t="s">
        <v>287</v>
      </c>
      <c r="H12" s="995"/>
      <c r="I12" s="48"/>
      <c r="J12" s="48"/>
      <c r="K12" s="48"/>
      <c r="L12" s="14"/>
    </row>
    <row r="13" spans="1:12" ht="12" customHeight="1" x14ac:dyDescent="0.2">
      <c r="A13" s="987"/>
      <c r="B13" s="987"/>
      <c r="C13" s="987"/>
      <c r="D13" s="48"/>
      <c r="E13" s="48"/>
      <c r="F13" s="48"/>
      <c r="G13" s="980" t="s">
        <v>286</v>
      </c>
      <c r="H13" s="981"/>
      <c r="I13" s="48"/>
      <c r="J13" s="48"/>
      <c r="K13" s="48"/>
      <c r="L13" s="14"/>
    </row>
    <row r="14" spans="1:12" s="1" customFormat="1" ht="23.25" customHeight="1" x14ac:dyDescent="0.2">
      <c r="A14" s="985" t="s">
        <v>285</v>
      </c>
      <c r="B14" s="988"/>
      <c r="C14" s="986"/>
      <c r="D14" s="49">
        <f>SUM(D7:D10)</f>
        <v>97575</v>
      </c>
      <c r="E14" s="49">
        <f>SUM(E7:E10)</f>
        <v>99039</v>
      </c>
      <c r="F14" s="49">
        <f>SUM(F7:F10)</f>
        <v>100525</v>
      </c>
      <c r="G14" s="985" t="s">
        <v>284</v>
      </c>
      <c r="H14" s="986"/>
      <c r="I14" s="49">
        <f>SUM(I7:I11)</f>
        <v>692790</v>
      </c>
      <c r="J14" s="49">
        <f>SUM(J7:J11)</f>
        <v>701411</v>
      </c>
      <c r="K14" s="49">
        <f>SUM(K7:K11)</f>
        <v>710153</v>
      </c>
      <c r="L14" s="18"/>
    </row>
    <row r="15" spans="1:12" ht="12" customHeight="1" x14ac:dyDescent="0.2">
      <c r="A15" s="980"/>
      <c r="B15" s="983"/>
      <c r="C15" s="981"/>
      <c r="D15" s="48"/>
      <c r="E15" s="48"/>
      <c r="F15" s="48"/>
      <c r="G15" s="980"/>
      <c r="H15" s="981"/>
      <c r="I15" s="48"/>
      <c r="J15" s="48"/>
      <c r="K15" s="48"/>
      <c r="L15" s="14"/>
    </row>
    <row r="16" spans="1:12" ht="12" customHeight="1" x14ac:dyDescent="0.2">
      <c r="A16" s="980" t="s">
        <v>270</v>
      </c>
      <c r="B16" s="983"/>
      <c r="C16" s="981"/>
      <c r="D16" s="48"/>
      <c r="E16" s="48"/>
      <c r="F16" s="48"/>
      <c r="G16" s="980" t="s">
        <v>283</v>
      </c>
      <c r="H16" s="981"/>
      <c r="I16" s="48"/>
      <c r="J16" s="48"/>
      <c r="K16" s="48"/>
    </row>
    <row r="17" spans="1:12" ht="12" customHeight="1" x14ac:dyDescent="0.2">
      <c r="A17" s="977" t="s">
        <v>268</v>
      </c>
      <c r="B17" s="977"/>
      <c r="C17" s="977"/>
      <c r="D17" s="48"/>
      <c r="E17" s="48"/>
      <c r="F17" s="48"/>
      <c r="G17" s="1003" t="s">
        <v>267</v>
      </c>
      <c r="H17" s="1004"/>
      <c r="I17" s="48"/>
      <c r="J17" s="48"/>
      <c r="K17" s="48"/>
    </row>
    <row r="18" spans="1:12" ht="12" customHeight="1" x14ac:dyDescent="0.2">
      <c r="A18" s="977" t="s">
        <v>266</v>
      </c>
      <c r="B18" s="977"/>
      <c r="C18" s="977"/>
      <c r="D18" s="48"/>
      <c r="E18" s="48"/>
      <c r="F18" s="48"/>
      <c r="G18" s="1005" t="s">
        <v>282</v>
      </c>
      <c r="H18" s="1006"/>
      <c r="I18" s="48"/>
      <c r="J18" s="48"/>
      <c r="K18" s="48"/>
    </row>
    <row r="19" spans="1:12" ht="12" customHeight="1" x14ac:dyDescent="0.2">
      <c r="A19" s="982" t="s">
        <v>264</v>
      </c>
      <c r="B19" s="982"/>
      <c r="C19" s="982"/>
      <c r="D19" s="48"/>
      <c r="E19" s="48"/>
      <c r="F19" s="48"/>
      <c r="G19" s="1003" t="s">
        <v>263</v>
      </c>
      <c r="H19" s="1004"/>
      <c r="I19" s="48"/>
      <c r="J19" s="48"/>
      <c r="K19" s="48"/>
    </row>
    <row r="20" spans="1:12" ht="12" customHeight="1" x14ac:dyDescent="0.2">
      <c r="A20" s="982" t="s">
        <v>262</v>
      </c>
      <c r="B20" s="982"/>
      <c r="C20" s="982"/>
      <c r="D20" s="48"/>
      <c r="E20" s="48"/>
      <c r="F20" s="48"/>
      <c r="G20" s="1003" t="s">
        <v>261</v>
      </c>
      <c r="H20" s="1004"/>
      <c r="I20" s="48"/>
      <c r="J20" s="48"/>
      <c r="K20" s="48"/>
    </row>
    <row r="21" spans="1:12" ht="12" customHeight="1" x14ac:dyDescent="0.2">
      <c r="A21" s="977" t="s">
        <v>260</v>
      </c>
      <c r="B21" s="977"/>
      <c r="C21" s="977"/>
      <c r="D21" s="48">
        <f>+I25-D14</f>
        <v>595215</v>
      </c>
      <c r="E21" s="48">
        <f>+J25-E14</f>
        <v>602372</v>
      </c>
      <c r="F21" s="48">
        <f>+K25-F14</f>
        <v>609628</v>
      </c>
      <c r="G21" s="1003" t="s">
        <v>259</v>
      </c>
      <c r="H21" s="1004"/>
      <c r="I21" s="48"/>
      <c r="J21" s="48"/>
      <c r="K21" s="48"/>
    </row>
    <row r="22" spans="1:12" ht="12" customHeight="1" x14ac:dyDescent="0.2">
      <c r="A22" s="993"/>
      <c r="B22" s="993"/>
      <c r="C22" s="993"/>
      <c r="D22" s="48"/>
      <c r="E22" s="48"/>
      <c r="F22" s="48"/>
      <c r="G22" s="1003" t="s">
        <v>258</v>
      </c>
      <c r="H22" s="1004"/>
      <c r="I22" s="48"/>
      <c r="J22" s="48"/>
      <c r="K22" s="48"/>
    </row>
    <row r="23" spans="1:12" ht="12" customHeight="1" x14ac:dyDescent="0.2">
      <c r="A23" s="984" t="s">
        <v>281</v>
      </c>
      <c r="B23" s="984"/>
      <c r="C23" s="984"/>
      <c r="D23" s="49">
        <f>SUM(D16:D21)</f>
        <v>595215</v>
      </c>
      <c r="E23" s="49">
        <f>SUM(E16:E21)</f>
        <v>602372</v>
      </c>
      <c r="F23" s="49">
        <f>SUM(F16:F21)</f>
        <v>609628</v>
      </c>
      <c r="G23" s="985" t="s">
        <v>280</v>
      </c>
      <c r="H23" s="986"/>
      <c r="I23" s="49">
        <f>SUM(I16:I22)</f>
        <v>0</v>
      </c>
      <c r="J23" s="49">
        <f>SUM(J16:J22)</f>
        <v>0</v>
      </c>
      <c r="K23" s="49">
        <f>SUM(K16:K22)</f>
        <v>0</v>
      </c>
      <c r="L23" s="14"/>
    </row>
    <row r="24" spans="1:12" ht="12" customHeight="1" x14ac:dyDescent="0.2">
      <c r="A24" s="987"/>
      <c r="B24" s="987"/>
      <c r="C24" s="987"/>
      <c r="D24" s="49"/>
      <c r="E24" s="49"/>
      <c r="F24" s="49"/>
      <c r="G24" s="978"/>
      <c r="H24" s="979"/>
      <c r="I24" s="49"/>
      <c r="J24" s="49"/>
      <c r="K24" s="49"/>
      <c r="L24" s="14"/>
    </row>
    <row r="25" spans="1:12" ht="12" customHeight="1" x14ac:dyDescent="0.2">
      <c r="A25" s="984" t="s">
        <v>279</v>
      </c>
      <c r="B25" s="984"/>
      <c r="C25" s="984"/>
      <c r="D25" s="49">
        <f>+D14+D23</f>
        <v>692790</v>
      </c>
      <c r="E25" s="49">
        <f>+E14+E23</f>
        <v>701411</v>
      </c>
      <c r="F25" s="49">
        <f>+F14+F23</f>
        <v>710153</v>
      </c>
      <c r="G25" s="985" t="s">
        <v>278</v>
      </c>
      <c r="H25" s="986"/>
      <c r="I25" s="49">
        <f>+I14+I23</f>
        <v>692790</v>
      </c>
      <c r="J25" s="49">
        <f>+J14+J23</f>
        <v>701411</v>
      </c>
      <c r="K25" s="49">
        <f>+K14+K23</f>
        <v>710153</v>
      </c>
      <c r="L25" s="14"/>
    </row>
    <row r="26" spans="1:12" ht="12" customHeight="1" x14ac:dyDescent="0.2">
      <c r="A26" s="982"/>
      <c r="B26" s="982"/>
      <c r="C26" s="982"/>
      <c r="D26" s="48"/>
      <c r="E26" s="48"/>
      <c r="F26" s="48"/>
      <c r="G26" s="980"/>
      <c r="H26" s="981"/>
      <c r="I26" s="48"/>
      <c r="J26" s="48"/>
      <c r="K26" s="48"/>
      <c r="L26" s="14"/>
    </row>
    <row r="27" spans="1:12" ht="12.75" customHeight="1" x14ac:dyDescent="0.2">
      <c r="A27" s="980" t="s">
        <v>277</v>
      </c>
      <c r="B27" s="983"/>
      <c r="C27" s="981"/>
      <c r="D27" s="48"/>
      <c r="E27" s="48"/>
      <c r="F27" s="48"/>
      <c r="G27" s="980" t="s">
        <v>276</v>
      </c>
      <c r="H27" s="981"/>
      <c r="I27" s="48">
        <v>3000</v>
      </c>
      <c r="J27" s="48">
        <v>3500</v>
      </c>
      <c r="K27" s="48">
        <v>2000</v>
      </c>
      <c r="L27" s="14"/>
    </row>
    <row r="28" spans="1:12" ht="12" customHeight="1" x14ac:dyDescent="0.2">
      <c r="A28" s="980" t="s">
        <v>275</v>
      </c>
      <c r="B28" s="983"/>
      <c r="C28" s="981"/>
      <c r="D28" s="48"/>
      <c r="E28" s="48"/>
      <c r="F28" s="48"/>
      <c r="G28" s="980" t="s">
        <v>215</v>
      </c>
      <c r="H28" s="981"/>
      <c r="I28" s="48">
        <v>500</v>
      </c>
      <c r="J28" s="48"/>
      <c r="K28" s="48">
        <v>1000</v>
      </c>
      <c r="L28" s="14"/>
    </row>
    <row r="29" spans="1:12" ht="12" customHeight="1" x14ac:dyDescent="0.2">
      <c r="A29" s="982" t="s">
        <v>274</v>
      </c>
      <c r="B29" s="982"/>
      <c r="C29" s="982"/>
      <c r="D29" s="48"/>
      <c r="E29" s="48"/>
      <c r="F29" s="48"/>
      <c r="G29" s="980" t="s">
        <v>273</v>
      </c>
      <c r="H29" s="981"/>
      <c r="I29" s="48"/>
      <c r="J29" s="48"/>
      <c r="K29" s="48"/>
      <c r="L29" s="14"/>
    </row>
    <row r="30" spans="1:12" ht="24" customHeight="1" x14ac:dyDescent="0.2">
      <c r="A30" s="985" t="s">
        <v>272</v>
      </c>
      <c r="B30" s="988"/>
      <c r="C30" s="986"/>
      <c r="D30" s="48">
        <f>SUM(D27:D29)</f>
        <v>0</v>
      </c>
      <c r="E30" s="48">
        <f>SUM(E27:E29)</f>
        <v>0</v>
      </c>
      <c r="F30" s="48">
        <f>SUM(F27:F29)</f>
        <v>0</v>
      </c>
      <c r="G30" s="985" t="s">
        <v>271</v>
      </c>
      <c r="H30" s="986"/>
      <c r="I30" s="49">
        <f>SUM(I27:I29)</f>
        <v>3500</v>
      </c>
      <c r="J30" s="49">
        <f>SUM(J27:J29)</f>
        <v>3500</v>
      </c>
      <c r="K30" s="49">
        <f>SUM(K27:K29)</f>
        <v>3000</v>
      </c>
      <c r="L30" s="14"/>
    </row>
    <row r="31" spans="1:12" ht="12" customHeight="1" x14ac:dyDescent="0.2">
      <c r="A31" s="982"/>
      <c r="B31" s="982"/>
      <c r="C31" s="982"/>
      <c r="D31" s="48"/>
      <c r="E31" s="48"/>
      <c r="F31" s="48"/>
      <c r="G31" s="980"/>
      <c r="H31" s="981"/>
      <c r="I31" s="48"/>
      <c r="J31" s="48"/>
      <c r="K31" s="48"/>
      <c r="L31" s="14"/>
    </row>
    <row r="32" spans="1:12" ht="12" customHeight="1" x14ac:dyDescent="0.2">
      <c r="A32" s="980" t="s">
        <v>270</v>
      </c>
      <c r="B32" s="983"/>
      <c r="C32" s="981"/>
      <c r="D32" s="48"/>
      <c r="E32" s="48"/>
      <c r="F32" s="48"/>
      <c r="G32" s="980" t="s">
        <v>269</v>
      </c>
      <c r="H32" s="981"/>
      <c r="I32" s="48"/>
      <c r="J32" s="48"/>
      <c r="K32" s="48"/>
    </row>
    <row r="33" spans="1:12" ht="12" customHeight="1" x14ac:dyDescent="0.2">
      <c r="A33" s="977" t="s">
        <v>268</v>
      </c>
      <c r="B33" s="977"/>
      <c r="C33" s="977"/>
      <c r="D33" s="48"/>
      <c r="E33" s="48"/>
      <c r="F33" s="48"/>
      <c r="G33" s="1003" t="s">
        <v>267</v>
      </c>
      <c r="H33" s="1004"/>
      <c r="I33" s="48"/>
      <c r="J33" s="48"/>
      <c r="K33" s="48"/>
    </row>
    <row r="34" spans="1:12" ht="12" customHeight="1" x14ac:dyDescent="0.2">
      <c r="A34" s="977" t="s">
        <v>266</v>
      </c>
      <c r="B34" s="977"/>
      <c r="C34" s="977"/>
      <c r="D34" s="48"/>
      <c r="E34" s="48"/>
      <c r="F34" s="48"/>
      <c r="G34" s="980" t="s">
        <v>265</v>
      </c>
      <c r="H34" s="981"/>
      <c r="I34" s="48"/>
      <c r="J34" s="48"/>
      <c r="K34" s="48"/>
    </row>
    <row r="35" spans="1:12" ht="12" customHeight="1" x14ac:dyDescent="0.2">
      <c r="A35" s="982" t="s">
        <v>264</v>
      </c>
      <c r="B35" s="982"/>
      <c r="C35" s="982"/>
      <c r="D35" s="48"/>
      <c r="E35" s="48"/>
      <c r="F35" s="48"/>
      <c r="G35" s="980" t="s">
        <v>263</v>
      </c>
      <c r="H35" s="981"/>
      <c r="I35" s="48"/>
      <c r="J35" s="48"/>
      <c r="K35" s="48"/>
    </row>
    <row r="36" spans="1:12" ht="12" customHeight="1" x14ac:dyDescent="0.2">
      <c r="A36" s="982" t="s">
        <v>262</v>
      </c>
      <c r="B36" s="982"/>
      <c r="C36" s="982"/>
      <c r="D36" s="48"/>
      <c r="E36" s="48"/>
      <c r="F36" s="48"/>
      <c r="G36" s="1003" t="s">
        <v>261</v>
      </c>
      <c r="H36" s="1004"/>
      <c r="I36" s="48"/>
      <c r="J36" s="48"/>
      <c r="K36" s="48"/>
    </row>
    <row r="37" spans="1:12" ht="12" customHeight="1" x14ac:dyDescent="0.2">
      <c r="A37" s="977" t="s">
        <v>260</v>
      </c>
      <c r="B37" s="977"/>
      <c r="C37" s="977"/>
      <c r="D37" s="48">
        <f>+I30</f>
        <v>3500</v>
      </c>
      <c r="E37" s="48">
        <f>+J30</f>
        <v>3500</v>
      </c>
      <c r="F37" s="48">
        <f>+K30</f>
        <v>3000</v>
      </c>
      <c r="G37" s="1003" t="s">
        <v>259</v>
      </c>
      <c r="H37" s="1004"/>
      <c r="I37" s="48"/>
      <c r="J37" s="48"/>
      <c r="K37" s="48"/>
    </row>
    <row r="38" spans="1:12" ht="12" customHeight="1" x14ac:dyDescent="0.2">
      <c r="A38" s="993"/>
      <c r="B38" s="993"/>
      <c r="C38" s="993"/>
      <c r="D38" s="48"/>
      <c r="E38" s="48"/>
      <c r="F38" s="48"/>
      <c r="G38" s="1003" t="s">
        <v>258</v>
      </c>
      <c r="H38" s="1004"/>
      <c r="I38" s="48"/>
      <c r="J38" s="48"/>
      <c r="K38" s="48"/>
    </row>
    <row r="39" spans="1:12" ht="12" customHeight="1" x14ac:dyDescent="0.2">
      <c r="A39" s="985" t="s">
        <v>257</v>
      </c>
      <c r="B39" s="988"/>
      <c r="C39" s="986"/>
      <c r="D39" s="49">
        <f>SUM(D32:D37)</f>
        <v>3500</v>
      </c>
      <c r="E39" s="49">
        <f>SUM(E32:E37)</f>
        <v>3500</v>
      </c>
      <c r="F39" s="49">
        <f>SUM(F32:F37)</f>
        <v>3000</v>
      </c>
      <c r="G39" s="985" t="s">
        <v>256</v>
      </c>
      <c r="H39" s="986"/>
      <c r="I39" s="49">
        <f>SUM(I32:I38)</f>
        <v>0</v>
      </c>
      <c r="J39" s="49">
        <f>SUM(J32:J38)</f>
        <v>0</v>
      </c>
      <c r="K39" s="49">
        <f>SUM(K32:K38)</f>
        <v>0</v>
      </c>
      <c r="L39" s="14"/>
    </row>
    <row r="40" spans="1:12" ht="12" customHeight="1" x14ac:dyDescent="0.2">
      <c r="A40" s="982"/>
      <c r="B40" s="982"/>
      <c r="C40" s="982"/>
      <c r="D40" s="49"/>
      <c r="E40" s="49"/>
      <c r="F40" s="49"/>
      <c r="G40" s="980"/>
      <c r="H40" s="981"/>
      <c r="I40" s="49"/>
      <c r="J40" s="49"/>
      <c r="K40" s="49"/>
      <c r="L40" s="14"/>
    </row>
    <row r="41" spans="1:12" ht="12.75" customHeight="1" x14ac:dyDescent="0.2">
      <c r="A41" s="984" t="s">
        <v>255</v>
      </c>
      <c r="B41" s="984"/>
      <c r="C41" s="984"/>
      <c r="D41" s="49">
        <f>+D30+D39</f>
        <v>3500</v>
      </c>
      <c r="E41" s="49">
        <f>+E30+E39</f>
        <v>3500</v>
      </c>
      <c r="F41" s="49">
        <f>+F30+F39</f>
        <v>3000</v>
      </c>
      <c r="G41" s="985" t="s">
        <v>254</v>
      </c>
      <c r="H41" s="986"/>
      <c r="I41" s="49">
        <f>+I30+I39</f>
        <v>3500</v>
      </c>
      <c r="J41" s="49">
        <f>+J30+J39</f>
        <v>3500</v>
      </c>
      <c r="K41" s="49">
        <f>+K30+K39</f>
        <v>3000</v>
      </c>
      <c r="L41" s="14"/>
    </row>
    <row r="42" spans="1:12" ht="12" customHeight="1" x14ac:dyDescent="0.2">
      <c r="A42" s="982"/>
      <c r="B42" s="982"/>
      <c r="C42" s="982"/>
      <c r="D42" s="49"/>
      <c r="E42" s="49"/>
      <c r="F42" s="49"/>
      <c r="G42" s="990"/>
      <c r="H42" s="991"/>
      <c r="I42" s="49"/>
      <c r="J42" s="49"/>
      <c r="K42" s="49"/>
      <c r="L42" s="14"/>
    </row>
    <row r="43" spans="1:12" ht="12.75" customHeight="1" x14ac:dyDescent="0.2">
      <c r="A43" s="989" t="s">
        <v>253</v>
      </c>
      <c r="B43" s="989"/>
      <c r="C43" s="989"/>
      <c r="D43" s="49">
        <f>+D25+D41</f>
        <v>696290</v>
      </c>
      <c r="E43" s="49">
        <f>+E25+E41</f>
        <v>704911</v>
      </c>
      <c r="F43" s="49">
        <f>+F25+F41</f>
        <v>713153</v>
      </c>
      <c r="G43" s="1007" t="s">
        <v>252</v>
      </c>
      <c r="H43" s="1008"/>
      <c r="I43" s="49">
        <f>+I25+I41</f>
        <v>696290</v>
      </c>
      <c r="J43" s="49">
        <f>+J25+J41</f>
        <v>704911</v>
      </c>
      <c r="K43" s="49">
        <f>+K25+K41</f>
        <v>713153</v>
      </c>
      <c r="L43" s="14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2015.06.30.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6"/>
  <sheetViews>
    <sheetView workbookViewId="0">
      <selection activeCell="M34" sqref="M34"/>
    </sheetView>
  </sheetViews>
  <sheetFormatPr defaultRowHeight="12.75" x14ac:dyDescent="0.2"/>
  <cols>
    <col min="1" max="1" width="33.42578125" customWidth="1"/>
  </cols>
  <sheetData>
    <row r="4" spans="1:13" s="7" customFormat="1" ht="11.25" x14ac:dyDescent="0.2">
      <c r="A4" s="96"/>
      <c r="C4" s="202"/>
    </row>
    <row r="5" spans="1:13" s="7" customFormat="1" ht="11.25" x14ac:dyDescent="0.2">
      <c r="A5" s="181"/>
      <c r="B5" s="181"/>
      <c r="C5" s="204"/>
      <c r="D5" s="181"/>
      <c r="E5" s="181"/>
      <c r="F5" s="181"/>
      <c r="G5" s="181"/>
      <c r="H5" s="181"/>
      <c r="I5" s="181"/>
      <c r="J5" s="181"/>
      <c r="K5" s="181"/>
      <c r="L5" s="181"/>
      <c r="M5" s="181"/>
    </row>
    <row r="6" spans="1:13" s="7" customFormat="1" ht="11.25" x14ac:dyDescent="0.2">
      <c r="A6" s="815" t="s">
        <v>19</v>
      </c>
      <c r="B6" s="815"/>
      <c r="C6" s="815"/>
      <c r="D6" s="815"/>
      <c r="E6" s="815"/>
      <c r="F6" s="815"/>
      <c r="G6" s="815"/>
      <c r="H6" s="815"/>
      <c r="I6" s="815"/>
      <c r="J6" s="815"/>
      <c r="K6" s="815"/>
      <c r="L6" s="815"/>
      <c r="M6" s="815"/>
    </row>
    <row r="7" spans="1:13" s="7" customFormat="1" ht="11.25" x14ac:dyDescent="0.2">
      <c r="A7" s="812" t="s">
        <v>177</v>
      </c>
      <c r="B7" s="812"/>
      <c r="C7" s="812"/>
      <c r="D7" s="812"/>
      <c r="E7" s="812"/>
      <c r="F7" s="812"/>
      <c r="G7" s="812"/>
      <c r="H7" s="812"/>
      <c r="I7" s="812"/>
      <c r="J7" s="812"/>
      <c r="K7" s="812"/>
      <c r="L7" s="812"/>
      <c r="M7" s="812"/>
    </row>
    <row r="8" spans="1:13" s="7" customFormat="1" ht="12" customHeight="1" x14ac:dyDescent="0.2">
      <c r="A8" s="816" t="s">
        <v>175</v>
      </c>
      <c r="B8" s="816"/>
      <c r="C8" s="816"/>
      <c r="D8" s="816"/>
      <c r="E8" s="816"/>
      <c r="F8" s="816"/>
      <c r="G8" s="816"/>
      <c r="H8" s="816"/>
      <c r="I8" s="816"/>
      <c r="J8" s="816"/>
      <c r="K8" s="816"/>
      <c r="L8" s="816"/>
      <c r="M8" s="816"/>
    </row>
    <row r="9" spans="1:13" s="7" customFormat="1" ht="12.75" customHeight="1" x14ac:dyDescent="0.2">
      <c r="A9" s="810" t="s">
        <v>174</v>
      </c>
      <c r="B9" s="817" t="s">
        <v>173</v>
      </c>
      <c r="C9" s="817"/>
      <c r="D9" s="817"/>
      <c r="E9" s="818" t="s">
        <v>301</v>
      </c>
      <c r="F9" s="818"/>
      <c r="G9" s="818"/>
      <c r="H9" s="818" t="s">
        <v>172</v>
      </c>
      <c r="I9" s="818"/>
      <c r="J9" s="818"/>
      <c r="K9" s="819" t="s">
        <v>171</v>
      </c>
      <c r="L9" s="820"/>
      <c r="M9" s="821"/>
    </row>
    <row r="10" spans="1:13" s="7" customFormat="1" ht="45" customHeight="1" x14ac:dyDescent="0.2">
      <c r="A10" s="811"/>
      <c r="B10" s="278" t="s">
        <v>821</v>
      </c>
      <c r="C10" s="313" t="s">
        <v>823</v>
      </c>
      <c r="D10" s="277" t="s">
        <v>822</v>
      </c>
      <c r="E10" s="278" t="s">
        <v>821</v>
      </c>
      <c r="F10" s="278" t="s">
        <v>823</v>
      </c>
      <c r="G10" s="277" t="s">
        <v>822</v>
      </c>
      <c r="H10" s="278" t="s">
        <v>821</v>
      </c>
      <c r="I10" s="278" t="s">
        <v>823</v>
      </c>
      <c r="J10" s="277" t="s">
        <v>822</v>
      </c>
      <c r="K10" s="278" t="s">
        <v>821</v>
      </c>
      <c r="L10" s="278" t="s">
        <v>823</v>
      </c>
      <c r="M10" s="277" t="s">
        <v>822</v>
      </c>
    </row>
    <row r="11" spans="1:13" s="7" customFormat="1" ht="14.25" customHeight="1" x14ac:dyDescent="0.2">
      <c r="A11" s="37"/>
      <c r="B11" s="37"/>
      <c r="C11" s="214"/>
      <c r="D11" s="71"/>
      <c r="E11" s="183"/>
      <c r="F11" s="183"/>
      <c r="G11" s="183"/>
      <c r="H11" s="183"/>
      <c r="I11" s="183"/>
      <c r="J11" s="183"/>
      <c r="K11" s="183"/>
      <c r="L11" s="183"/>
      <c r="M11" s="36">
        <f>SUM(D11:H11)</f>
        <v>0</v>
      </c>
    </row>
    <row r="12" spans="1:13" s="7" customFormat="1" ht="14.25" customHeight="1" x14ac:dyDescent="0.2">
      <c r="A12" s="37"/>
      <c r="B12" s="37"/>
      <c r="C12" s="214"/>
      <c r="D12" s="71"/>
      <c r="E12" s="183"/>
      <c r="F12" s="183"/>
      <c r="G12" s="183"/>
      <c r="H12" s="183"/>
      <c r="I12" s="183"/>
      <c r="J12" s="183"/>
      <c r="K12" s="183"/>
      <c r="L12" s="183"/>
      <c r="M12" s="36">
        <f>SUM(D12:H12)</f>
        <v>0</v>
      </c>
    </row>
    <row r="13" spans="1:13" s="7" customFormat="1" ht="14.25" customHeight="1" x14ac:dyDescent="0.2">
      <c r="A13" s="191"/>
      <c r="B13" s="191"/>
      <c r="C13" s="218"/>
      <c r="D13" s="184"/>
      <c r="E13" s="183"/>
      <c r="F13" s="183"/>
      <c r="G13" s="183"/>
      <c r="H13" s="183"/>
      <c r="I13" s="183"/>
      <c r="J13" s="183"/>
      <c r="K13" s="183"/>
      <c r="L13" s="183"/>
      <c r="M13" s="36">
        <f>SUM(D13:H13)</f>
        <v>0</v>
      </c>
    </row>
    <row r="14" spans="1:13" s="7" customFormat="1" ht="11.25" x14ac:dyDescent="0.2">
      <c r="A14" s="201" t="s">
        <v>87</v>
      </c>
      <c r="B14" s="36">
        <f t="shared" ref="B14:M14" si="0">SUM(B11:B13)</f>
        <v>0</v>
      </c>
      <c r="C14" s="36">
        <f t="shared" si="0"/>
        <v>0</v>
      </c>
      <c r="D14" s="36">
        <f t="shared" si="0"/>
        <v>0</v>
      </c>
      <c r="E14" s="36">
        <f t="shared" si="0"/>
        <v>0</v>
      </c>
      <c r="F14" s="36">
        <f t="shared" si="0"/>
        <v>0</v>
      </c>
      <c r="G14" s="36">
        <f t="shared" si="0"/>
        <v>0</v>
      </c>
      <c r="H14" s="36">
        <f t="shared" si="0"/>
        <v>0</v>
      </c>
      <c r="I14" s="36">
        <f t="shared" si="0"/>
        <v>0</v>
      </c>
      <c r="J14" s="36">
        <f t="shared" si="0"/>
        <v>0</v>
      </c>
      <c r="K14" s="36">
        <f t="shared" si="0"/>
        <v>0</v>
      </c>
      <c r="L14" s="36">
        <f t="shared" si="0"/>
        <v>0</v>
      </c>
      <c r="M14" s="36">
        <f t="shared" si="0"/>
        <v>0</v>
      </c>
    </row>
    <row r="15" spans="1:13" s="7" customFormat="1" ht="11.25" x14ac:dyDescent="0.2">
      <c r="A15" s="96"/>
      <c r="C15" s="202"/>
    </row>
    <row r="16" spans="1:13" s="7" customFormat="1" ht="11.25" x14ac:dyDescent="0.2">
      <c r="A16" s="96"/>
      <c r="C16" s="202"/>
    </row>
    <row r="17" spans="1:13" s="7" customFormat="1" ht="11.25" x14ac:dyDescent="0.2">
      <c r="A17" s="815" t="s">
        <v>376</v>
      </c>
      <c r="B17" s="815"/>
      <c r="C17" s="815"/>
      <c r="D17" s="815"/>
      <c r="E17" s="815"/>
      <c r="F17" s="815"/>
      <c r="G17" s="815"/>
      <c r="H17" s="815"/>
      <c r="I17" s="815"/>
      <c r="J17" s="815"/>
      <c r="K17" s="815"/>
      <c r="L17" s="815"/>
      <c r="M17" s="815"/>
    </row>
    <row r="18" spans="1:13" s="7" customFormat="1" ht="11.25" x14ac:dyDescent="0.2">
      <c r="A18" s="812" t="s">
        <v>176</v>
      </c>
      <c r="B18" s="812"/>
      <c r="C18" s="812"/>
      <c r="D18" s="812"/>
      <c r="E18" s="812"/>
      <c r="F18" s="812"/>
      <c r="G18" s="812"/>
      <c r="H18" s="812"/>
      <c r="I18" s="812"/>
      <c r="J18" s="812"/>
      <c r="K18" s="812"/>
      <c r="L18" s="812"/>
      <c r="M18" s="812"/>
    </row>
    <row r="19" spans="1:13" s="7" customFormat="1" ht="11.25" x14ac:dyDescent="0.2">
      <c r="A19" s="816" t="s">
        <v>175</v>
      </c>
      <c r="B19" s="816"/>
      <c r="C19" s="816"/>
      <c r="D19" s="816"/>
      <c r="E19" s="816"/>
      <c r="F19" s="816"/>
      <c r="G19" s="816"/>
      <c r="H19" s="816"/>
      <c r="I19" s="816"/>
      <c r="J19" s="816"/>
      <c r="K19" s="816"/>
      <c r="L19" s="816"/>
      <c r="M19" s="816"/>
    </row>
    <row r="20" spans="1:13" s="7" customFormat="1" ht="12.75" customHeight="1" x14ac:dyDescent="0.2">
      <c r="A20" s="810" t="s">
        <v>174</v>
      </c>
      <c r="B20" s="817" t="s">
        <v>173</v>
      </c>
      <c r="C20" s="817"/>
      <c r="D20" s="817"/>
      <c r="E20" s="818" t="s">
        <v>301</v>
      </c>
      <c r="F20" s="818"/>
      <c r="G20" s="818"/>
      <c r="H20" s="818" t="s">
        <v>172</v>
      </c>
      <c r="I20" s="818"/>
      <c r="J20" s="818"/>
      <c r="K20" s="819" t="s">
        <v>171</v>
      </c>
      <c r="L20" s="820"/>
      <c r="M20" s="821"/>
    </row>
    <row r="21" spans="1:13" s="7" customFormat="1" ht="33.75" x14ac:dyDescent="0.2">
      <c r="A21" s="811"/>
      <c r="B21" s="278" t="s">
        <v>821</v>
      </c>
      <c r="C21" s="313" t="s">
        <v>823</v>
      </c>
      <c r="D21" s="277" t="s">
        <v>822</v>
      </c>
      <c r="E21" s="278" t="s">
        <v>821</v>
      </c>
      <c r="F21" s="278" t="s">
        <v>823</v>
      </c>
      <c r="G21" s="277" t="s">
        <v>822</v>
      </c>
      <c r="H21" s="278" t="s">
        <v>821</v>
      </c>
      <c r="I21" s="278" t="s">
        <v>823</v>
      </c>
      <c r="J21" s="277" t="s">
        <v>822</v>
      </c>
      <c r="K21" s="278" t="s">
        <v>821</v>
      </c>
      <c r="L21" s="278" t="s">
        <v>823</v>
      </c>
      <c r="M21" s="277" t="s">
        <v>822</v>
      </c>
    </row>
    <row r="22" spans="1:13" s="7" customFormat="1" ht="11.25" x14ac:dyDescent="0.2">
      <c r="A22" s="37" t="s">
        <v>302</v>
      </c>
      <c r="B22" s="71">
        <v>9100</v>
      </c>
      <c r="C22" s="71">
        <v>9100</v>
      </c>
      <c r="D22" s="190">
        <v>4169</v>
      </c>
      <c r="E22" s="205"/>
      <c r="F22" s="205"/>
      <c r="G22" s="205"/>
      <c r="H22" s="205"/>
      <c r="I22" s="206"/>
      <c r="J22" s="206"/>
      <c r="K22" s="219">
        <f t="shared" ref="K22:M26" si="1">SUM(B22+E22+H22)</f>
        <v>9100</v>
      </c>
      <c r="L22" s="219">
        <f t="shared" si="1"/>
        <v>9100</v>
      </c>
      <c r="M22" s="36">
        <f t="shared" si="1"/>
        <v>4169</v>
      </c>
    </row>
    <row r="23" spans="1:13" s="7" customFormat="1" ht="11.25" x14ac:dyDescent="0.2">
      <c r="A23" s="37" t="s">
        <v>303</v>
      </c>
      <c r="B23" s="71">
        <v>37620</v>
      </c>
      <c r="C23" s="71">
        <v>37620</v>
      </c>
      <c r="D23" s="190">
        <v>18965</v>
      </c>
      <c r="E23" s="205"/>
      <c r="F23" s="205"/>
      <c r="G23" s="205"/>
      <c r="H23" s="205"/>
      <c r="I23" s="206"/>
      <c r="J23" s="206"/>
      <c r="K23" s="219">
        <f t="shared" si="1"/>
        <v>37620</v>
      </c>
      <c r="L23" s="219">
        <f t="shared" si="1"/>
        <v>37620</v>
      </c>
      <c r="M23" s="36">
        <f t="shared" si="1"/>
        <v>18965</v>
      </c>
    </row>
    <row r="24" spans="1:13" s="7" customFormat="1" ht="11.25" x14ac:dyDescent="0.2">
      <c r="A24" s="37" t="s">
        <v>304</v>
      </c>
      <c r="B24" s="35">
        <v>1642</v>
      </c>
      <c r="C24" s="35">
        <v>1642</v>
      </c>
      <c r="D24" s="190">
        <v>825</v>
      </c>
      <c r="E24" s="205"/>
      <c r="F24" s="205"/>
      <c r="G24" s="205"/>
      <c r="H24" s="205"/>
      <c r="I24" s="206"/>
      <c r="J24" s="206"/>
      <c r="K24" s="219">
        <f t="shared" si="1"/>
        <v>1642</v>
      </c>
      <c r="L24" s="219">
        <f t="shared" si="1"/>
        <v>1642</v>
      </c>
      <c r="M24" s="36">
        <f t="shared" si="1"/>
        <v>825</v>
      </c>
    </row>
    <row r="25" spans="1:13" s="7" customFormat="1" ht="11.25" x14ac:dyDescent="0.2">
      <c r="A25" s="37" t="s">
        <v>305</v>
      </c>
      <c r="B25" s="35">
        <v>2500</v>
      </c>
      <c r="C25" s="35">
        <v>2500</v>
      </c>
      <c r="D25" s="190">
        <v>888</v>
      </c>
      <c r="E25" s="205"/>
      <c r="F25" s="205"/>
      <c r="G25" s="205"/>
      <c r="H25" s="205"/>
      <c r="I25" s="206"/>
      <c r="J25" s="206"/>
      <c r="K25" s="219">
        <f t="shared" si="1"/>
        <v>2500</v>
      </c>
      <c r="L25" s="219">
        <f t="shared" si="1"/>
        <v>2500</v>
      </c>
      <c r="M25" s="36">
        <f t="shared" si="1"/>
        <v>888</v>
      </c>
    </row>
    <row r="26" spans="1:13" s="7" customFormat="1" ht="11.25" x14ac:dyDescent="0.2">
      <c r="A26" s="37" t="s">
        <v>718</v>
      </c>
      <c r="B26" s="35">
        <v>15000</v>
      </c>
      <c r="C26" s="35">
        <v>15000</v>
      </c>
      <c r="D26" s="190">
        <v>0</v>
      </c>
      <c r="E26" s="205"/>
      <c r="F26" s="206"/>
      <c r="G26" s="206"/>
      <c r="H26" s="206"/>
      <c r="I26" s="206"/>
      <c r="J26" s="206"/>
      <c r="K26" s="219">
        <f t="shared" si="1"/>
        <v>15000</v>
      </c>
      <c r="L26" s="219">
        <f t="shared" si="1"/>
        <v>15000</v>
      </c>
      <c r="M26" s="36">
        <f t="shared" si="1"/>
        <v>0</v>
      </c>
    </row>
    <row r="27" spans="1:13" s="7" customFormat="1" ht="11.25" x14ac:dyDescent="0.2">
      <c r="A27" s="37" t="s">
        <v>831</v>
      </c>
      <c r="B27" s="220"/>
      <c r="C27" s="220"/>
      <c r="D27" s="190">
        <v>1217</v>
      </c>
      <c r="E27" s="205"/>
      <c r="F27" s="206"/>
      <c r="G27" s="206"/>
      <c r="H27" s="206"/>
      <c r="I27" s="206"/>
      <c r="J27" s="206"/>
      <c r="K27" s="219"/>
      <c r="L27" s="219"/>
      <c r="M27" s="36">
        <f>SUM(D27+G27+J27)</f>
        <v>1217</v>
      </c>
    </row>
    <row r="28" spans="1:13" s="7" customFormat="1" ht="11.25" x14ac:dyDescent="0.2">
      <c r="A28" s="37" t="s">
        <v>832</v>
      </c>
      <c r="B28" s="220"/>
      <c r="C28" s="220"/>
      <c r="D28" s="190">
        <v>680</v>
      </c>
      <c r="E28" s="205"/>
      <c r="F28" s="206"/>
      <c r="G28" s="206"/>
      <c r="H28" s="206"/>
      <c r="I28" s="206"/>
      <c r="J28" s="206"/>
      <c r="K28" s="219"/>
      <c r="L28" s="219"/>
      <c r="M28" s="36">
        <f>SUM(D28+G28+J28)</f>
        <v>680</v>
      </c>
    </row>
    <row r="29" spans="1:13" s="7" customFormat="1" ht="11.25" x14ac:dyDescent="0.2">
      <c r="A29" s="37"/>
      <c r="B29" s="220"/>
      <c r="C29" s="220"/>
      <c r="D29" s="190"/>
      <c r="E29" s="205"/>
      <c r="F29" s="206"/>
      <c r="G29" s="206"/>
      <c r="H29" s="206"/>
      <c r="I29" s="206"/>
      <c r="J29" s="206"/>
      <c r="K29" s="219"/>
      <c r="L29" s="219"/>
      <c r="M29" s="36"/>
    </row>
    <row r="30" spans="1:13" s="7" customFormat="1" ht="11.25" x14ac:dyDescent="0.2">
      <c r="A30" s="37" t="s">
        <v>719</v>
      </c>
      <c r="B30" s="37"/>
      <c r="C30" s="214"/>
      <c r="D30" s="48"/>
      <c r="E30" s="205"/>
      <c r="F30" s="206"/>
      <c r="G30" s="206"/>
      <c r="H30" s="71">
        <v>7936</v>
      </c>
      <c r="I30" s="71">
        <v>7936</v>
      </c>
      <c r="J30" s="71">
        <v>7248</v>
      </c>
      <c r="K30" s="219">
        <f t="shared" ref="K30:M33" si="2">SUM(B30+E30+H30)</f>
        <v>7936</v>
      </c>
      <c r="L30" s="219">
        <f t="shared" si="2"/>
        <v>7936</v>
      </c>
      <c r="M30" s="36">
        <f t="shared" si="2"/>
        <v>7248</v>
      </c>
    </row>
    <row r="31" spans="1:13" s="7" customFormat="1" ht="11.25" x14ac:dyDescent="0.2">
      <c r="A31" s="37" t="s">
        <v>720</v>
      </c>
      <c r="B31" s="37"/>
      <c r="C31" s="214"/>
      <c r="D31" s="207"/>
      <c r="E31" s="205"/>
      <c r="F31" s="206"/>
      <c r="G31" s="206"/>
      <c r="H31" s="71">
        <v>50</v>
      </c>
      <c r="I31" s="71">
        <v>50</v>
      </c>
      <c r="J31" s="71">
        <v>3</v>
      </c>
      <c r="K31" s="219">
        <f t="shared" si="2"/>
        <v>50</v>
      </c>
      <c r="L31" s="219">
        <f t="shared" si="2"/>
        <v>50</v>
      </c>
      <c r="M31" s="36">
        <f t="shared" si="2"/>
        <v>3</v>
      </c>
    </row>
    <row r="32" spans="1:13" s="7" customFormat="1" ht="11.25" x14ac:dyDescent="0.2">
      <c r="A32" s="37" t="s">
        <v>721</v>
      </c>
      <c r="B32" s="37"/>
      <c r="C32" s="214"/>
      <c r="D32" s="208"/>
      <c r="E32" s="206"/>
      <c r="F32" s="206"/>
      <c r="G32" s="206"/>
      <c r="H32" s="71">
        <v>850</v>
      </c>
      <c r="I32" s="71">
        <v>850</v>
      </c>
      <c r="J32" s="71">
        <v>200</v>
      </c>
      <c r="K32" s="219">
        <f t="shared" si="2"/>
        <v>850</v>
      </c>
      <c r="L32" s="219">
        <f t="shared" si="2"/>
        <v>850</v>
      </c>
      <c r="M32" s="36">
        <f t="shared" si="2"/>
        <v>200</v>
      </c>
    </row>
    <row r="33" spans="1:13" s="7" customFormat="1" ht="11.25" x14ac:dyDescent="0.2">
      <c r="A33" s="37" t="s">
        <v>854</v>
      </c>
      <c r="B33" s="37"/>
      <c r="C33" s="214"/>
      <c r="D33" s="208"/>
      <c r="E33" s="206"/>
      <c r="F33" s="206"/>
      <c r="G33" s="206"/>
      <c r="H33" s="71">
        <v>0</v>
      </c>
      <c r="I33" s="71">
        <v>1237</v>
      </c>
      <c r="J33" s="71">
        <v>455</v>
      </c>
      <c r="K33" s="219">
        <f t="shared" si="2"/>
        <v>0</v>
      </c>
      <c r="L33" s="219">
        <f t="shared" si="2"/>
        <v>1237</v>
      </c>
      <c r="M33" s="36">
        <f t="shared" si="2"/>
        <v>455</v>
      </c>
    </row>
    <row r="34" spans="1:13" s="7" customFormat="1" ht="11.25" x14ac:dyDescent="0.2">
      <c r="A34" s="201" t="s">
        <v>87</v>
      </c>
      <c r="B34" s="36">
        <f>SUM(B22:B33)</f>
        <v>65862</v>
      </c>
      <c r="C34" s="36">
        <f t="shared" ref="C34:J34" si="3">SUM(C22:C33)</f>
        <v>65862</v>
      </c>
      <c r="D34" s="36">
        <f t="shared" si="3"/>
        <v>26744</v>
      </c>
      <c r="E34" s="36">
        <f t="shared" si="3"/>
        <v>0</v>
      </c>
      <c r="F34" s="36">
        <f t="shared" si="3"/>
        <v>0</v>
      </c>
      <c r="G34" s="36">
        <f t="shared" si="3"/>
        <v>0</v>
      </c>
      <c r="H34" s="36">
        <f t="shared" si="3"/>
        <v>8836</v>
      </c>
      <c r="I34" s="36">
        <f t="shared" si="3"/>
        <v>10073</v>
      </c>
      <c r="J34" s="36">
        <f t="shared" si="3"/>
        <v>7906</v>
      </c>
      <c r="K34" s="36">
        <f>SUM(K22:K33)</f>
        <v>74698</v>
      </c>
      <c r="L34" s="36">
        <f>SUM(L22:L33)</f>
        <v>75935</v>
      </c>
      <c r="M34" s="36">
        <f>SUM(M22:M33)</f>
        <v>34650</v>
      </c>
    </row>
    <row r="35" spans="1:13" s="7" customFormat="1" ht="11.25" x14ac:dyDescent="0.2">
      <c r="A35" s="96"/>
      <c r="C35" s="202"/>
    </row>
    <row r="36" spans="1:13" s="7" customFormat="1" ht="11.25" x14ac:dyDescent="0.2">
      <c r="A36" s="96"/>
      <c r="C36" s="202"/>
      <c r="K36" s="202"/>
      <c r="L36" s="202"/>
      <c r="M36" s="202"/>
    </row>
  </sheetData>
  <mergeCells count="16">
    <mergeCell ref="A17:M17"/>
    <mergeCell ref="A18:M18"/>
    <mergeCell ref="A19:M19"/>
    <mergeCell ref="A20:A21"/>
    <mergeCell ref="B20:D20"/>
    <mergeCell ref="E20:G20"/>
    <mergeCell ref="H20:J20"/>
    <mergeCell ref="K20:M20"/>
    <mergeCell ref="A7:M7"/>
    <mergeCell ref="A6:M6"/>
    <mergeCell ref="A8:M8"/>
    <mergeCell ref="A9:A10"/>
    <mergeCell ref="B9:D9"/>
    <mergeCell ref="E9:G9"/>
    <mergeCell ref="H9:J9"/>
    <mergeCell ref="K9:M9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&amp;LVeresegyház Város Önkormányzata&amp;CELŐIRÁNYZAT MÓDOSÍTÁS, TELJESÍTÉS 2015.06.30.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A2" sqref="A2:K2"/>
    </sheetView>
  </sheetViews>
  <sheetFormatPr defaultRowHeight="12.75" x14ac:dyDescent="0.2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 x14ac:dyDescent="0.2">
      <c r="A1" t="s">
        <v>427</v>
      </c>
      <c r="H1" s="34"/>
      <c r="J1" s="62"/>
      <c r="K1" s="62" t="s">
        <v>420</v>
      </c>
      <c r="L1" s="62"/>
    </row>
    <row r="2" spans="1:12" ht="12" customHeight="1" x14ac:dyDescent="0.2">
      <c r="A2" s="996" t="s">
        <v>299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65"/>
    </row>
    <row r="3" spans="1:12" ht="12" customHeight="1" x14ac:dyDescent="0.2">
      <c r="A3" s="1001"/>
      <c r="B3" s="1001"/>
      <c r="C3" s="1001"/>
      <c r="D3" s="66"/>
      <c r="E3" s="66"/>
      <c r="F3" s="7"/>
      <c r="G3" s="1002"/>
      <c r="H3" s="1002"/>
      <c r="J3" s="63"/>
      <c r="K3" s="63" t="s">
        <v>298</v>
      </c>
      <c r="L3" s="63"/>
    </row>
    <row r="4" spans="1:12" ht="12" customHeight="1" x14ac:dyDescent="0.2">
      <c r="A4" s="997" t="s">
        <v>62</v>
      </c>
      <c r="B4" s="997"/>
      <c r="C4" s="997"/>
      <c r="D4" s="997"/>
      <c r="E4" s="997"/>
      <c r="F4" s="997"/>
      <c r="G4" s="997" t="s">
        <v>63</v>
      </c>
      <c r="H4" s="997"/>
      <c r="I4" s="997"/>
      <c r="J4" s="997"/>
      <c r="K4" s="997"/>
      <c r="L4" s="32"/>
    </row>
    <row r="5" spans="1:12" x14ac:dyDescent="0.2">
      <c r="A5" s="819" t="s">
        <v>94</v>
      </c>
      <c r="B5" s="820"/>
      <c r="C5" s="821"/>
      <c r="D5" s="998" t="s">
        <v>297</v>
      </c>
      <c r="E5" s="944"/>
      <c r="F5" s="945"/>
      <c r="G5" s="819" t="s">
        <v>94</v>
      </c>
      <c r="H5" s="821"/>
      <c r="I5" s="817" t="s">
        <v>297</v>
      </c>
      <c r="J5" s="817"/>
      <c r="K5" s="817"/>
      <c r="L5" s="31"/>
    </row>
    <row r="6" spans="1:12" x14ac:dyDescent="0.2">
      <c r="A6" s="941"/>
      <c r="B6" s="999"/>
      <c r="C6" s="1000"/>
      <c r="D6" s="64">
        <v>2016</v>
      </c>
      <c r="E6" s="64">
        <v>2017</v>
      </c>
      <c r="F6" s="64">
        <v>2018</v>
      </c>
      <c r="G6" s="941"/>
      <c r="H6" s="1000"/>
      <c r="I6" s="64">
        <v>2016</v>
      </c>
      <c r="J6" s="64">
        <v>2017</v>
      </c>
      <c r="K6" s="64">
        <v>2018</v>
      </c>
      <c r="L6" s="31"/>
    </row>
    <row r="7" spans="1:12" ht="12" customHeight="1" x14ac:dyDescent="0.2">
      <c r="A7" s="980" t="s">
        <v>296</v>
      </c>
      <c r="B7" s="983"/>
      <c r="C7" s="981"/>
      <c r="D7" s="48"/>
      <c r="E7" s="48"/>
      <c r="F7" s="48"/>
      <c r="G7" s="980" t="s">
        <v>295</v>
      </c>
      <c r="H7" s="981"/>
      <c r="I7" s="48">
        <f>ROUND(1.01*76448,0)</f>
        <v>77212</v>
      </c>
      <c r="J7" s="48">
        <f>ROUND(I7*1.01,0)</f>
        <v>77984</v>
      </c>
      <c r="K7" s="48">
        <f>ROUND(J7*1.01,0)</f>
        <v>78764</v>
      </c>
      <c r="L7" s="14"/>
    </row>
    <row r="8" spans="1:12" ht="12" customHeight="1" x14ac:dyDescent="0.2">
      <c r="A8" s="980" t="s">
        <v>294</v>
      </c>
      <c r="B8" s="983"/>
      <c r="C8" s="981"/>
      <c r="D8" s="48"/>
      <c r="E8" s="48"/>
      <c r="F8" s="48"/>
      <c r="G8" s="982" t="s">
        <v>293</v>
      </c>
      <c r="H8" s="982"/>
      <c r="I8" s="48">
        <f>ROUND(1.01*22503,0)</f>
        <v>22728</v>
      </c>
      <c r="J8" s="48">
        <f>ROUND(I8*1.01,0)</f>
        <v>22955</v>
      </c>
      <c r="K8" s="48">
        <f>ROUND(J8*1.01,0)</f>
        <v>23185</v>
      </c>
      <c r="L8" s="14"/>
    </row>
    <row r="9" spans="1:12" ht="12" customHeight="1" x14ac:dyDescent="0.2">
      <c r="A9" s="980" t="s">
        <v>292</v>
      </c>
      <c r="B9" s="983"/>
      <c r="C9" s="981"/>
      <c r="D9" s="48">
        <v>25000</v>
      </c>
      <c r="E9" s="48">
        <v>25000</v>
      </c>
      <c r="F9" s="48">
        <v>25000</v>
      </c>
      <c r="G9" s="982" t="s">
        <v>291</v>
      </c>
      <c r="H9" s="982"/>
      <c r="I9" s="48">
        <v>35264</v>
      </c>
      <c r="J9" s="48">
        <f>ROUND(I9*1.02,0)</f>
        <v>35969</v>
      </c>
      <c r="K9" s="48">
        <f>ROUND(J9*1.02,0)</f>
        <v>36688</v>
      </c>
      <c r="L9" s="14"/>
    </row>
    <row r="10" spans="1:12" ht="12" customHeight="1" x14ac:dyDescent="0.2">
      <c r="A10" s="980" t="s">
        <v>290</v>
      </c>
      <c r="B10" s="983"/>
      <c r="C10" s="981"/>
      <c r="D10" s="48"/>
      <c r="E10" s="48"/>
      <c r="F10" s="48"/>
      <c r="G10" s="982" t="s">
        <v>289</v>
      </c>
      <c r="H10" s="982"/>
      <c r="I10" s="48"/>
      <c r="J10" s="48"/>
      <c r="K10" s="48"/>
      <c r="L10" s="14"/>
    </row>
    <row r="11" spans="1:12" ht="12" customHeight="1" x14ac:dyDescent="0.2">
      <c r="A11" s="982"/>
      <c r="B11" s="982"/>
      <c r="C11" s="982"/>
      <c r="D11" s="48"/>
      <c r="E11" s="48"/>
      <c r="F11" s="48"/>
      <c r="G11" s="982" t="s">
        <v>288</v>
      </c>
      <c r="H11" s="982"/>
      <c r="I11" s="48"/>
      <c r="J11" s="48"/>
      <c r="K11" s="48"/>
      <c r="L11" s="14"/>
    </row>
    <row r="12" spans="1:12" ht="12" customHeight="1" x14ac:dyDescent="0.2">
      <c r="A12" s="984"/>
      <c r="B12" s="984"/>
      <c r="C12" s="984"/>
      <c r="D12" s="48"/>
      <c r="E12" s="48"/>
      <c r="F12" s="48"/>
      <c r="G12" s="994" t="s">
        <v>287</v>
      </c>
      <c r="H12" s="995"/>
      <c r="I12" s="48"/>
      <c r="J12" s="48"/>
      <c r="K12" s="48"/>
      <c r="L12" s="14"/>
    </row>
    <row r="13" spans="1:12" ht="12" customHeight="1" x14ac:dyDescent="0.2">
      <c r="A13" s="987"/>
      <c r="B13" s="987"/>
      <c r="C13" s="987"/>
      <c r="D13" s="48"/>
      <c r="E13" s="48"/>
      <c r="F13" s="48"/>
      <c r="G13" s="980" t="s">
        <v>286</v>
      </c>
      <c r="H13" s="981"/>
      <c r="I13" s="48"/>
      <c r="J13" s="48"/>
      <c r="K13" s="48"/>
      <c r="L13" s="14"/>
    </row>
    <row r="14" spans="1:12" s="1" customFormat="1" ht="23.25" customHeight="1" x14ac:dyDescent="0.2">
      <c r="A14" s="985" t="s">
        <v>285</v>
      </c>
      <c r="B14" s="988"/>
      <c r="C14" s="986"/>
      <c r="D14" s="49">
        <f>SUM(D7:D10)</f>
        <v>25000</v>
      </c>
      <c r="E14" s="49">
        <f>SUM(E7:E10)</f>
        <v>25000</v>
      </c>
      <c r="F14" s="49">
        <f>SUM(F7:F10)</f>
        <v>25000</v>
      </c>
      <c r="G14" s="985" t="s">
        <v>284</v>
      </c>
      <c r="H14" s="986"/>
      <c r="I14" s="49">
        <f>SUM(I7:I11)</f>
        <v>135204</v>
      </c>
      <c r="J14" s="49">
        <f>SUM(J7:J11)</f>
        <v>136908</v>
      </c>
      <c r="K14" s="49">
        <f>SUM(K7:K11)</f>
        <v>138637</v>
      </c>
      <c r="L14" s="18"/>
    </row>
    <row r="15" spans="1:12" ht="12" customHeight="1" x14ac:dyDescent="0.2">
      <c r="A15" s="980"/>
      <c r="B15" s="983"/>
      <c r="C15" s="981"/>
      <c r="D15" s="48"/>
      <c r="E15" s="48"/>
      <c r="F15" s="48"/>
      <c r="G15" s="980"/>
      <c r="H15" s="981"/>
      <c r="I15" s="48"/>
      <c r="J15" s="48"/>
      <c r="K15" s="48"/>
      <c r="L15" s="14"/>
    </row>
    <row r="16" spans="1:12" ht="12" customHeight="1" x14ac:dyDescent="0.2">
      <c r="A16" s="980" t="s">
        <v>270</v>
      </c>
      <c r="B16" s="983"/>
      <c r="C16" s="981"/>
      <c r="D16" s="48"/>
      <c r="E16" s="48"/>
      <c r="F16" s="48"/>
      <c r="G16" s="980" t="s">
        <v>283</v>
      </c>
      <c r="H16" s="981"/>
      <c r="I16" s="48"/>
      <c r="J16" s="48"/>
      <c r="K16" s="48"/>
    </row>
    <row r="17" spans="1:12" ht="12" customHeight="1" x14ac:dyDescent="0.2">
      <c r="A17" s="977" t="s">
        <v>268</v>
      </c>
      <c r="B17" s="977"/>
      <c r="C17" s="977"/>
      <c r="D17" s="48"/>
      <c r="E17" s="48"/>
      <c r="F17" s="48"/>
      <c r="G17" s="977" t="s">
        <v>267</v>
      </c>
      <c r="H17" s="977"/>
      <c r="I17" s="48"/>
      <c r="J17" s="48"/>
      <c r="K17" s="48"/>
    </row>
    <row r="18" spans="1:12" ht="12" customHeight="1" x14ac:dyDescent="0.2">
      <c r="A18" s="977" t="s">
        <v>266</v>
      </c>
      <c r="B18" s="977"/>
      <c r="C18" s="977"/>
      <c r="D18" s="48"/>
      <c r="E18" s="48"/>
      <c r="F18" s="48"/>
      <c r="G18" s="992" t="s">
        <v>282</v>
      </c>
      <c r="H18" s="992"/>
      <c r="I18" s="48"/>
      <c r="J18" s="48"/>
      <c r="K18" s="48"/>
    </row>
    <row r="19" spans="1:12" ht="12" customHeight="1" x14ac:dyDescent="0.2">
      <c r="A19" s="982" t="s">
        <v>264</v>
      </c>
      <c r="B19" s="982"/>
      <c r="C19" s="982"/>
      <c r="D19" s="48"/>
      <c r="E19" s="48"/>
      <c r="F19" s="48"/>
      <c r="G19" s="977" t="s">
        <v>263</v>
      </c>
      <c r="H19" s="977"/>
      <c r="I19" s="48"/>
      <c r="J19" s="48"/>
      <c r="K19" s="48"/>
    </row>
    <row r="20" spans="1:12" ht="12" customHeight="1" x14ac:dyDescent="0.2">
      <c r="A20" s="982" t="s">
        <v>262</v>
      </c>
      <c r="B20" s="982"/>
      <c r="C20" s="982"/>
      <c r="D20" s="48"/>
      <c r="E20" s="48"/>
      <c r="F20" s="48"/>
      <c r="G20" s="977" t="s">
        <v>261</v>
      </c>
      <c r="H20" s="977"/>
      <c r="I20" s="48"/>
      <c r="J20" s="48"/>
      <c r="K20" s="48"/>
    </row>
    <row r="21" spans="1:12" ht="12" customHeight="1" x14ac:dyDescent="0.2">
      <c r="A21" s="977" t="s">
        <v>260</v>
      </c>
      <c r="B21" s="977"/>
      <c r="C21" s="977"/>
      <c r="D21" s="48">
        <f>+I25-D14</f>
        <v>110204</v>
      </c>
      <c r="E21" s="48">
        <f>+J25-E14</f>
        <v>111908</v>
      </c>
      <c r="F21" s="48">
        <f>+K25-F14</f>
        <v>113637</v>
      </c>
      <c r="G21" s="977" t="s">
        <v>259</v>
      </c>
      <c r="H21" s="977"/>
      <c r="I21" s="48"/>
      <c r="J21" s="48"/>
      <c r="K21" s="48"/>
    </row>
    <row r="22" spans="1:12" ht="12" customHeight="1" x14ac:dyDescent="0.2">
      <c r="A22" s="993"/>
      <c r="B22" s="993"/>
      <c r="C22" s="993"/>
      <c r="D22" s="48"/>
      <c r="E22" s="48"/>
      <c r="F22" s="48"/>
      <c r="G22" s="977" t="s">
        <v>258</v>
      </c>
      <c r="H22" s="977"/>
      <c r="I22" s="48"/>
      <c r="J22" s="48"/>
      <c r="K22" s="48"/>
    </row>
    <row r="23" spans="1:12" ht="12" customHeight="1" x14ac:dyDescent="0.2">
      <c r="A23" s="984" t="s">
        <v>281</v>
      </c>
      <c r="B23" s="984"/>
      <c r="C23" s="984"/>
      <c r="D23" s="49">
        <f>SUM(D16:D21)</f>
        <v>110204</v>
      </c>
      <c r="E23" s="49">
        <f>SUM(E16:E21)</f>
        <v>111908</v>
      </c>
      <c r="F23" s="49">
        <f>SUM(F16:F21)</f>
        <v>113637</v>
      </c>
      <c r="G23" s="985" t="s">
        <v>280</v>
      </c>
      <c r="H23" s="986"/>
      <c r="I23" s="49">
        <f>SUM(I16:I22)</f>
        <v>0</v>
      </c>
      <c r="J23" s="49">
        <f>SUM(J16:J22)</f>
        <v>0</v>
      </c>
      <c r="K23" s="49">
        <f>SUM(K16:K22)</f>
        <v>0</v>
      </c>
      <c r="L23" s="14"/>
    </row>
    <row r="24" spans="1:12" ht="12" customHeight="1" x14ac:dyDescent="0.2">
      <c r="A24" s="987"/>
      <c r="B24" s="987"/>
      <c r="C24" s="987"/>
      <c r="D24" s="49"/>
      <c r="E24" s="49"/>
      <c r="F24" s="49"/>
      <c r="G24" s="978"/>
      <c r="H24" s="979"/>
      <c r="I24" s="49"/>
      <c r="J24" s="49"/>
      <c r="K24" s="49"/>
      <c r="L24" s="14"/>
    </row>
    <row r="25" spans="1:12" ht="12" customHeight="1" x14ac:dyDescent="0.2">
      <c r="A25" s="984" t="s">
        <v>279</v>
      </c>
      <c r="B25" s="984"/>
      <c r="C25" s="984"/>
      <c r="D25" s="49">
        <f>+D14+D23</f>
        <v>135204</v>
      </c>
      <c r="E25" s="49">
        <f>+E14+E23</f>
        <v>136908</v>
      </c>
      <c r="F25" s="49">
        <f>+F14+F23</f>
        <v>138637</v>
      </c>
      <c r="G25" s="985" t="s">
        <v>278</v>
      </c>
      <c r="H25" s="986"/>
      <c r="I25" s="49">
        <f>+I14+I23</f>
        <v>135204</v>
      </c>
      <c r="J25" s="49">
        <f>+J14+J23</f>
        <v>136908</v>
      </c>
      <c r="K25" s="49">
        <f>+K14+K23</f>
        <v>138637</v>
      </c>
      <c r="L25" s="14"/>
    </row>
    <row r="26" spans="1:12" ht="12" customHeight="1" x14ac:dyDescent="0.2">
      <c r="A26" s="982"/>
      <c r="B26" s="982"/>
      <c r="C26" s="982"/>
      <c r="D26" s="48"/>
      <c r="E26" s="48"/>
      <c r="F26" s="48"/>
      <c r="G26" s="980"/>
      <c r="H26" s="981"/>
      <c r="I26" s="48"/>
      <c r="J26" s="48"/>
      <c r="K26" s="48"/>
      <c r="L26" s="14"/>
    </row>
    <row r="27" spans="1:12" ht="12.75" customHeight="1" x14ac:dyDescent="0.2">
      <c r="A27" s="980" t="s">
        <v>277</v>
      </c>
      <c r="B27" s="983"/>
      <c r="C27" s="981"/>
      <c r="D27" s="48"/>
      <c r="E27" s="48"/>
      <c r="F27" s="48"/>
      <c r="G27" s="980" t="s">
        <v>276</v>
      </c>
      <c r="H27" s="981"/>
      <c r="I27" s="48">
        <v>1500</v>
      </c>
      <c r="J27" s="48">
        <v>1500</v>
      </c>
      <c r="K27" s="48">
        <v>1500</v>
      </c>
      <c r="L27" s="14"/>
    </row>
    <row r="28" spans="1:12" ht="12" customHeight="1" x14ac:dyDescent="0.2">
      <c r="A28" s="980" t="s">
        <v>275</v>
      </c>
      <c r="B28" s="983"/>
      <c r="C28" s="981"/>
      <c r="D28" s="48"/>
      <c r="E28" s="48"/>
      <c r="F28" s="48"/>
      <c r="G28" s="980" t="s">
        <v>215</v>
      </c>
      <c r="H28" s="981"/>
      <c r="I28" s="48"/>
      <c r="J28" s="48"/>
      <c r="K28" s="48"/>
      <c r="L28" s="14"/>
    </row>
    <row r="29" spans="1:12" ht="12" customHeight="1" x14ac:dyDescent="0.2">
      <c r="A29" s="982" t="s">
        <v>274</v>
      </c>
      <c r="B29" s="982"/>
      <c r="C29" s="982"/>
      <c r="D29" s="48"/>
      <c r="E29" s="48"/>
      <c r="F29" s="48"/>
      <c r="G29" s="980" t="s">
        <v>273</v>
      </c>
      <c r="H29" s="981"/>
      <c r="I29" s="48"/>
      <c r="J29" s="48"/>
      <c r="K29" s="48"/>
      <c r="L29" s="14"/>
    </row>
    <row r="30" spans="1:12" ht="24" customHeight="1" x14ac:dyDescent="0.2">
      <c r="A30" s="985" t="s">
        <v>272</v>
      </c>
      <c r="B30" s="988"/>
      <c r="C30" s="986"/>
      <c r="D30" s="48">
        <f>SUM(D27:D29)</f>
        <v>0</v>
      </c>
      <c r="E30" s="48">
        <f>SUM(E27:E29)</f>
        <v>0</v>
      </c>
      <c r="F30" s="48">
        <f>SUM(F27:F29)</f>
        <v>0</v>
      </c>
      <c r="G30" s="985" t="s">
        <v>271</v>
      </c>
      <c r="H30" s="986"/>
      <c r="I30" s="48">
        <f>SUM(I27:I29)</f>
        <v>1500</v>
      </c>
      <c r="J30" s="48">
        <f>SUM(J27:J29)</f>
        <v>1500</v>
      </c>
      <c r="K30" s="48">
        <f>SUM(K27:K29)</f>
        <v>1500</v>
      </c>
      <c r="L30" s="14"/>
    </row>
    <row r="31" spans="1:12" ht="12" customHeight="1" x14ac:dyDescent="0.2">
      <c r="A31" s="982"/>
      <c r="B31" s="982"/>
      <c r="C31" s="982"/>
      <c r="D31" s="48"/>
      <c r="E31" s="48"/>
      <c r="F31" s="48"/>
      <c r="G31" s="980"/>
      <c r="H31" s="981"/>
      <c r="I31" s="48"/>
      <c r="J31" s="48"/>
      <c r="K31" s="48"/>
      <c r="L31" s="14"/>
    </row>
    <row r="32" spans="1:12" ht="12" customHeight="1" x14ac:dyDescent="0.2">
      <c r="A32" s="980" t="s">
        <v>270</v>
      </c>
      <c r="B32" s="983"/>
      <c r="C32" s="981"/>
      <c r="D32" s="48"/>
      <c r="E32" s="48"/>
      <c r="F32" s="48"/>
      <c r="G32" s="980" t="s">
        <v>269</v>
      </c>
      <c r="H32" s="981"/>
      <c r="I32" s="48"/>
      <c r="J32" s="48"/>
      <c r="K32" s="48"/>
    </row>
    <row r="33" spans="1:12" ht="12" customHeight="1" x14ac:dyDescent="0.2">
      <c r="A33" s="977" t="s">
        <v>268</v>
      </c>
      <c r="B33" s="977"/>
      <c r="C33" s="977"/>
      <c r="D33" s="48"/>
      <c r="E33" s="48"/>
      <c r="F33" s="48"/>
      <c r="G33" s="977" t="s">
        <v>267</v>
      </c>
      <c r="H33" s="977"/>
      <c r="I33" s="48"/>
      <c r="J33" s="48"/>
      <c r="K33" s="48"/>
    </row>
    <row r="34" spans="1:12" ht="12" customHeight="1" x14ac:dyDescent="0.2">
      <c r="A34" s="977" t="s">
        <v>266</v>
      </c>
      <c r="B34" s="977"/>
      <c r="C34" s="977"/>
      <c r="D34" s="48"/>
      <c r="E34" s="48"/>
      <c r="F34" s="48"/>
      <c r="G34" s="980" t="s">
        <v>265</v>
      </c>
      <c r="H34" s="981"/>
      <c r="I34" s="48"/>
      <c r="J34" s="48"/>
      <c r="K34" s="48"/>
    </row>
    <row r="35" spans="1:12" ht="12" customHeight="1" x14ac:dyDescent="0.2">
      <c r="A35" s="982" t="s">
        <v>264</v>
      </c>
      <c r="B35" s="982"/>
      <c r="C35" s="982"/>
      <c r="D35" s="48"/>
      <c r="E35" s="48"/>
      <c r="F35" s="48"/>
      <c r="G35" s="980" t="s">
        <v>263</v>
      </c>
      <c r="H35" s="981"/>
      <c r="I35" s="48"/>
      <c r="J35" s="48"/>
      <c r="K35" s="48"/>
    </row>
    <row r="36" spans="1:12" ht="12" customHeight="1" x14ac:dyDescent="0.2">
      <c r="A36" s="982" t="s">
        <v>262</v>
      </c>
      <c r="B36" s="982"/>
      <c r="C36" s="982"/>
      <c r="D36" s="48"/>
      <c r="E36" s="48"/>
      <c r="F36" s="48"/>
      <c r="G36" s="977" t="s">
        <v>261</v>
      </c>
      <c r="H36" s="977"/>
      <c r="I36" s="48"/>
      <c r="J36" s="48"/>
      <c r="K36" s="48"/>
    </row>
    <row r="37" spans="1:12" ht="12" customHeight="1" x14ac:dyDescent="0.2">
      <c r="A37" s="977" t="s">
        <v>260</v>
      </c>
      <c r="B37" s="977"/>
      <c r="C37" s="977"/>
      <c r="D37" s="48">
        <f>+I30</f>
        <v>1500</v>
      </c>
      <c r="E37" s="48">
        <f>+J30</f>
        <v>1500</v>
      </c>
      <c r="F37" s="48">
        <f>+K30</f>
        <v>1500</v>
      </c>
      <c r="G37" s="977" t="s">
        <v>259</v>
      </c>
      <c r="H37" s="977"/>
      <c r="I37" s="48"/>
      <c r="J37" s="48"/>
      <c r="K37" s="48"/>
    </row>
    <row r="38" spans="1:12" ht="12" customHeight="1" x14ac:dyDescent="0.2">
      <c r="A38" s="993"/>
      <c r="B38" s="993"/>
      <c r="C38" s="993"/>
      <c r="D38" s="48"/>
      <c r="E38" s="48"/>
      <c r="F38" s="48"/>
      <c r="G38" s="977" t="s">
        <v>258</v>
      </c>
      <c r="H38" s="977"/>
      <c r="I38" s="48"/>
      <c r="J38" s="48"/>
      <c r="K38" s="48"/>
    </row>
    <row r="39" spans="1:12" ht="12" customHeight="1" x14ac:dyDescent="0.2">
      <c r="A39" s="985" t="s">
        <v>257</v>
      </c>
      <c r="B39" s="988"/>
      <c r="C39" s="986"/>
      <c r="D39" s="49">
        <f>SUM(D32:D37)</f>
        <v>1500</v>
      </c>
      <c r="E39" s="49">
        <f>SUM(E32:E37)</f>
        <v>1500</v>
      </c>
      <c r="F39" s="49">
        <f>SUM(F32:F37)</f>
        <v>1500</v>
      </c>
      <c r="G39" s="985" t="s">
        <v>256</v>
      </c>
      <c r="H39" s="986"/>
      <c r="I39" s="49">
        <f>SUM(I32:I38)</f>
        <v>0</v>
      </c>
      <c r="J39" s="49">
        <f>SUM(J32:J38)</f>
        <v>0</v>
      </c>
      <c r="K39" s="49">
        <f>SUM(K32:K38)</f>
        <v>0</v>
      </c>
      <c r="L39" s="14"/>
    </row>
    <row r="40" spans="1:12" ht="12" customHeight="1" x14ac:dyDescent="0.2">
      <c r="A40" s="982"/>
      <c r="B40" s="982"/>
      <c r="C40" s="982"/>
      <c r="D40" s="49"/>
      <c r="E40" s="49"/>
      <c r="F40" s="49"/>
      <c r="G40" s="980"/>
      <c r="H40" s="981"/>
      <c r="I40" s="49"/>
      <c r="J40" s="49"/>
      <c r="K40" s="49"/>
      <c r="L40" s="14"/>
    </row>
    <row r="41" spans="1:12" ht="12.75" customHeight="1" x14ac:dyDescent="0.2">
      <c r="A41" s="984" t="s">
        <v>255</v>
      </c>
      <c r="B41" s="984"/>
      <c r="C41" s="984"/>
      <c r="D41" s="49">
        <f>+D30+D39</f>
        <v>1500</v>
      </c>
      <c r="E41" s="49">
        <f>+E30+E39</f>
        <v>1500</v>
      </c>
      <c r="F41" s="49">
        <f>+F30+F39</f>
        <v>1500</v>
      </c>
      <c r="G41" s="985" t="s">
        <v>254</v>
      </c>
      <c r="H41" s="986"/>
      <c r="I41" s="49">
        <f>+I30+I39</f>
        <v>1500</v>
      </c>
      <c r="J41" s="49">
        <f>+J30+J39</f>
        <v>1500</v>
      </c>
      <c r="K41" s="49">
        <f>+K30+K39</f>
        <v>1500</v>
      </c>
      <c r="L41" s="14"/>
    </row>
    <row r="42" spans="1:12" ht="12" customHeight="1" x14ac:dyDescent="0.2">
      <c r="A42" s="982"/>
      <c r="B42" s="982"/>
      <c r="C42" s="982"/>
      <c r="D42" s="49"/>
      <c r="E42" s="49"/>
      <c r="F42" s="49"/>
      <c r="G42" s="990"/>
      <c r="H42" s="991"/>
      <c r="I42" s="49"/>
      <c r="J42" s="49"/>
      <c r="K42" s="49"/>
      <c r="L42" s="14"/>
    </row>
    <row r="43" spans="1:12" ht="12.75" customHeight="1" x14ac:dyDescent="0.2">
      <c r="A43" s="989" t="s">
        <v>253</v>
      </c>
      <c r="B43" s="989"/>
      <c r="C43" s="989"/>
      <c r="D43" s="49">
        <f>+D25+D41</f>
        <v>136704</v>
      </c>
      <c r="E43" s="49">
        <f>+E25+E41</f>
        <v>138408</v>
      </c>
      <c r="F43" s="49">
        <f>+F25+F41</f>
        <v>140137</v>
      </c>
      <c r="G43" s="989" t="s">
        <v>252</v>
      </c>
      <c r="H43" s="989"/>
      <c r="I43" s="49">
        <f>+I25+I41</f>
        <v>136704</v>
      </c>
      <c r="J43" s="49">
        <f>+J25+J41</f>
        <v>138408</v>
      </c>
      <c r="K43" s="49">
        <f>+K25+K41</f>
        <v>140137</v>
      </c>
      <c r="L43" s="14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2015.06.30.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F1" sqref="F1"/>
    </sheetView>
  </sheetViews>
  <sheetFormatPr defaultRowHeight="12.75" x14ac:dyDescent="0.2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 x14ac:dyDescent="0.2">
      <c r="A1" t="s">
        <v>428</v>
      </c>
      <c r="H1" s="34"/>
      <c r="J1" s="62"/>
      <c r="K1" s="62" t="s">
        <v>421</v>
      </c>
      <c r="L1" s="62"/>
    </row>
    <row r="2" spans="1:12" ht="12" customHeight="1" x14ac:dyDescent="0.2">
      <c r="A2" s="996" t="s">
        <v>299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65"/>
    </row>
    <row r="3" spans="1:12" ht="12" customHeight="1" x14ac:dyDescent="0.2">
      <c r="A3" s="1001"/>
      <c r="B3" s="1001"/>
      <c r="C3" s="1001"/>
      <c r="D3" s="66"/>
      <c r="E3" s="66"/>
      <c r="F3" s="7"/>
      <c r="G3" s="1002"/>
      <c r="H3" s="1002"/>
      <c r="J3" s="63"/>
      <c r="K3" s="63" t="s">
        <v>298</v>
      </c>
      <c r="L3" s="63"/>
    </row>
    <row r="4" spans="1:12" ht="12" customHeight="1" x14ac:dyDescent="0.2">
      <c r="A4" s="997" t="s">
        <v>62</v>
      </c>
      <c r="B4" s="997"/>
      <c r="C4" s="997"/>
      <c r="D4" s="997"/>
      <c r="E4" s="997"/>
      <c r="F4" s="997"/>
      <c r="G4" s="997" t="s">
        <v>63</v>
      </c>
      <c r="H4" s="997"/>
      <c r="I4" s="997"/>
      <c r="J4" s="997"/>
      <c r="K4" s="997"/>
      <c r="L4" s="32"/>
    </row>
    <row r="5" spans="1:12" x14ac:dyDescent="0.2">
      <c r="A5" s="819" t="s">
        <v>94</v>
      </c>
      <c r="B5" s="820"/>
      <c r="C5" s="821"/>
      <c r="D5" s="998" t="s">
        <v>297</v>
      </c>
      <c r="E5" s="944"/>
      <c r="F5" s="945"/>
      <c r="G5" s="819" t="s">
        <v>94</v>
      </c>
      <c r="H5" s="821"/>
      <c r="I5" s="817" t="s">
        <v>297</v>
      </c>
      <c r="J5" s="817"/>
      <c r="K5" s="817"/>
      <c r="L5" s="31"/>
    </row>
    <row r="6" spans="1:12" x14ac:dyDescent="0.2">
      <c r="A6" s="941"/>
      <c r="B6" s="999"/>
      <c r="C6" s="1000"/>
      <c r="D6" s="64">
        <v>2016</v>
      </c>
      <c r="E6" s="64">
        <v>2017</v>
      </c>
      <c r="F6" s="64">
        <v>2018</v>
      </c>
      <c r="G6" s="941"/>
      <c r="H6" s="1000"/>
      <c r="I6" s="64">
        <v>2016</v>
      </c>
      <c r="J6" s="64">
        <v>2017</v>
      </c>
      <c r="K6" s="64">
        <v>2018</v>
      </c>
      <c r="L6" s="31"/>
    </row>
    <row r="7" spans="1:12" ht="12" customHeight="1" x14ac:dyDescent="0.2">
      <c r="A7" s="980" t="s">
        <v>296</v>
      </c>
      <c r="B7" s="983"/>
      <c r="C7" s="981"/>
      <c r="D7" s="48">
        <v>50</v>
      </c>
      <c r="E7" s="48">
        <v>50</v>
      </c>
      <c r="F7" s="48">
        <v>50</v>
      </c>
      <c r="G7" s="980" t="s">
        <v>295</v>
      </c>
      <c r="H7" s="981"/>
      <c r="I7" s="48">
        <f>ROUND(1.01*9762,0)</f>
        <v>9860</v>
      </c>
      <c r="J7" s="48">
        <f>ROUND(I7*1.01,0)</f>
        <v>9959</v>
      </c>
      <c r="K7" s="48">
        <f>ROUND(J7*1.01,0)</f>
        <v>10059</v>
      </c>
      <c r="L7" s="14"/>
    </row>
    <row r="8" spans="1:12" ht="12" customHeight="1" x14ac:dyDescent="0.2">
      <c r="A8" s="980" t="s">
        <v>294</v>
      </c>
      <c r="B8" s="983"/>
      <c r="C8" s="981"/>
      <c r="D8" s="43"/>
      <c r="E8" s="48"/>
      <c r="F8" s="48"/>
      <c r="G8" s="982" t="s">
        <v>293</v>
      </c>
      <c r="H8" s="982"/>
      <c r="I8" s="48">
        <f>ROUND(1.01*2456,0)</f>
        <v>2481</v>
      </c>
      <c r="J8" s="48">
        <f>ROUND(I8*1.01,0)</f>
        <v>2506</v>
      </c>
      <c r="K8" s="48">
        <f>ROUND(J8*1.01,0)</f>
        <v>2531</v>
      </c>
      <c r="L8" s="14"/>
    </row>
    <row r="9" spans="1:12" ht="12" customHeight="1" x14ac:dyDescent="0.2">
      <c r="A9" s="980" t="s">
        <v>292</v>
      </c>
      <c r="B9" s="983"/>
      <c r="C9" s="981"/>
      <c r="D9" s="48">
        <v>915</v>
      </c>
      <c r="E9" s="48">
        <f>ROUND(D9*1.015,0)</f>
        <v>929</v>
      </c>
      <c r="F9" s="48">
        <f>ROUND(E9*1.015,0)</f>
        <v>943</v>
      </c>
      <c r="G9" s="982" t="s">
        <v>291</v>
      </c>
      <c r="H9" s="982"/>
      <c r="I9" s="48">
        <v>6000</v>
      </c>
      <c r="J9" s="48">
        <f>ROUND(I9*1.02,0)</f>
        <v>6120</v>
      </c>
      <c r="K9" s="48">
        <f>ROUND(J9*1.02,0)</f>
        <v>6242</v>
      </c>
      <c r="L9" s="14"/>
    </row>
    <row r="10" spans="1:12" ht="12" customHeight="1" x14ac:dyDescent="0.2">
      <c r="A10" s="980" t="s">
        <v>290</v>
      </c>
      <c r="B10" s="983"/>
      <c r="C10" s="981"/>
      <c r="D10" s="48"/>
      <c r="E10" s="48"/>
      <c r="F10" s="48"/>
      <c r="G10" s="982" t="s">
        <v>289</v>
      </c>
      <c r="H10" s="982"/>
      <c r="I10" s="48"/>
      <c r="J10" s="48"/>
      <c r="K10" s="48"/>
      <c r="L10" s="14"/>
    </row>
    <row r="11" spans="1:12" ht="12" customHeight="1" x14ac:dyDescent="0.2">
      <c r="A11" s="982"/>
      <c r="B11" s="982"/>
      <c r="C11" s="982"/>
      <c r="D11" s="48"/>
      <c r="E11" s="48"/>
      <c r="F11" s="48"/>
      <c r="G11" s="982" t="s">
        <v>288</v>
      </c>
      <c r="H11" s="982"/>
      <c r="I11" s="48"/>
      <c r="J11" s="48"/>
      <c r="K11" s="48"/>
      <c r="L11" s="14"/>
    </row>
    <row r="12" spans="1:12" ht="12" customHeight="1" x14ac:dyDescent="0.2">
      <c r="A12" s="984"/>
      <c r="B12" s="984"/>
      <c r="C12" s="984"/>
      <c r="D12" s="48"/>
      <c r="E12" s="48"/>
      <c r="F12" s="48"/>
      <c r="G12" s="994" t="s">
        <v>287</v>
      </c>
      <c r="H12" s="995"/>
      <c r="I12" s="48"/>
      <c r="J12" s="48"/>
      <c r="K12" s="48"/>
      <c r="L12" s="14"/>
    </row>
    <row r="13" spans="1:12" ht="12" customHeight="1" x14ac:dyDescent="0.2">
      <c r="A13" s="987"/>
      <c r="B13" s="987"/>
      <c r="C13" s="987"/>
      <c r="D13" s="48"/>
      <c r="E13" s="48"/>
      <c r="F13" s="48"/>
      <c r="G13" s="980" t="s">
        <v>286</v>
      </c>
      <c r="H13" s="981"/>
      <c r="I13" s="48"/>
      <c r="J13" s="48"/>
      <c r="K13" s="48"/>
      <c r="L13" s="14"/>
    </row>
    <row r="14" spans="1:12" s="1" customFormat="1" ht="23.25" customHeight="1" x14ac:dyDescent="0.2">
      <c r="A14" s="985" t="s">
        <v>285</v>
      </c>
      <c r="B14" s="988"/>
      <c r="C14" s="986"/>
      <c r="D14" s="49">
        <f>SUM(D7:D10)</f>
        <v>965</v>
      </c>
      <c r="E14" s="49">
        <f>SUM(E7:E10)</f>
        <v>979</v>
      </c>
      <c r="F14" s="49">
        <f>SUM(F7:F10)</f>
        <v>993</v>
      </c>
      <c r="G14" s="985" t="s">
        <v>284</v>
      </c>
      <c r="H14" s="986"/>
      <c r="I14" s="49">
        <f>SUM(I7:I11)</f>
        <v>18341</v>
      </c>
      <c r="J14" s="49">
        <f>SUM(J7:J11)</f>
        <v>18585</v>
      </c>
      <c r="K14" s="49">
        <f>SUM(K7:K11)</f>
        <v>18832</v>
      </c>
      <c r="L14" s="18"/>
    </row>
    <row r="15" spans="1:12" ht="12" customHeight="1" x14ac:dyDescent="0.2">
      <c r="A15" s="980"/>
      <c r="B15" s="983"/>
      <c r="C15" s="981"/>
      <c r="D15" s="49"/>
      <c r="E15" s="49"/>
      <c r="F15" s="49"/>
      <c r="G15" s="980"/>
      <c r="H15" s="981"/>
      <c r="I15" s="48"/>
      <c r="J15" s="48"/>
      <c r="K15" s="48"/>
      <c r="L15" s="14"/>
    </row>
    <row r="16" spans="1:12" ht="12" customHeight="1" x14ac:dyDescent="0.2">
      <c r="A16" s="980" t="s">
        <v>270</v>
      </c>
      <c r="B16" s="983"/>
      <c r="C16" s="981"/>
      <c r="D16" s="48"/>
      <c r="E16" s="48"/>
      <c r="F16" s="48"/>
      <c r="G16" s="980" t="s">
        <v>283</v>
      </c>
      <c r="H16" s="981"/>
      <c r="I16" s="48"/>
      <c r="J16" s="48"/>
      <c r="K16" s="48"/>
    </row>
    <row r="17" spans="1:12" ht="12" customHeight="1" x14ac:dyDescent="0.2">
      <c r="A17" s="977" t="s">
        <v>268</v>
      </c>
      <c r="B17" s="977"/>
      <c r="C17" s="977"/>
      <c r="D17" s="48"/>
      <c r="E17" s="48"/>
      <c r="F17" s="48"/>
      <c r="G17" s="977" t="s">
        <v>267</v>
      </c>
      <c r="H17" s="977"/>
      <c r="I17" s="48"/>
      <c r="J17" s="48"/>
      <c r="K17" s="48"/>
    </row>
    <row r="18" spans="1:12" ht="12" customHeight="1" x14ac:dyDescent="0.2">
      <c r="A18" s="977" t="s">
        <v>266</v>
      </c>
      <c r="B18" s="977"/>
      <c r="C18" s="977"/>
      <c r="D18" s="48"/>
      <c r="E18" s="48"/>
      <c r="F18" s="48"/>
      <c r="G18" s="992" t="s">
        <v>282</v>
      </c>
      <c r="H18" s="992"/>
      <c r="I18" s="48"/>
      <c r="J18" s="48"/>
      <c r="K18" s="48"/>
    </row>
    <row r="19" spans="1:12" ht="12" customHeight="1" x14ac:dyDescent="0.2">
      <c r="A19" s="982" t="s">
        <v>264</v>
      </c>
      <c r="B19" s="982"/>
      <c r="C19" s="982"/>
      <c r="D19" s="48"/>
      <c r="E19" s="48"/>
      <c r="F19" s="48"/>
      <c r="G19" s="977" t="s">
        <v>263</v>
      </c>
      <c r="H19" s="977"/>
      <c r="I19" s="48"/>
      <c r="J19" s="48"/>
      <c r="K19" s="48"/>
    </row>
    <row r="20" spans="1:12" ht="12" customHeight="1" x14ac:dyDescent="0.2">
      <c r="A20" s="982" t="s">
        <v>262</v>
      </c>
      <c r="B20" s="982"/>
      <c r="C20" s="982"/>
      <c r="D20" s="48"/>
      <c r="E20" s="48"/>
      <c r="F20" s="48"/>
      <c r="G20" s="977" t="s">
        <v>261</v>
      </c>
      <c r="H20" s="977"/>
      <c r="I20" s="48"/>
      <c r="J20" s="48"/>
      <c r="K20" s="48"/>
    </row>
    <row r="21" spans="1:12" ht="12" customHeight="1" x14ac:dyDescent="0.2">
      <c r="A21" s="977" t="s">
        <v>260</v>
      </c>
      <c r="B21" s="977"/>
      <c r="C21" s="977"/>
      <c r="D21" s="48">
        <f>+I25-D14</f>
        <v>17376</v>
      </c>
      <c r="E21" s="48">
        <f>+J25-E14</f>
        <v>17606</v>
      </c>
      <c r="F21" s="48">
        <f>+K25-F14</f>
        <v>17839</v>
      </c>
      <c r="G21" s="977" t="s">
        <v>259</v>
      </c>
      <c r="H21" s="977"/>
      <c r="I21" s="48"/>
      <c r="J21" s="48"/>
      <c r="K21" s="48"/>
    </row>
    <row r="22" spans="1:12" ht="12" customHeight="1" x14ac:dyDescent="0.2">
      <c r="A22" s="993"/>
      <c r="B22" s="993"/>
      <c r="C22" s="993"/>
      <c r="D22" s="48"/>
      <c r="E22" s="48"/>
      <c r="F22" s="48"/>
      <c r="G22" s="977" t="s">
        <v>258</v>
      </c>
      <c r="H22" s="977"/>
      <c r="I22" s="48"/>
      <c r="J22" s="48"/>
      <c r="K22" s="48"/>
    </row>
    <row r="23" spans="1:12" ht="12" customHeight="1" x14ac:dyDescent="0.2">
      <c r="A23" s="984" t="s">
        <v>281</v>
      </c>
      <c r="B23" s="984"/>
      <c r="C23" s="984"/>
      <c r="D23" s="49">
        <f>SUM(D16:D21)</f>
        <v>17376</v>
      </c>
      <c r="E23" s="49">
        <f>SUM(E16:E21)</f>
        <v>17606</v>
      </c>
      <c r="F23" s="49">
        <f>SUM(F16:F21)</f>
        <v>17839</v>
      </c>
      <c r="G23" s="985" t="s">
        <v>280</v>
      </c>
      <c r="H23" s="986"/>
      <c r="I23" s="49">
        <f>SUM(I16:I22)</f>
        <v>0</v>
      </c>
      <c r="J23" s="49">
        <f>SUM(J16:J22)</f>
        <v>0</v>
      </c>
      <c r="K23" s="49">
        <f>SUM(K16:K22)</f>
        <v>0</v>
      </c>
      <c r="L23" s="14"/>
    </row>
    <row r="24" spans="1:12" ht="12" customHeight="1" x14ac:dyDescent="0.2">
      <c r="A24" s="987"/>
      <c r="B24" s="987"/>
      <c r="C24" s="987"/>
      <c r="D24" s="49"/>
      <c r="E24" s="49"/>
      <c r="F24" s="49"/>
      <c r="G24" s="978"/>
      <c r="H24" s="979"/>
      <c r="I24" s="49"/>
      <c r="J24" s="49"/>
      <c r="K24" s="49"/>
      <c r="L24" s="14"/>
    </row>
    <row r="25" spans="1:12" ht="12" customHeight="1" x14ac:dyDescent="0.2">
      <c r="A25" s="984" t="s">
        <v>279</v>
      </c>
      <c r="B25" s="984"/>
      <c r="C25" s="984"/>
      <c r="D25" s="49">
        <f>+D14+D23</f>
        <v>18341</v>
      </c>
      <c r="E25" s="49">
        <f>+E14+E23</f>
        <v>18585</v>
      </c>
      <c r="F25" s="49">
        <f>+F14+F23</f>
        <v>18832</v>
      </c>
      <c r="G25" s="985" t="s">
        <v>278</v>
      </c>
      <c r="H25" s="986"/>
      <c r="I25" s="49">
        <f>+I14+I23</f>
        <v>18341</v>
      </c>
      <c r="J25" s="49">
        <f>+J14+J23</f>
        <v>18585</v>
      </c>
      <c r="K25" s="49">
        <f>+K14+K23</f>
        <v>18832</v>
      </c>
      <c r="L25" s="14"/>
    </row>
    <row r="26" spans="1:12" ht="12" customHeight="1" x14ac:dyDescent="0.2">
      <c r="A26" s="982"/>
      <c r="B26" s="982"/>
      <c r="C26" s="982"/>
      <c r="D26" s="49"/>
      <c r="E26" s="49"/>
      <c r="F26" s="49"/>
      <c r="G26" s="980"/>
      <c r="H26" s="981"/>
      <c r="I26" s="48"/>
      <c r="J26" s="48"/>
      <c r="K26" s="48"/>
      <c r="L26" s="14"/>
    </row>
    <row r="27" spans="1:12" ht="12.75" customHeight="1" x14ac:dyDescent="0.2">
      <c r="A27" s="980" t="s">
        <v>277</v>
      </c>
      <c r="B27" s="983"/>
      <c r="C27" s="981"/>
      <c r="D27" s="48"/>
      <c r="E27" s="48"/>
      <c r="F27" s="48"/>
      <c r="G27" s="980" t="s">
        <v>276</v>
      </c>
      <c r="H27" s="981"/>
      <c r="I27" s="48">
        <v>3500</v>
      </c>
      <c r="J27" s="48">
        <v>3500</v>
      </c>
      <c r="K27" s="48">
        <v>3500</v>
      </c>
      <c r="L27" s="14"/>
    </row>
    <row r="28" spans="1:12" ht="12" customHeight="1" x14ac:dyDescent="0.2">
      <c r="A28" s="980" t="s">
        <v>275</v>
      </c>
      <c r="B28" s="983"/>
      <c r="C28" s="981"/>
      <c r="D28" s="48"/>
      <c r="E28" s="48"/>
      <c r="F28" s="48"/>
      <c r="G28" s="980" t="s">
        <v>215</v>
      </c>
      <c r="H28" s="981"/>
      <c r="I28" s="48"/>
      <c r="J28" s="48"/>
      <c r="K28" s="48"/>
      <c r="L28" s="14"/>
    </row>
    <row r="29" spans="1:12" ht="12" customHeight="1" x14ac:dyDescent="0.2">
      <c r="A29" s="982" t="s">
        <v>274</v>
      </c>
      <c r="B29" s="982"/>
      <c r="C29" s="982"/>
      <c r="D29" s="48"/>
      <c r="E29" s="48"/>
      <c r="F29" s="48"/>
      <c r="G29" s="980" t="s">
        <v>273</v>
      </c>
      <c r="H29" s="981"/>
      <c r="I29" s="48"/>
      <c r="J29" s="48"/>
      <c r="K29" s="48"/>
      <c r="L29" s="14"/>
    </row>
    <row r="30" spans="1:12" ht="24" customHeight="1" x14ac:dyDescent="0.2">
      <c r="A30" s="985" t="s">
        <v>272</v>
      </c>
      <c r="B30" s="988"/>
      <c r="C30" s="986"/>
      <c r="D30" s="48">
        <f>SUM(D27:D29)</f>
        <v>0</v>
      </c>
      <c r="E30" s="48">
        <f>SUM(E27:E29)</f>
        <v>0</v>
      </c>
      <c r="F30" s="48">
        <f>SUM(F27:F29)</f>
        <v>0</v>
      </c>
      <c r="G30" s="985" t="s">
        <v>271</v>
      </c>
      <c r="H30" s="986"/>
      <c r="I30" s="49">
        <f>SUM(I27:I29)</f>
        <v>3500</v>
      </c>
      <c r="J30" s="49">
        <f>SUM(J27:J29)</f>
        <v>3500</v>
      </c>
      <c r="K30" s="48">
        <f>SUM(K27:K29)</f>
        <v>3500</v>
      </c>
      <c r="L30" s="14"/>
    </row>
    <row r="31" spans="1:12" ht="12" customHeight="1" x14ac:dyDescent="0.2">
      <c r="A31" s="982"/>
      <c r="B31" s="982"/>
      <c r="C31" s="982"/>
      <c r="D31" s="48"/>
      <c r="E31" s="48"/>
      <c r="F31" s="48"/>
      <c r="G31" s="980"/>
      <c r="H31" s="981"/>
      <c r="I31" s="48"/>
      <c r="J31" s="48"/>
      <c r="K31" s="48"/>
      <c r="L31" s="14"/>
    </row>
    <row r="32" spans="1:12" ht="12" customHeight="1" x14ac:dyDescent="0.2">
      <c r="A32" s="980" t="s">
        <v>270</v>
      </c>
      <c r="B32" s="983"/>
      <c r="C32" s="981"/>
      <c r="D32" s="48"/>
      <c r="E32" s="48"/>
      <c r="F32" s="48"/>
      <c r="G32" s="980" t="s">
        <v>269</v>
      </c>
      <c r="H32" s="981"/>
      <c r="I32" s="48"/>
      <c r="J32" s="48"/>
      <c r="K32" s="48"/>
    </row>
    <row r="33" spans="1:12" ht="12" customHeight="1" x14ac:dyDescent="0.2">
      <c r="A33" s="977" t="s">
        <v>268</v>
      </c>
      <c r="B33" s="977"/>
      <c r="C33" s="977"/>
      <c r="D33" s="48"/>
      <c r="E33" s="48"/>
      <c r="F33" s="48"/>
      <c r="G33" s="977" t="s">
        <v>267</v>
      </c>
      <c r="H33" s="977"/>
      <c r="I33" s="48"/>
      <c r="J33" s="48"/>
      <c r="K33" s="48"/>
    </row>
    <row r="34" spans="1:12" ht="12" customHeight="1" x14ac:dyDescent="0.2">
      <c r="A34" s="977" t="s">
        <v>266</v>
      </c>
      <c r="B34" s="977"/>
      <c r="C34" s="977"/>
      <c r="D34" s="48"/>
      <c r="E34" s="48"/>
      <c r="F34" s="48"/>
      <c r="G34" s="980" t="s">
        <v>265</v>
      </c>
      <c r="H34" s="981"/>
      <c r="I34" s="48"/>
      <c r="J34" s="48"/>
      <c r="K34" s="48"/>
    </row>
    <row r="35" spans="1:12" ht="12" customHeight="1" x14ac:dyDescent="0.2">
      <c r="A35" s="982" t="s">
        <v>264</v>
      </c>
      <c r="B35" s="982"/>
      <c r="C35" s="982"/>
      <c r="D35" s="48"/>
      <c r="E35" s="48"/>
      <c r="F35" s="48"/>
      <c r="G35" s="980" t="s">
        <v>263</v>
      </c>
      <c r="H35" s="981"/>
      <c r="I35" s="48"/>
      <c r="J35" s="48"/>
      <c r="K35" s="48"/>
    </row>
    <row r="36" spans="1:12" ht="12" customHeight="1" x14ac:dyDescent="0.2">
      <c r="A36" s="982" t="s">
        <v>262</v>
      </c>
      <c r="B36" s="982"/>
      <c r="C36" s="982"/>
      <c r="D36" s="48"/>
      <c r="E36" s="48"/>
      <c r="F36" s="48"/>
      <c r="G36" s="977" t="s">
        <v>261</v>
      </c>
      <c r="H36" s="977"/>
      <c r="I36" s="48"/>
      <c r="J36" s="48"/>
      <c r="K36" s="48"/>
    </row>
    <row r="37" spans="1:12" ht="12" customHeight="1" x14ac:dyDescent="0.2">
      <c r="A37" s="977" t="s">
        <v>260</v>
      </c>
      <c r="B37" s="977"/>
      <c r="C37" s="977"/>
      <c r="D37" s="48">
        <f>+I30</f>
        <v>3500</v>
      </c>
      <c r="E37" s="48">
        <f>+J30</f>
        <v>3500</v>
      </c>
      <c r="F37" s="48">
        <f>+K30</f>
        <v>3500</v>
      </c>
      <c r="G37" s="977" t="s">
        <v>259</v>
      </c>
      <c r="H37" s="977"/>
      <c r="I37" s="48"/>
      <c r="J37" s="48"/>
      <c r="K37" s="48"/>
    </row>
    <row r="38" spans="1:12" ht="12" customHeight="1" x14ac:dyDescent="0.2">
      <c r="A38" s="993"/>
      <c r="B38" s="993"/>
      <c r="C38" s="993"/>
      <c r="D38" s="48"/>
      <c r="E38" s="48"/>
      <c r="F38" s="48"/>
      <c r="G38" s="977" t="s">
        <v>258</v>
      </c>
      <c r="H38" s="977"/>
      <c r="I38" s="48"/>
      <c r="J38" s="48"/>
      <c r="K38" s="48"/>
    </row>
    <row r="39" spans="1:12" ht="12" customHeight="1" x14ac:dyDescent="0.2">
      <c r="A39" s="985" t="s">
        <v>257</v>
      </c>
      <c r="B39" s="988"/>
      <c r="C39" s="986"/>
      <c r="D39" s="49">
        <f>SUM(D32:D37)</f>
        <v>3500</v>
      </c>
      <c r="E39" s="49">
        <f>SUM(E32:E37)</f>
        <v>3500</v>
      </c>
      <c r="F39" s="49">
        <f>SUM(F32:F37)</f>
        <v>3500</v>
      </c>
      <c r="G39" s="985" t="s">
        <v>256</v>
      </c>
      <c r="H39" s="986"/>
      <c r="I39" s="49">
        <f>SUM(I32:I38)</f>
        <v>0</v>
      </c>
      <c r="J39" s="49">
        <f>SUM(J32:J38)</f>
        <v>0</v>
      </c>
      <c r="K39" s="49">
        <f>SUM(K32:K38)</f>
        <v>0</v>
      </c>
      <c r="L39" s="14"/>
    </row>
    <row r="40" spans="1:12" ht="12" customHeight="1" x14ac:dyDescent="0.2">
      <c r="A40" s="982"/>
      <c r="B40" s="982"/>
      <c r="C40" s="982"/>
      <c r="D40" s="49"/>
      <c r="E40" s="49"/>
      <c r="F40" s="49"/>
      <c r="G40" s="980"/>
      <c r="H40" s="981"/>
      <c r="I40" s="49"/>
      <c r="J40" s="49"/>
      <c r="K40" s="49"/>
      <c r="L40" s="14"/>
    </row>
    <row r="41" spans="1:12" ht="12.75" customHeight="1" x14ac:dyDescent="0.2">
      <c r="A41" s="984" t="s">
        <v>255</v>
      </c>
      <c r="B41" s="984"/>
      <c r="C41" s="984"/>
      <c r="D41" s="49">
        <f>+D30+D39</f>
        <v>3500</v>
      </c>
      <c r="E41" s="49">
        <f>+E30+E39</f>
        <v>3500</v>
      </c>
      <c r="F41" s="49">
        <f>+F30+F39</f>
        <v>3500</v>
      </c>
      <c r="G41" s="985" t="s">
        <v>254</v>
      </c>
      <c r="H41" s="986"/>
      <c r="I41" s="49">
        <f>+I30+I39</f>
        <v>3500</v>
      </c>
      <c r="J41" s="49">
        <f>+J30+J39</f>
        <v>3500</v>
      </c>
      <c r="K41" s="49">
        <f>+K30+K39</f>
        <v>3500</v>
      </c>
      <c r="L41" s="14"/>
    </row>
    <row r="42" spans="1:12" ht="12" customHeight="1" x14ac:dyDescent="0.2">
      <c r="A42" s="982"/>
      <c r="B42" s="982"/>
      <c r="C42" s="982"/>
      <c r="D42" s="49"/>
      <c r="E42" s="49"/>
      <c r="F42" s="49"/>
      <c r="G42" s="990"/>
      <c r="H42" s="991"/>
      <c r="I42" s="49"/>
      <c r="J42" s="49"/>
      <c r="K42" s="49"/>
      <c r="L42" s="14"/>
    </row>
    <row r="43" spans="1:12" ht="12.75" customHeight="1" x14ac:dyDescent="0.2">
      <c r="A43" s="989" t="s">
        <v>253</v>
      </c>
      <c r="B43" s="989"/>
      <c r="C43" s="989"/>
      <c r="D43" s="49">
        <f>+D25+D41</f>
        <v>21841</v>
      </c>
      <c r="E43" s="49">
        <f>+E25+E41</f>
        <v>22085</v>
      </c>
      <c r="F43" s="49">
        <f>+F25+F41</f>
        <v>22332</v>
      </c>
      <c r="G43" s="989" t="s">
        <v>252</v>
      </c>
      <c r="H43" s="989"/>
      <c r="I43" s="49">
        <f>+I25+I41</f>
        <v>21841</v>
      </c>
      <c r="J43" s="49">
        <f>+J25+J41</f>
        <v>22085</v>
      </c>
      <c r="K43" s="49">
        <f>+K25+K41</f>
        <v>22332</v>
      </c>
      <c r="L43" s="14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2015.06.30.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G10" sqref="G10:H10"/>
    </sheetView>
  </sheetViews>
  <sheetFormatPr defaultRowHeight="12.75" x14ac:dyDescent="0.2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 x14ac:dyDescent="0.2">
      <c r="A1" t="s">
        <v>429</v>
      </c>
      <c r="H1" s="34"/>
      <c r="J1" s="62"/>
      <c r="K1" s="62" t="s">
        <v>422</v>
      </c>
      <c r="L1" s="62"/>
    </row>
    <row r="2" spans="1:12" ht="12" customHeight="1" x14ac:dyDescent="0.2">
      <c r="A2" s="996" t="s">
        <v>299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65"/>
    </row>
    <row r="3" spans="1:12" ht="12" customHeight="1" x14ac:dyDescent="0.2">
      <c r="A3" s="1001"/>
      <c r="B3" s="1001"/>
      <c r="C3" s="1001"/>
      <c r="D3" s="66"/>
      <c r="E3" s="66"/>
      <c r="F3" s="7"/>
      <c r="G3" s="1002"/>
      <c r="H3" s="1002"/>
      <c r="J3" s="63"/>
      <c r="K3" s="63" t="s">
        <v>298</v>
      </c>
      <c r="L3" s="63"/>
    </row>
    <row r="4" spans="1:12" ht="12" customHeight="1" x14ac:dyDescent="0.2">
      <c r="A4" s="997" t="s">
        <v>62</v>
      </c>
      <c r="B4" s="997"/>
      <c r="C4" s="997"/>
      <c r="D4" s="997"/>
      <c r="E4" s="997"/>
      <c r="F4" s="997"/>
      <c r="G4" s="997" t="s">
        <v>63</v>
      </c>
      <c r="H4" s="997"/>
      <c r="I4" s="997"/>
      <c r="J4" s="997"/>
      <c r="K4" s="997"/>
      <c r="L4" s="32"/>
    </row>
    <row r="5" spans="1:12" x14ac:dyDescent="0.2">
      <c r="A5" s="819" t="s">
        <v>94</v>
      </c>
      <c r="B5" s="820"/>
      <c r="C5" s="821"/>
      <c r="D5" s="998" t="s">
        <v>297</v>
      </c>
      <c r="E5" s="944"/>
      <c r="F5" s="945"/>
      <c r="G5" s="819" t="s">
        <v>94</v>
      </c>
      <c r="H5" s="821"/>
      <c r="I5" s="817" t="s">
        <v>297</v>
      </c>
      <c r="J5" s="817"/>
      <c r="K5" s="817"/>
      <c r="L5" s="31"/>
    </row>
    <row r="6" spans="1:12" x14ac:dyDescent="0.2">
      <c r="A6" s="941"/>
      <c r="B6" s="999"/>
      <c r="C6" s="1000"/>
      <c r="D6" s="64">
        <v>2016</v>
      </c>
      <c r="E6" s="64">
        <v>2017</v>
      </c>
      <c r="F6" s="64">
        <v>2018</v>
      </c>
      <c r="G6" s="941"/>
      <c r="H6" s="1000"/>
      <c r="I6" s="64">
        <v>2016</v>
      </c>
      <c r="J6" s="64">
        <v>2017</v>
      </c>
      <c r="K6" s="64">
        <v>2018</v>
      </c>
      <c r="L6" s="31"/>
    </row>
    <row r="7" spans="1:12" ht="12" customHeight="1" x14ac:dyDescent="0.2">
      <c r="A7" s="980" t="s">
        <v>296</v>
      </c>
      <c r="B7" s="983"/>
      <c r="C7" s="981"/>
      <c r="D7" s="48"/>
      <c r="E7" s="48"/>
      <c r="F7" s="48"/>
      <c r="G7" s="980" t="s">
        <v>295</v>
      </c>
      <c r="H7" s="981"/>
      <c r="I7" s="48">
        <f>ROUND(1.01*52172,0)</f>
        <v>52694</v>
      </c>
      <c r="J7" s="48">
        <f>ROUND(I7*1.01,0)</f>
        <v>53221</v>
      </c>
      <c r="K7" s="48">
        <f>ROUND(J7*1.01,0)</f>
        <v>53753</v>
      </c>
      <c r="L7" s="14"/>
    </row>
    <row r="8" spans="1:12" ht="12" customHeight="1" x14ac:dyDescent="0.2">
      <c r="A8" s="980" t="s">
        <v>294</v>
      </c>
      <c r="B8" s="983"/>
      <c r="C8" s="981"/>
      <c r="D8" s="43"/>
      <c r="E8" s="43"/>
      <c r="F8" s="43"/>
      <c r="G8" s="982" t="s">
        <v>293</v>
      </c>
      <c r="H8" s="982"/>
      <c r="I8" s="48">
        <f>ROUND(1.01*14031,0)</f>
        <v>14171</v>
      </c>
      <c r="J8" s="48">
        <f>ROUND(I8*1.01,0)</f>
        <v>14313</v>
      </c>
      <c r="K8" s="48">
        <f>ROUND(J8*1.01,0)</f>
        <v>14456</v>
      </c>
      <c r="L8" s="14"/>
    </row>
    <row r="9" spans="1:12" ht="12" customHeight="1" x14ac:dyDescent="0.2">
      <c r="A9" s="980" t="s">
        <v>292</v>
      </c>
      <c r="B9" s="983"/>
      <c r="C9" s="981"/>
      <c r="D9" s="48">
        <v>36256</v>
      </c>
      <c r="E9" s="48">
        <f>ROUND(D9*1.015,0)</f>
        <v>36800</v>
      </c>
      <c r="F9" s="48">
        <f>ROUND(E9*1.015,0)</f>
        <v>37352</v>
      </c>
      <c r="G9" s="982" t="s">
        <v>291</v>
      </c>
      <c r="H9" s="982"/>
      <c r="I9" s="48">
        <v>65678</v>
      </c>
      <c r="J9" s="48">
        <f>ROUND(I9*1.02,0)</f>
        <v>66992</v>
      </c>
      <c r="K9" s="48">
        <f>ROUND(J9*1.02,0)</f>
        <v>68332</v>
      </c>
      <c r="L9" s="14"/>
    </row>
    <row r="10" spans="1:12" ht="12" customHeight="1" x14ac:dyDescent="0.2">
      <c r="A10" s="980" t="s">
        <v>290</v>
      </c>
      <c r="B10" s="983"/>
      <c r="C10" s="981"/>
      <c r="D10" s="48"/>
      <c r="E10" s="48"/>
      <c r="F10" s="48"/>
      <c r="G10" s="982" t="s">
        <v>289</v>
      </c>
      <c r="H10" s="982"/>
      <c r="I10" s="48"/>
      <c r="J10" s="48"/>
      <c r="K10" s="48"/>
      <c r="L10" s="14"/>
    </row>
    <row r="11" spans="1:12" ht="12" customHeight="1" x14ac:dyDescent="0.2">
      <c r="A11" s="982"/>
      <c r="B11" s="982"/>
      <c r="C11" s="982"/>
      <c r="D11" s="48"/>
      <c r="E11" s="48"/>
      <c r="F11" s="48"/>
      <c r="G11" s="982" t="s">
        <v>288</v>
      </c>
      <c r="H11" s="982"/>
      <c r="I11" s="48"/>
      <c r="J11" s="48"/>
      <c r="K11" s="48"/>
      <c r="L11" s="14"/>
    </row>
    <row r="12" spans="1:12" ht="12" customHeight="1" x14ac:dyDescent="0.2">
      <c r="A12" s="984"/>
      <c r="B12" s="984"/>
      <c r="C12" s="984"/>
      <c r="D12" s="48"/>
      <c r="E12" s="48"/>
      <c r="F12" s="48"/>
      <c r="G12" s="994" t="s">
        <v>287</v>
      </c>
      <c r="H12" s="995"/>
      <c r="I12" s="48"/>
      <c r="J12" s="48"/>
      <c r="K12" s="48"/>
      <c r="L12" s="14"/>
    </row>
    <row r="13" spans="1:12" ht="12" customHeight="1" x14ac:dyDescent="0.2">
      <c r="A13" s="987"/>
      <c r="B13" s="987"/>
      <c r="C13" s="987"/>
      <c r="D13" s="48"/>
      <c r="E13" s="48"/>
      <c r="F13" s="48"/>
      <c r="G13" s="980" t="s">
        <v>286</v>
      </c>
      <c r="H13" s="981"/>
      <c r="I13" s="48"/>
      <c r="J13" s="48"/>
      <c r="K13" s="48"/>
      <c r="L13" s="14"/>
    </row>
    <row r="14" spans="1:12" s="1" customFormat="1" ht="23.25" customHeight="1" x14ac:dyDescent="0.2">
      <c r="A14" s="985" t="s">
        <v>285</v>
      </c>
      <c r="B14" s="988"/>
      <c r="C14" s="986"/>
      <c r="D14" s="49">
        <f>SUM(D7:D10)</f>
        <v>36256</v>
      </c>
      <c r="E14" s="49">
        <f>SUM(E7:E10)</f>
        <v>36800</v>
      </c>
      <c r="F14" s="49">
        <f>SUM(F7:F10)</f>
        <v>37352</v>
      </c>
      <c r="G14" s="985" t="s">
        <v>284</v>
      </c>
      <c r="H14" s="986"/>
      <c r="I14" s="49">
        <f>SUM(I7:I11)</f>
        <v>132543</v>
      </c>
      <c r="J14" s="49">
        <f>SUM(J7:J11)</f>
        <v>134526</v>
      </c>
      <c r="K14" s="49">
        <f>SUM(K7:K11)</f>
        <v>136541</v>
      </c>
      <c r="L14" s="18"/>
    </row>
    <row r="15" spans="1:12" ht="12" customHeight="1" x14ac:dyDescent="0.2">
      <c r="A15" s="980"/>
      <c r="B15" s="983"/>
      <c r="C15" s="981"/>
      <c r="D15" s="48"/>
      <c r="E15" s="48"/>
      <c r="F15" s="48"/>
      <c r="G15" s="980"/>
      <c r="H15" s="981"/>
      <c r="I15" s="48"/>
      <c r="J15" s="48"/>
      <c r="K15" s="48"/>
      <c r="L15" s="14"/>
    </row>
    <row r="16" spans="1:12" ht="12" customHeight="1" x14ac:dyDescent="0.2">
      <c r="A16" s="980" t="s">
        <v>270</v>
      </c>
      <c r="B16" s="983"/>
      <c r="C16" s="981"/>
      <c r="D16" s="48"/>
      <c r="E16" s="48"/>
      <c r="F16" s="48"/>
      <c r="G16" s="980" t="s">
        <v>283</v>
      </c>
      <c r="H16" s="981"/>
      <c r="I16" s="48"/>
      <c r="J16" s="48"/>
      <c r="K16" s="48"/>
    </row>
    <row r="17" spans="1:12" ht="12" customHeight="1" x14ac:dyDescent="0.2">
      <c r="A17" s="977" t="s">
        <v>268</v>
      </c>
      <c r="B17" s="977"/>
      <c r="C17" s="977"/>
      <c r="D17" s="48"/>
      <c r="E17" s="48"/>
      <c r="F17" s="48"/>
      <c r="G17" s="977" t="s">
        <v>267</v>
      </c>
      <c r="H17" s="977"/>
      <c r="I17" s="48"/>
      <c r="J17" s="48"/>
      <c r="K17" s="48"/>
    </row>
    <row r="18" spans="1:12" ht="12" customHeight="1" x14ac:dyDescent="0.2">
      <c r="A18" s="977" t="s">
        <v>266</v>
      </c>
      <c r="B18" s="977"/>
      <c r="C18" s="977"/>
      <c r="D18" s="48"/>
      <c r="E18" s="48"/>
      <c r="F18" s="48"/>
      <c r="G18" s="992" t="s">
        <v>282</v>
      </c>
      <c r="H18" s="992"/>
      <c r="I18" s="48"/>
      <c r="J18" s="48"/>
      <c r="K18" s="48"/>
    </row>
    <row r="19" spans="1:12" ht="12" customHeight="1" x14ac:dyDescent="0.2">
      <c r="A19" s="982" t="s">
        <v>264</v>
      </c>
      <c r="B19" s="982"/>
      <c r="C19" s="982"/>
      <c r="D19" s="48"/>
      <c r="E19" s="48"/>
      <c r="F19" s="48"/>
      <c r="G19" s="977" t="s">
        <v>263</v>
      </c>
      <c r="H19" s="977"/>
      <c r="I19" s="48"/>
      <c r="J19" s="48"/>
      <c r="K19" s="48"/>
    </row>
    <row r="20" spans="1:12" ht="12" customHeight="1" x14ac:dyDescent="0.2">
      <c r="A20" s="982" t="s">
        <v>262</v>
      </c>
      <c r="B20" s="982"/>
      <c r="C20" s="982"/>
      <c r="D20" s="48"/>
      <c r="E20" s="48"/>
      <c r="F20" s="48"/>
      <c r="G20" s="977" t="s">
        <v>261</v>
      </c>
      <c r="H20" s="977"/>
      <c r="I20" s="48"/>
      <c r="J20" s="48"/>
      <c r="K20" s="48"/>
    </row>
    <row r="21" spans="1:12" ht="12" customHeight="1" x14ac:dyDescent="0.2">
      <c r="A21" s="977" t="s">
        <v>260</v>
      </c>
      <c r="B21" s="977"/>
      <c r="C21" s="977"/>
      <c r="D21" s="48">
        <f>+I25-D14</f>
        <v>96287</v>
      </c>
      <c r="E21" s="48">
        <f>+J25-E14</f>
        <v>97726</v>
      </c>
      <c r="F21" s="48">
        <f>+K25-F14</f>
        <v>99189</v>
      </c>
      <c r="G21" s="977" t="s">
        <v>259</v>
      </c>
      <c r="H21" s="977"/>
      <c r="I21" s="48"/>
      <c r="J21" s="48"/>
      <c r="K21" s="48"/>
    </row>
    <row r="22" spans="1:12" ht="12" customHeight="1" x14ac:dyDescent="0.2">
      <c r="A22" s="993"/>
      <c r="B22" s="993"/>
      <c r="C22" s="993"/>
      <c r="D22" s="48"/>
      <c r="E22" s="48"/>
      <c r="F22" s="48"/>
      <c r="G22" s="977" t="s">
        <v>258</v>
      </c>
      <c r="H22" s="977"/>
      <c r="I22" s="48"/>
      <c r="J22" s="48"/>
      <c r="K22" s="48"/>
    </row>
    <row r="23" spans="1:12" ht="12" customHeight="1" x14ac:dyDescent="0.2">
      <c r="A23" s="984" t="s">
        <v>281</v>
      </c>
      <c r="B23" s="984"/>
      <c r="C23" s="984"/>
      <c r="D23" s="49">
        <f>SUM(D16:D21)</f>
        <v>96287</v>
      </c>
      <c r="E23" s="49">
        <f>SUM(E16:E21)</f>
        <v>97726</v>
      </c>
      <c r="F23" s="49">
        <f>SUM(F16:F21)</f>
        <v>99189</v>
      </c>
      <c r="G23" s="985" t="s">
        <v>280</v>
      </c>
      <c r="H23" s="986"/>
      <c r="I23" s="49">
        <f>SUM(I16:I22)</f>
        <v>0</v>
      </c>
      <c r="J23" s="49">
        <f>SUM(J16:J22)</f>
        <v>0</v>
      </c>
      <c r="K23" s="49">
        <f>SUM(K16:K22)</f>
        <v>0</v>
      </c>
      <c r="L23" s="14"/>
    </row>
    <row r="24" spans="1:12" ht="12" customHeight="1" x14ac:dyDescent="0.2">
      <c r="A24" s="987"/>
      <c r="B24" s="987"/>
      <c r="C24" s="987"/>
      <c r="D24" s="49"/>
      <c r="E24" s="49"/>
      <c r="F24" s="49"/>
      <c r="G24" s="978"/>
      <c r="H24" s="979"/>
      <c r="I24" s="49"/>
      <c r="J24" s="49"/>
      <c r="K24" s="49"/>
      <c r="L24" s="14"/>
    </row>
    <row r="25" spans="1:12" ht="12" customHeight="1" x14ac:dyDescent="0.2">
      <c r="A25" s="984" t="s">
        <v>279</v>
      </c>
      <c r="B25" s="984"/>
      <c r="C25" s="984"/>
      <c r="D25" s="49">
        <f>+D14+D23</f>
        <v>132543</v>
      </c>
      <c r="E25" s="49">
        <f>+E14+E23</f>
        <v>134526</v>
      </c>
      <c r="F25" s="49">
        <f>+F14+F23</f>
        <v>136541</v>
      </c>
      <c r="G25" s="985" t="s">
        <v>278</v>
      </c>
      <c r="H25" s="986"/>
      <c r="I25" s="49">
        <f>+I14+I23</f>
        <v>132543</v>
      </c>
      <c r="J25" s="49">
        <f>+J14+J23</f>
        <v>134526</v>
      </c>
      <c r="K25" s="49">
        <f>+K14+K23</f>
        <v>136541</v>
      </c>
      <c r="L25" s="14"/>
    </row>
    <row r="26" spans="1:12" ht="12" customHeight="1" x14ac:dyDescent="0.2">
      <c r="A26" s="982"/>
      <c r="B26" s="982"/>
      <c r="C26" s="982"/>
      <c r="D26" s="48"/>
      <c r="E26" s="48"/>
      <c r="F26" s="48"/>
      <c r="G26" s="980"/>
      <c r="H26" s="981"/>
      <c r="I26" s="48"/>
      <c r="J26" s="48"/>
      <c r="K26" s="48"/>
      <c r="L26" s="14"/>
    </row>
    <row r="27" spans="1:12" ht="12.75" customHeight="1" x14ac:dyDescent="0.2">
      <c r="A27" s="980" t="s">
        <v>277</v>
      </c>
      <c r="B27" s="983"/>
      <c r="C27" s="981"/>
      <c r="D27" s="48"/>
      <c r="E27" s="48"/>
      <c r="F27" s="48"/>
      <c r="G27" s="980" t="s">
        <v>276</v>
      </c>
      <c r="H27" s="981"/>
      <c r="I27" s="48">
        <v>2500</v>
      </c>
      <c r="J27" s="48">
        <v>2500</v>
      </c>
      <c r="K27" s="48">
        <v>2500</v>
      </c>
      <c r="L27" s="14"/>
    </row>
    <row r="28" spans="1:12" ht="12" customHeight="1" x14ac:dyDescent="0.2">
      <c r="A28" s="980" t="s">
        <v>275</v>
      </c>
      <c r="B28" s="983"/>
      <c r="C28" s="981"/>
      <c r="D28" s="48"/>
      <c r="E28" s="48"/>
      <c r="F28" s="48"/>
      <c r="G28" s="980" t="s">
        <v>215</v>
      </c>
      <c r="H28" s="981"/>
      <c r="I28" s="48">
        <v>750</v>
      </c>
      <c r="J28" s="48">
        <v>750</v>
      </c>
      <c r="K28" s="48">
        <v>750</v>
      </c>
      <c r="L28" s="14"/>
    </row>
    <row r="29" spans="1:12" ht="12" customHeight="1" x14ac:dyDescent="0.2">
      <c r="A29" s="982" t="s">
        <v>274</v>
      </c>
      <c r="B29" s="982"/>
      <c r="C29" s="982"/>
      <c r="D29" s="48"/>
      <c r="E29" s="48"/>
      <c r="F29" s="48"/>
      <c r="G29" s="980" t="s">
        <v>273</v>
      </c>
      <c r="H29" s="981"/>
      <c r="I29" s="48"/>
      <c r="J29" s="48"/>
      <c r="K29" s="48"/>
      <c r="L29" s="14"/>
    </row>
    <row r="30" spans="1:12" ht="24" customHeight="1" x14ac:dyDescent="0.2">
      <c r="A30" s="985" t="s">
        <v>272</v>
      </c>
      <c r="B30" s="988"/>
      <c r="C30" s="986"/>
      <c r="D30" s="48">
        <f>SUM(D27:D29)</f>
        <v>0</v>
      </c>
      <c r="E30" s="48">
        <f>SUM(E27:E29)</f>
        <v>0</v>
      </c>
      <c r="F30" s="48">
        <f>SUM(F27:F29)</f>
        <v>0</v>
      </c>
      <c r="G30" s="985" t="s">
        <v>271</v>
      </c>
      <c r="H30" s="986"/>
      <c r="I30" s="49">
        <f>SUM(I27:I29)</f>
        <v>3250</v>
      </c>
      <c r="J30" s="49">
        <f>SUM(J27:J29)</f>
        <v>3250</v>
      </c>
      <c r="K30" s="49">
        <f>SUM(K27:K29)</f>
        <v>3250</v>
      </c>
      <c r="L30" s="14"/>
    </row>
    <row r="31" spans="1:12" ht="12" customHeight="1" x14ac:dyDescent="0.2">
      <c r="A31" s="982"/>
      <c r="B31" s="982"/>
      <c r="C31" s="982"/>
      <c r="D31" s="48"/>
      <c r="E31" s="48"/>
      <c r="F31" s="48"/>
      <c r="G31" s="980"/>
      <c r="H31" s="981"/>
      <c r="I31" s="48"/>
      <c r="J31" s="48"/>
      <c r="K31" s="48"/>
      <c r="L31" s="14"/>
    </row>
    <row r="32" spans="1:12" ht="12" customHeight="1" x14ac:dyDescent="0.2">
      <c r="A32" s="980" t="s">
        <v>270</v>
      </c>
      <c r="B32" s="983"/>
      <c r="C32" s="981"/>
      <c r="D32" s="48"/>
      <c r="E32" s="48"/>
      <c r="F32" s="48"/>
      <c r="G32" s="980" t="s">
        <v>269</v>
      </c>
      <c r="H32" s="981"/>
      <c r="I32" s="48"/>
      <c r="J32" s="48"/>
      <c r="K32" s="48"/>
    </row>
    <row r="33" spans="1:12" ht="12" customHeight="1" x14ac:dyDescent="0.2">
      <c r="A33" s="977" t="s">
        <v>268</v>
      </c>
      <c r="B33" s="977"/>
      <c r="C33" s="977"/>
      <c r="D33" s="48"/>
      <c r="E33" s="48"/>
      <c r="F33" s="48"/>
      <c r="G33" s="977" t="s">
        <v>267</v>
      </c>
      <c r="H33" s="977"/>
      <c r="I33" s="48"/>
      <c r="J33" s="48"/>
      <c r="K33" s="48"/>
    </row>
    <row r="34" spans="1:12" ht="12" customHeight="1" x14ac:dyDescent="0.2">
      <c r="A34" s="977" t="s">
        <v>266</v>
      </c>
      <c r="B34" s="977"/>
      <c r="C34" s="977"/>
      <c r="D34" s="48"/>
      <c r="E34" s="48"/>
      <c r="F34" s="48"/>
      <c r="G34" s="980" t="s">
        <v>265</v>
      </c>
      <c r="H34" s="981"/>
      <c r="I34" s="48"/>
      <c r="J34" s="48"/>
      <c r="K34" s="48"/>
    </row>
    <row r="35" spans="1:12" ht="12" customHeight="1" x14ac:dyDescent="0.2">
      <c r="A35" s="982" t="s">
        <v>264</v>
      </c>
      <c r="B35" s="982"/>
      <c r="C35" s="982"/>
      <c r="D35" s="48"/>
      <c r="E35" s="48"/>
      <c r="F35" s="48"/>
      <c r="G35" s="980" t="s">
        <v>263</v>
      </c>
      <c r="H35" s="981"/>
      <c r="I35" s="48"/>
      <c r="J35" s="48"/>
      <c r="K35" s="48"/>
    </row>
    <row r="36" spans="1:12" ht="12" customHeight="1" x14ac:dyDescent="0.2">
      <c r="A36" s="982" t="s">
        <v>262</v>
      </c>
      <c r="B36" s="982"/>
      <c r="C36" s="982"/>
      <c r="D36" s="48"/>
      <c r="E36" s="48"/>
      <c r="F36" s="48"/>
      <c r="G36" s="977" t="s">
        <v>261</v>
      </c>
      <c r="H36" s="977"/>
      <c r="I36" s="48"/>
      <c r="J36" s="48"/>
      <c r="K36" s="48"/>
    </row>
    <row r="37" spans="1:12" ht="12" customHeight="1" x14ac:dyDescent="0.2">
      <c r="A37" s="977" t="s">
        <v>260</v>
      </c>
      <c r="B37" s="977"/>
      <c r="C37" s="977"/>
      <c r="D37" s="48">
        <f>+I30</f>
        <v>3250</v>
      </c>
      <c r="E37" s="48">
        <f>+J30</f>
        <v>3250</v>
      </c>
      <c r="F37" s="48">
        <f>+K30</f>
        <v>3250</v>
      </c>
      <c r="G37" s="977" t="s">
        <v>259</v>
      </c>
      <c r="H37" s="977"/>
      <c r="I37" s="48"/>
      <c r="J37" s="48"/>
      <c r="K37" s="48"/>
    </row>
    <row r="38" spans="1:12" ht="12" customHeight="1" x14ac:dyDescent="0.2">
      <c r="A38" s="993"/>
      <c r="B38" s="993"/>
      <c r="C38" s="993"/>
      <c r="D38" s="48"/>
      <c r="E38" s="48"/>
      <c r="F38" s="48"/>
      <c r="G38" s="977" t="s">
        <v>258</v>
      </c>
      <c r="H38" s="977"/>
      <c r="I38" s="48"/>
      <c r="J38" s="48"/>
      <c r="K38" s="48"/>
    </row>
    <row r="39" spans="1:12" ht="12" customHeight="1" x14ac:dyDescent="0.2">
      <c r="A39" s="985" t="s">
        <v>257</v>
      </c>
      <c r="B39" s="988"/>
      <c r="C39" s="986"/>
      <c r="D39" s="49">
        <f>SUM(D32:D37)</f>
        <v>3250</v>
      </c>
      <c r="E39" s="49">
        <f>SUM(E32:E37)</f>
        <v>3250</v>
      </c>
      <c r="F39" s="49">
        <f>SUM(F32:F37)</f>
        <v>3250</v>
      </c>
      <c r="G39" s="985" t="s">
        <v>256</v>
      </c>
      <c r="H39" s="986"/>
      <c r="I39" s="49">
        <f>SUM(I32:I38)</f>
        <v>0</v>
      </c>
      <c r="J39" s="49">
        <f>SUM(J32:J38)</f>
        <v>0</v>
      </c>
      <c r="K39" s="49">
        <f>SUM(K32:K38)</f>
        <v>0</v>
      </c>
      <c r="L39" s="14"/>
    </row>
    <row r="40" spans="1:12" ht="12" customHeight="1" x14ac:dyDescent="0.2">
      <c r="A40" s="982"/>
      <c r="B40" s="982"/>
      <c r="C40" s="982"/>
      <c r="D40" s="49"/>
      <c r="E40" s="49"/>
      <c r="F40" s="49"/>
      <c r="G40" s="980"/>
      <c r="H40" s="981"/>
      <c r="I40" s="49"/>
      <c r="J40" s="49"/>
      <c r="K40" s="49"/>
      <c r="L40" s="14"/>
    </row>
    <row r="41" spans="1:12" ht="12.75" customHeight="1" x14ac:dyDescent="0.2">
      <c r="A41" s="984" t="s">
        <v>255</v>
      </c>
      <c r="B41" s="984"/>
      <c r="C41" s="984"/>
      <c r="D41" s="49">
        <f>+D30+D39</f>
        <v>3250</v>
      </c>
      <c r="E41" s="49">
        <f>+E30+E39</f>
        <v>3250</v>
      </c>
      <c r="F41" s="49">
        <f>+F30+F39</f>
        <v>3250</v>
      </c>
      <c r="G41" s="985" t="s">
        <v>254</v>
      </c>
      <c r="H41" s="986"/>
      <c r="I41" s="49">
        <f>+I30+I39</f>
        <v>3250</v>
      </c>
      <c r="J41" s="49">
        <f>+J30+J39</f>
        <v>3250</v>
      </c>
      <c r="K41" s="49">
        <f>+K30+K39</f>
        <v>3250</v>
      </c>
      <c r="L41" s="14"/>
    </row>
    <row r="42" spans="1:12" ht="12" customHeight="1" x14ac:dyDescent="0.2">
      <c r="A42" s="982"/>
      <c r="B42" s="982"/>
      <c r="C42" s="982"/>
      <c r="D42" s="49"/>
      <c r="E42" s="49"/>
      <c r="F42" s="49"/>
      <c r="G42" s="990"/>
      <c r="H42" s="991"/>
      <c r="I42" s="49"/>
      <c r="J42" s="49"/>
      <c r="K42" s="49"/>
      <c r="L42" s="14"/>
    </row>
    <row r="43" spans="1:12" ht="12.75" customHeight="1" x14ac:dyDescent="0.2">
      <c r="A43" s="989" t="s">
        <v>253</v>
      </c>
      <c r="B43" s="989"/>
      <c r="C43" s="989"/>
      <c r="D43" s="49">
        <f>+D25+D41</f>
        <v>135793</v>
      </c>
      <c r="E43" s="49">
        <f>+E25+E41</f>
        <v>137776</v>
      </c>
      <c r="F43" s="49">
        <f>+F25+F41</f>
        <v>139791</v>
      </c>
      <c r="G43" s="989" t="s">
        <v>252</v>
      </c>
      <c r="H43" s="989"/>
      <c r="I43" s="49">
        <f>+I25+I41</f>
        <v>135793</v>
      </c>
      <c r="J43" s="49">
        <f>+J25+J41</f>
        <v>137776</v>
      </c>
      <c r="K43" s="49">
        <f>+K25+K41</f>
        <v>139791</v>
      </c>
      <c r="L43" s="14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2015.06.30.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G10" sqref="G10:H10"/>
    </sheetView>
  </sheetViews>
  <sheetFormatPr defaultRowHeight="12.75" x14ac:dyDescent="0.2"/>
  <cols>
    <col min="3" max="3" width="18" customWidth="1"/>
    <col min="4" max="6" width="10.7109375" customWidth="1"/>
    <col min="7" max="7" width="6.5703125" customWidth="1"/>
    <col min="8" max="8" width="31.85546875" customWidth="1"/>
    <col min="9" max="9" width="9.85546875" customWidth="1"/>
    <col min="10" max="10" width="10.7109375" customWidth="1"/>
    <col min="11" max="11" width="10.5703125" customWidth="1"/>
    <col min="12" max="12" width="15.140625" customWidth="1"/>
  </cols>
  <sheetData>
    <row r="1" spans="1:12" ht="12" customHeight="1" x14ac:dyDescent="0.2">
      <c r="A1" t="s">
        <v>424</v>
      </c>
      <c r="H1" s="34"/>
      <c r="J1" s="13"/>
      <c r="K1" s="13" t="s">
        <v>423</v>
      </c>
      <c r="L1" s="13"/>
    </row>
    <row r="2" spans="1:12" ht="12" customHeight="1" x14ac:dyDescent="0.2">
      <c r="H2" s="34"/>
      <c r="J2" s="13"/>
      <c r="K2" s="13"/>
      <c r="L2" s="13"/>
    </row>
    <row r="3" spans="1:12" ht="12" customHeight="1" x14ac:dyDescent="0.2">
      <c r="A3" s="996" t="s">
        <v>299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2"/>
    </row>
    <row r="4" spans="1:12" ht="12" customHeight="1" x14ac:dyDescent="0.2">
      <c r="A4" s="1001"/>
      <c r="B4" s="1001"/>
      <c r="C4" s="1001"/>
      <c r="D4" s="33"/>
      <c r="E4" s="33"/>
      <c r="F4" s="7"/>
      <c r="G4" s="1002"/>
      <c r="H4" s="1002"/>
      <c r="J4" s="6"/>
      <c r="K4" s="6" t="s">
        <v>298</v>
      </c>
      <c r="L4" s="6"/>
    </row>
    <row r="5" spans="1:12" ht="12" customHeight="1" x14ac:dyDescent="0.2">
      <c r="A5" s="997" t="s">
        <v>62</v>
      </c>
      <c r="B5" s="997"/>
      <c r="C5" s="997"/>
      <c r="D5" s="997"/>
      <c r="E5" s="997"/>
      <c r="F5" s="997"/>
      <c r="G5" s="997" t="s">
        <v>63</v>
      </c>
      <c r="H5" s="997"/>
      <c r="I5" s="997"/>
      <c r="J5" s="997"/>
      <c r="K5" s="997"/>
      <c r="L5" s="32"/>
    </row>
    <row r="6" spans="1:12" x14ac:dyDescent="0.2">
      <c r="A6" s="819" t="s">
        <v>94</v>
      </c>
      <c r="B6" s="820"/>
      <c r="C6" s="821"/>
      <c r="D6" s="998" t="s">
        <v>297</v>
      </c>
      <c r="E6" s="944"/>
      <c r="F6" s="945"/>
      <c r="G6" s="819" t="s">
        <v>94</v>
      </c>
      <c r="H6" s="821"/>
      <c r="I6" s="817" t="s">
        <v>297</v>
      </c>
      <c r="J6" s="817"/>
      <c r="K6" s="817"/>
      <c r="L6" s="31"/>
    </row>
    <row r="7" spans="1:12" x14ac:dyDescent="0.2">
      <c r="A7" s="941"/>
      <c r="B7" s="999"/>
      <c r="C7" s="1000"/>
      <c r="D7" s="75">
        <v>2016</v>
      </c>
      <c r="E7" s="75">
        <v>2017</v>
      </c>
      <c r="F7" s="75">
        <v>2018</v>
      </c>
      <c r="G7" s="941"/>
      <c r="H7" s="1000"/>
      <c r="I7" s="75">
        <v>2016</v>
      </c>
      <c r="J7" s="75">
        <v>2017</v>
      </c>
      <c r="K7" s="75">
        <v>2018</v>
      </c>
      <c r="L7" s="31"/>
    </row>
    <row r="8" spans="1:12" ht="12" customHeight="1" x14ac:dyDescent="0.2">
      <c r="A8" s="980" t="s">
        <v>296</v>
      </c>
      <c r="B8" s="983"/>
      <c r="C8" s="981"/>
      <c r="D8" s="48"/>
      <c r="E8" s="48"/>
      <c r="F8" s="48"/>
      <c r="G8" s="980" t="s">
        <v>295</v>
      </c>
      <c r="H8" s="981"/>
      <c r="I8" s="48">
        <v>90611</v>
      </c>
      <c r="J8" s="48">
        <v>93329</v>
      </c>
      <c r="K8" s="48">
        <v>95195</v>
      </c>
      <c r="L8" s="14"/>
    </row>
    <row r="9" spans="1:12" ht="12" customHeight="1" x14ac:dyDescent="0.2">
      <c r="A9" s="980" t="s">
        <v>294</v>
      </c>
      <c r="B9" s="983"/>
      <c r="C9" s="981"/>
      <c r="D9" s="43"/>
      <c r="E9" s="43"/>
      <c r="F9" s="43"/>
      <c r="G9" s="982" t="s">
        <v>293</v>
      </c>
      <c r="H9" s="982"/>
      <c r="I9" s="48">
        <v>27425</v>
      </c>
      <c r="J9" s="48">
        <v>28248</v>
      </c>
      <c r="K9" s="48">
        <v>28812</v>
      </c>
      <c r="L9" s="14"/>
    </row>
    <row r="10" spans="1:12" ht="12" customHeight="1" x14ac:dyDescent="0.2">
      <c r="A10" s="980" t="s">
        <v>292</v>
      </c>
      <c r="B10" s="983"/>
      <c r="C10" s="981"/>
      <c r="D10" s="48">
        <v>116482</v>
      </c>
      <c r="E10" s="48">
        <v>119976</v>
      </c>
      <c r="F10" s="48">
        <v>122375</v>
      </c>
      <c r="G10" s="982" t="s">
        <v>291</v>
      </c>
      <c r="H10" s="982"/>
      <c r="I10" s="48">
        <v>83526</v>
      </c>
      <c r="J10" s="48">
        <v>86031</v>
      </c>
      <c r="K10" s="48">
        <v>87753</v>
      </c>
      <c r="L10" s="14"/>
    </row>
    <row r="11" spans="1:12" ht="12" customHeight="1" x14ac:dyDescent="0.2">
      <c r="A11" s="980" t="s">
        <v>290</v>
      </c>
      <c r="B11" s="983"/>
      <c r="C11" s="981"/>
      <c r="D11" s="48"/>
      <c r="E11" s="48"/>
      <c r="F11" s="48"/>
      <c r="G11" s="982" t="s">
        <v>289</v>
      </c>
      <c r="H11" s="982"/>
      <c r="I11" s="48"/>
      <c r="J11" s="48"/>
      <c r="K11" s="48"/>
      <c r="L11" s="14"/>
    </row>
    <row r="12" spans="1:12" ht="12" customHeight="1" x14ac:dyDescent="0.2">
      <c r="A12" s="982"/>
      <c r="B12" s="982"/>
      <c r="C12" s="982"/>
      <c r="D12" s="48"/>
      <c r="E12" s="48"/>
      <c r="F12" s="48"/>
      <c r="G12" s="982" t="s">
        <v>288</v>
      </c>
      <c r="H12" s="982"/>
      <c r="I12" s="48"/>
      <c r="J12" s="48"/>
      <c r="K12" s="48"/>
      <c r="L12" s="14"/>
    </row>
    <row r="13" spans="1:12" ht="12" customHeight="1" x14ac:dyDescent="0.2">
      <c r="A13" s="984"/>
      <c r="B13" s="984"/>
      <c r="C13" s="984"/>
      <c r="D13" s="48"/>
      <c r="E13" s="48"/>
      <c r="F13" s="48"/>
      <c r="G13" s="994" t="s">
        <v>287</v>
      </c>
      <c r="H13" s="995"/>
      <c r="I13" s="48"/>
      <c r="J13" s="48"/>
      <c r="K13" s="48"/>
      <c r="L13" s="14"/>
    </row>
    <row r="14" spans="1:12" ht="12" customHeight="1" x14ac:dyDescent="0.2">
      <c r="A14" s="987"/>
      <c r="B14" s="987"/>
      <c r="C14" s="987"/>
      <c r="D14" s="48"/>
      <c r="E14" s="48"/>
      <c r="F14" s="48"/>
      <c r="G14" s="980" t="s">
        <v>286</v>
      </c>
      <c r="H14" s="981"/>
      <c r="I14" s="48"/>
      <c r="J14" s="48"/>
      <c r="K14" s="48"/>
      <c r="L14" s="14"/>
    </row>
    <row r="15" spans="1:12" ht="23.25" customHeight="1" x14ac:dyDescent="0.2">
      <c r="A15" s="985" t="s">
        <v>285</v>
      </c>
      <c r="B15" s="988"/>
      <c r="C15" s="986"/>
      <c r="D15" s="49">
        <v>116482</v>
      </c>
      <c r="E15" s="49">
        <v>119976</v>
      </c>
      <c r="F15" s="49">
        <v>122375</v>
      </c>
      <c r="G15" s="985" t="s">
        <v>284</v>
      </c>
      <c r="H15" s="986"/>
      <c r="I15" s="49">
        <f>SUM(I8:I14)</f>
        <v>201562</v>
      </c>
      <c r="J15" s="49">
        <f>SUM(J8:J14)</f>
        <v>207608</v>
      </c>
      <c r="K15" s="49">
        <f>SUM(K8:K14)</f>
        <v>211760</v>
      </c>
      <c r="L15" s="14"/>
    </row>
    <row r="16" spans="1:12" ht="12" customHeight="1" x14ac:dyDescent="0.2">
      <c r="A16" s="980"/>
      <c r="B16" s="983"/>
      <c r="C16" s="981"/>
      <c r="D16" s="48"/>
      <c r="E16" s="48"/>
      <c r="F16" s="48"/>
      <c r="G16" s="980"/>
      <c r="H16" s="981"/>
      <c r="I16" s="48"/>
      <c r="J16" s="48"/>
      <c r="K16" s="48"/>
      <c r="L16" s="14"/>
    </row>
    <row r="17" spans="1:12" ht="12" customHeight="1" x14ac:dyDescent="0.2">
      <c r="A17" s="980" t="s">
        <v>270</v>
      </c>
      <c r="B17" s="983"/>
      <c r="C17" s="981"/>
      <c r="D17" s="48"/>
      <c r="E17" s="48"/>
      <c r="F17" s="48"/>
      <c r="G17" s="980" t="s">
        <v>283</v>
      </c>
      <c r="H17" s="981"/>
      <c r="I17" s="48"/>
      <c r="J17" s="48"/>
      <c r="K17" s="48"/>
    </row>
    <row r="18" spans="1:12" ht="12" customHeight="1" x14ac:dyDescent="0.2">
      <c r="A18" s="977" t="s">
        <v>268</v>
      </c>
      <c r="B18" s="977"/>
      <c r="C18" s="977"/>
      <c r="D18" s="48"/>
      <c r="E18" s="48"/>
      <c r="F18" s="48"/>
      <c r="G18" s="977" t="s">
        <v>267</v>
      </c>
      <c r="H18" s="977"/>
      <c r="I18" s="48"/>
      <c r="J18" s="48"/>
      <c r="K18" s="48"/>
    </row>
    <row r="19" spans="1:12" ht="12" customHeight="1" x14ac:dyDescent="0.2">
      <c r="A19" s="977" t="s">
        <v>266</v>
      </c>
      <c r="B19" s="977"/>
      <c r="C19" s="977"/>
      <c r="D19" s="48"/>
      <c r="E19" s="48"/>
      <c r="F19" s="48"/>
      <c r="G19" s="992" t="s">
        <v>282</v>
      </c>
      <c r="H19" s="992"/>
      <c r="I19" s="48"/>
      <c r="J19" s="48"/>
      <c r="K19" s="48"/>
    </row>
    <row r="20" spans="1:12" ht="12" customHeight="1" x14ac:dyDescent="0.2">
      <c r="A20" s="982" t="s">
        <v>264</v>
      </c>
      <c r="B20" s="982"/>
      <c r="C20" s="982"/>
      <c r="D20" s="48"/>
      <c r="E20" s="48"/>
      <c r="F20" s="48"/>
      <c r="G20" s="977" t="s">
        <v>263</v>
      </c>
      <c r="H20" s="977"/>
      <c r="I20" s="48"/>
      <c r="J20" s="48"/>
      <c r="K20" s="48"/>
    </row>
    <row r="21" spans="1:12" ht="12" customHeight="1" x14ac:dyDescent="0.2">
      <c r="A21" s="982" t="s">
        <v>262</v>
      </c>
      <c r="B21" s="982"/>
      <c r="C21" s="982"/>
      <c r="D21" s="48"/>
      <c r="E21" s="48"/>
      <c r="F21" s="48"/>
      <c r="G21" s="977" t="s">
        <v>261</v>
      </c>
      <c r="H21" s="977"/>
      <c r="I21" s="48"/>
      <c r="J21" s="48"/>
      <c r="K21" s="48"/>
    </row>
    <row r="22" spans="1:12" ht="12" customHeight="1" x14ac:dyDescent="0.2">
      <c r="A22" s="977" t="s">
        <v>260</v>
      </c>
      <c r="B22" s="977"/>
      <c r="C22" s="977"/>
      <c r="D22" s="48">
        <v>85080</v>
      </c>
      <c r="E22" s="48">
        <v>87632</v>
      </c>
      <c r="F22" s="48">
        <v>89385</v>
      </c>
      <c r="G22" s="977" t="s">
        <v>259</v>
      </c>
      <c r="H22" s="977"/>
      <c r="I22" s="48"/>
      <c r="J22" s="48"/>
      <c r="K22" s="48"/>
    </row>
    <row r="23" spans="1:12" ht="12" customHeight="1" x14ac:dyDescent="0.2">
      <c r="A23" s="993"/>
      <c r="B23" s="993"/>
      <c r="C23" s="993"/>
      <c r="D23" s="48"/>
      <c r="E23" s="48"/>
      <c r="F23" s="48"/>
      <c r="G23" s="977" t="s">
        <v>258</v>
      </c>
      <c r="H23" s="977"/>
      <c r="I23" s="48"/>
      <c r="J23" s="48"/>
      <c r="K23" s="48"/>
    </row>
    <row r="24" spans="1:12" ht="12" customHeight="1" x14ac:dyDescent="0.2">
      <c r="A24" s="984" t="s">
        <v>281</v>
      </c>
      <c r="B24" s="984"/>
      <c r="C24" s="984"/>
      <c r="D24" s="49">
        <v>85080</v>
      </c>
      <c r="E24" s="49">
        <v>87632</v>
      </c>
      <c r="F24" s="49">
        <v>89385</v>
      </c>
      <c r="G24" s="985" t="s">
        <v>280</v>
      </c>
      <c r="H24" s="986"/>
      <c r="I24" s="49"/>
      <c r="J24" s="49"/>
      <c r="K24" s="49"/>
      <c r="L24" s="14"/>
    </row>
    <row r="25" spans="1:12" ht="12" customHeight="1" x14ac:dyDescent="0.2">
      <c r="A25" s="987"/>
      <c r="B25" s="987"/>
      <c r="C25" s="987"/>
      <c r="D25" s="49"/>
      <c r="E25" s="49"/>
      <c r="F25" s="49"/>
      <c r="G25" s="978"/>
      <c r="H25" s="979"/>
      <c r="I25" s="49"/>
      <c r="J25" s="49"/>
      <c r="K25" s="49"/>
      <c r="L25" s="14"/>
    </row>
    <row r="26" spans="1:12" ht="12" customHeight="1" x14ac:dyDescent="0.2">
      <c r="A26" s="984" t="s">
        <v>279</v>
      </c>
      <c r="B26" s="984"/>
      <c r="C26" s="984"/>
      <c r="D26" s="49">
        <v>201562</v>
      </c>
      <c r="E26" s="49">
        <v>207608</v>
      </c>
      <c r="F26" s="49">
        <v>211760</v>
      </c>
      <c r="G26" s="985" t="s">
        <v>278</v>
      </c>
      <c r="H26" s="986"/>
      <c r="I26" s="49">
        <v>201562</v>
      </c>
      <c r="J26" s="49">
        <v>207608</v>
      </c>
      <c r="K26" s="49">
        <v>211760</v>
      </c>
      <c r="L26" s="14"/>
    </row>
    <row r="27" spans="1:12" ht="12" customHeight="1" x14ac:dyDescent="0.2">
      <c r="A27" s="982"/>
      <c r="B27" s="982"/>
      <c r="C27" s="982"/>
      <c r="D27" s="48"/>
      <c r="E27" s="48"/>
      <c r="F27" s="48"/>
      <c r="G27" s="980"/>
      <c r="H27" s="981"/>
      <c r="I27" s="48"/>
      <c r="J27" s="48"/>
      <c r="K27" s="48"/>
      <c r="L27" s="14"/>
    </row>
    <row r="28" spans="1:12" ht="12.75" customHeight="1" x14ac:dyDescent="0.2">
      <c r="A28" s="980" t="s">
        <v>277</v>
      </c>
      <c r="B28" s="983"/>
      <c r="C28" s="981"/>
      <c r="D28" s="48"/>
      <c r="E28" s="48"/>
      <c r="F28" s="48"/>
      <c r="G28" s="980" t="s">
        <v>276</v>
      </c>
      <c r="H28" s="981"/>
      <c r="I28" s="48">
        <v>353</v>
      </c>
      <c r="J28" s="48">
        <v>353</v>
      </c>
      <c r="K28" s="48">
        <v>353</v>
      </c>
      <c r="L28" s="14"/>
    </row>
    <row r="29" spans="1:12" ht="12" customHeight="1" x14ac:dyDescent="0.2">
      <c r="A29" s="980" t="s">
        <v>275</v>
      </c>
      <c r="B29" s="983"/>
      <c r="C29" s="981"/>
      <c r="D29" s="48"/>
      <c r="E29" s="48"/>
      <c r="F29" s="48"/>
      <c r="G29" s="1009" t="s">
        <v>215</v>
      </c>
      <c r="H29" s="1010"/>
      <c r="I29" s="48">
        <v>6647</v>
      </c>
      <c r="J29" s="48">
        <v>7647</v>
      </c>
      <c r="K29" s="48">
        <v>8647</v>
      </c>
      <c r="L29" s="14"/>
    </row>
    <row r="30" spans="1:12" ht="12" customHeight="1" x14ac:dyDescent="0.2">
      <c r="A30" s="982" t="s">
        <v>274</v>
      </c>
      <c r="B30" s="982"/>
      <c r="C30" s="982"/>
      <c r="D30" s="48"/>
      <c r="E30" s="48"/>
      <c r="F30" s="48"/>
      <c r="G30" s="980" t="s">
        <v>273</v>
      </c>
      <c r="H30" s="981"/>
      <c r="I30" s="48"/>
      <c r="J30" s="48"/>
      <c r="K30" s="48"/>
      <c r="L30" s="14"/>
    </row>
    <row r="31" spans="1:12" ht="24" customHeight="1" x14ac:dyDescent="0.2">
      <c r="A31" s="985" t="s">
        <v>272</v>
      </c>
      <c r="B31" s="988"/>
      <c r="C31" s="986"/>
      <c r="D31" s="48"/>
      <c r="E31" s="48"/>
      <c r="F31" s="48"/>
      <c r="G31" s="985" t="s">
        <v>271</v>
      </c>
      <c r="H31" s="986"/>
      <c r="I31" s="49">
        <f>SUM(I28:I30)</f>
        <v>7000</v>
      </c>
      <c r="J31" s="49">
        <v>8000</v>
      </c>
      <c r="K31" s="49">
        <v>9000</v>
      </c>
      <c r="L31" s="14"/>
    </row>
    <row r="32" spans="1:12" ht="12" customHeight="1" x14ac:dyDescent="0.2">
      <c r="A32" s="982"/>
      <c r="B32" s="982"/>
      <c r="C32" s="982"/>
      <c r="D32" s="48"/>
      <c r="E32" s="48"/>
      <c r="F32" s="48"/>
      <c r="G32" s="980"/>
      <c r="H32" s="981"/>
      <c r="I32" s="48"/>
      <c r="J32" s="48"/>
      <c r="K32" s="48"/>
      <c r="L32" s="14"/>
    </row>
    <row r="33" spans="1:12" ht="12" customHeight="1" x14ac:dyDescent="0.2">
      <c r="A33" s="980" t="s">
        <v>270</v>
      </c>
      <c r="B33" s="983"/>
      <c r="C33" s="981"/>
      <c r="D33" s="48"/>
      <c r="E33" s="48"/>
      <c r="F33" s="48"/>
      <c r="G33" s="980" t="s">
        <v>269</v>
      </c>
      <c r="H33" s="981"/>
      <c r="I33" s="48"/>
      <c r="J33" s="48"/>
      <c r="K33" s="48"/>
    </row>
    <row r="34" spans="1:12" ht="12" customHeight="1" x14ac:dyDescent="0.2">
      <c r="A34" s="977" t="s">
        <v>268</v>
      </c>
      <c r="B34" s="977"/>
      <c r="C34" s="977"/>
      <c r="D34" s="48"/>
      <c r="E34" s="48"/>
      <c r="F34" s="48"/>
      <c r="G34" s="977" t="s">
        <v>267</v>
      </c>
      <c r="H34" s="977"/>
      <c r="I34" s="48"/>
      <c r="J34" s="48"/>
      <c r="K34" s="48"/>
    </row>
    <row r="35" spans="1:12" ht="12" customHeight="1" x14ac:dyDescent="0.2">
      <c r="A35" s="977" t="s">
        <v>266</v>
      </c>
      <c r="B35" s="977"/>
      <c r="C35" s="977"/>
      <c r="D35" s="48"/>
      <c r="E35" s="48"/>
      <c r="F35" s="48"/>
      <c r="G35" s="980" t="s">
        <v>265</v>
      </c>
      <c r="H35" s="981"/>
      <c r="I35" s="48"/>
      <c r="J35" s="48"/>
      <c r="K35" s="48"/>
    </row>
    <row r="36" spans="1:12" ht="12" customHeight="1" x14ac:dyDescent="0.2">
      <c r="A36" s="982" t="s">
        <v>264</v>
      </c>
      <c r="B36" s="982"/>
      <c r="C36" s="982"/>
      <c r="D36" s="48"/>
      <c r="E36" s="48"/>
      <c r="F36" s="48"/>
      <c r="G36" s="980" t="s">
        <v>263</v>
      </c>
      <c r="H36" s="981"/>
      <c r="I36" s="48"/>
      <c r="J36" s="48"/>
      <c r="K36" s="48"/>
    </row>
    <row r="37" spans="1:12" ht="12" customHeight="1" x14ac:dyDescent="0.2">
      <c r="A37" s="982" t="s">
        <v>262</v>
      </c>
      <c r="B37" s="982"/>
      <c r="C37" s="982"/>
      <c r="D37" s="48"/>
      <c r="E37" s="48"/>
      <c r="F37" s="48"/>
      <c r="G37" s="977" t="s">
        <v>261</v>
      </c>
      <c r="H37" s="977"/>
      <c r="I37" s="48"/>
      <c r="J37" s="48"/>
      <c r="K37" s="48"/>
    </row>
    <row r="38" spans="1:12" ht="12" customHeight="1" x14ac:dyDescent="0.2">
      <c r="A38" s="977" t="s">
        <v>260</v>
      </c>
      <c r="B38" s="977"/>
      <c r="C38" s="977"/>
      <c r="D38" s="48">
        <v>7000</v>
      </c>
      <c r="E38" s="48">
        <v>8000</v>
      </c>
      <c r="F38" s="48">
        <v>9000</v>
      </c>
      <c r="G38" s="977" t="s">
        <v>259</v>
      </c>
      <c r="H38" s="977"/>
      <c r="I38" s="48"/>
      <c r="J38" s="48"/>
      <c r="K38" s="48"/>
    </row>
    <row r="39" spans="1:12" ht="12" customHeight="1" x14ac:dyDescent="0.2">
      <c r="A39" s="993"/>
      <c r="B39" s="993"/>
      <c r="C39" s="993"/>
      <c r="D39" s="48"/>
      <c r="E39" s="48"/>
      <c r="F39" s="48"/>
      <c r="G39" s="977" t="s">
        <v>258</v>
      </c>
      <c r="H39" s="977"/>
      <c r="I39" s="48"/>
      <c r="J39" s="48"/>
      <c r="K39" s="48"/>
    </row>
    <row r="40" spans="1:12" ht="12" customHeight="1" x14ac:dyDescent="0.2">
      <c r="A40" s="985" t="s">
        <v>257</v>
      </c>
      <c r="B40" s="988"/>
      <c r="C40" s="986"/>
      <c r="D40" s="46">
        <v>7000</v>
      </c>
      <c r="E40" s="46">
        <v>8000</v>
      </c>
      <c r="F40" s="46">
        <v>9000</v>
      </c>
      <c r="G40" s="985" t="s">
        <v>256</v>
      </c>
      <c r="H40" s="986"/>
      <c r="I40" s="22"/>
      <c r="J40" s="22"/>
      <c r="K40" s="22"/>
      <c r="L40" s="14"/>
    </row>
    <row r="41" spans="1:12" ht="12" customHeight="1" x14ac:dyDescent="0.2">
      <c r="A41" s="982"/>
      <c r="B41" s="982"/>
      <c r="C41" s="982"/>
      <c r="D41" s="46"/>
      <c r="E41" s="46"/>
      <c r="F41" s="46"/>
      <c r="G41" s="980"/>
      <c r="H41" s="981"/>
      <c r="I41" s="22"/>
      <c r="J41" s="22"/>
      <c r="K41" s="22"/>
      <c r="L41" s="14"/>
    </row>
    <row r="42" spans="1:12" ht="12.75" customHeight="1" x14ac:dyDescent="0.2">
      <c r="A42" s="984" t="s">
        <v>255</v>
      </c>
      <c r="B42" s="984"/>
      <c r="C42" s="984"/>
      <c r="D42" s="46">
        <v>7000</v>
      </c>
      <c r="E42" s="46">
        <v>8000</v>
      </c>
      <c r="F42" s="46">
        <v>9000</v>
      </c>
      <c r="G42" s="985" t="s">
        <v>254</v>
      </c>
      <c r="H42" s="986"/>
      <c r="I42" s="46">
        <v>7000</v>
      </c>
      <c r="J42" s="46">
        <v>8000</v>
      </c>
      <c r="K42" s="46">
        <v>9000</v>
      </c>
      <c r="L42" s="14"/>
    </row>
    <row r="43" spans="1:12" ht="12" customHeight="1" x14ac:dyDescent="0.2">
      <c r="A43" s="982"/>
      <c r="B43" s="982"/>
      <c r="C43" s="982"/>
      <c r="D43" s="23"/>
      <c r="E43" s="23"/>
      <c r="F43" s="22"/>
      <c r="G43" s="990"/>
      <c r="H43" s="991"/>
      <c r="I43" s="22"/>
      <c r="J43" s="22"/>
      <c r="K43" s="22"/>
      <c r="L43" s="14"/>
    </row>
    <row r="44" spans="1:12" ht="12.75" customHeight="1" x14ac:dyDescent="0.2">
      <c r="A44" s="989" t="s">
        <v>253</v>
      </c>
      <c r="B44" s="989"/>
      <c r="C44" s="989"/>
      <c r="D44" s="46">
        <v>208562</v>
      </c>
      <c r="E44" s="46">
        <v>215608</v>
      </c>
      <c r="F44" s="46">
        <v>220760</v>
      </c>
      <c r="G44" s="989" t="s">
        <v>252</v>
      </c>
      <c r="H44" s="989"/>
      <c r="I44" s="46">
        <v>208562</v>
      </c>
      <c r="J44" s="46">
        <v>215608</v>
      </c>
      <c r="K44" s="46">
        <v>220760</v>
      </c>
      <c r="L44" s="14"/>
    </row>
    <row r="45" spans="1:12" x14ac:dyDescent="0.2">
      <c r="I45" s="47"/>
      <c r="J45" s="47"/>
      <c r="K45" s="47"/>
    </row>
  </sheetData>
  <mergeCells count="83">
    <mergeCell ref="A40:C40"/>
    <mergeCell ref="G40:H40"/>
    <mergeCell ref="A44:C44"/>
    <mergeCell ref="G44:H44"/>
    <mergeCell ref="A41:C41"/>
    <mergeCell ref="G41:H41"/>
    <mergeCell ref="A42:C42"/>
    <mergeCell ref="G42:H42"/>
    <mergeCell ref="A43:C43"/>
    <mergeCell ref="G43:H43"/>
    <mergeCell ref="A38:C38"/>
    <mergeCell ref="G38:H38"/>
    <mergeCell ref="A39:C39"/>
    <mergeCell ref="G39:H39"/>
    <mergeCell ref="A36:C36"/>
    <mergeCell ref="G36:H36"/>
    <mergeCell ref="A37:C37"/>
    <mergeCell ref="G37:H37"/>
    <mergeCell ref="A34:C34"/>
    <mergeCell ref="G34:H34"/>
    <mergeCell ref="A35:C35"/>
    <mergeCell ref="G35:H35"/>
    <mergeCell ref="A32:C32"/>
    <mergeCell ref="G32:H32"/>
    <mergeCell ref="A33:C33"/>
    <mergeCell ref="G33:H33"/>
    <mergeCell ref="A30:C30"/>
    <mergeCell ref="G30:H30"/>
    <mergeCell ref="A31:C31"/>
    <mergeCell ref="G31:H31"/>
    <mergeCell ref="A28:C28"/>
    <mergeCell ref="G28:H28"/>
    <mergeCell ref="A29:C29"/>
    <mergeCell ref="G29:H29"/>
    <mergeCell ref="A26:C26"/>
    <mergeCell ref="G26:H26"/>
    <mergeCell ref="A27:C27"/>
    <mergeCell ref="G27:H27"/>
    <mergeCell ref="A24:C24"/>
    <mergeCell ref="G24:H24"/>
    <mergeCell ref="A25:C25"/>
    <mergeCell ref="G25:H25"/>
    <mergeCell ref="A22:C22"/>
    <mergeCell ref="G22:H22"/>
    <mergeCell ref="A23:C23"/>
    <mergeCell ref="G23:H23"/>
    <mergeCell ref="A20:C20"/>
    <mergeCell ref="G20:H20"/>
    <mergeCell ref="A21:C21"/>
    <mergeCell ref="G21:H21"/>
    <mergeCell ref="A18:C18"/>
    <mergeCell ref="G18:H18"/>
    <mergeCell ref="A19:C19"/>
    <mergeCell ref="G19:H19"/>
    <mergeCell ref="A16:C16"/>
    <mergeCell ref="G16:H16"/>
    <mergeCell ref="A17:C17"/>
    <mergeCell ref="G17:H17"/>
    <mergeCell ref="A14:C14"/>
    <mergeCell ref="G14:H14"/>
    <mergeCell ref="A15:C15"/>
    <mergeCell ref="G15:H15"/>
    <mergeCell ref="A12:C12"/>
    <mergeCell ref="G12:H12"/>
    <mergeCell ref="A13:C13"/>
    <mergeCell ref="G13:H13"/>
    <mergeCell ref="A11:C11"/>
    <mergeCell ref="G11:H11"/>
    <mergeCell ref="A8:C8"/>
    <mergeCell ref="G8:H8"/>
    <mergeCell ref="A9:C9"/>
    <mergeCell ref="G9:H9"/>
    <mergeCell ref="A6:C7"/>
    <mergeCell ref="D6:F6"/>
    <mergeCell ref="G6:H7"/>
    <mergeCell ref="I6:K6"/>
    <mergeCell ref="A10:C10"/>
    <mergeCell ref="G10:H10"/>
    <mergeCell ref="A3:K3"/>
    <mergeCell ref="A4:C4"/>
    <mergeCell ref="G4:H4"/>
    <mergeCell ref="A5:F5"/>
    <mergeCell ref="G5:K5"/>
  </mergeCells>
  <phoneticPr fontId="12" type="noConversion"/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2015.06.30.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workbookViewId="0">
      <selection activeCell="B26" sqref="B26"/>
    </sheetView>
  </sheetViews>
  <sheetFormatPr defaultRowHeight="12.75" x14ac:dyDescent="0.2"/>
  <cols>
    <col min="1" max="1" width="35.28515625" style="39" customWidth="1"/>
    <col min="2" max="3" width="9.5703125" style="39" bestFit="1" customWidth="1"/>
    <col min="4" max="4" width="9.140625" style="39" bestFit="1" customWidth="1"/>
    <col min="5" max="5" width="10" style="39" customWidth="1"/>
    <col min="6" max="6" width="9.7109375" style="39" customWidth="1"/>
    <col min="7" max="7" width="7.85546875" style="39" customWidth="1"/>
    <col min="8" max="8" width="8.85546875" style="39" customWidth="1"/>
    <col min="9" max="9" width="11.42578125" style="39" customWidth="1"/>
    <col min="10" max="11" width="9.5703125" style="39" bestFit="1" customWidth="1"/>
    <col min="12" max="12" width="9.7109375" style="39" customWidth="1"/>
    <col min="13" max="16384" width="9.140625" style="39"/>
  </cols>
  <sheetData>
    <row r="2" spans="1:12" ht="15" x14ac:dyDescent="0.2">
      <c r="H2" s="296"/>
    </row>
    <row r="3" spans="1:12" x14ac:dyDescent="0.2">
      <c r="L3" s="297" t="s">
        <v>166</v>
      </c>
    </row>
    <row r="4" spans="1:12" ht="12.75" customHeight="1" x14ac:dyDescent="0.2">
      <c r="A4" s="1011" t="s">
        <v>90</v>
      </c>
      <c r="B4" s="1011"/>
      <c r="C4" s="1011"/>
      <c r="D4" s="1011"/>
      <c r="E4" s="1011"/>
      <c r="F4" s="1011"/>
      <c r="G4" s="1011"/>
      <c r="H4" s="1011"/>
      <c r="I4" s="1011"/>
      <c r="J4" s="1011"/>
      <c r="K4" s="1011"/>
      <c r="L4" s="1011"/>
    </row>
    <row r="5" spans="1:12" ht="12.75" customHeight="1" x14ac:dyDescent="0.2">
      <c r="A5" s="1011" t="s">
        <v>91</v>
      </c>
      <c r="B5" s="1011"/>
      <c r="C5" s="1011"/>
      <c r="D5" s="1011"/>
      <c r="E5" s="1011"/>
      <c r="F5" s="1011"/>
      <c r="G5" s="1011"/>
      <c r="H5" s="1011"/>
      <c r="I5" s="1011"/>
      <c r="J5" s="1011"/>
      <c r="K5" s="1011"/>
      <c r="L5" s="1011"/>
    </row>
    <row r="6" spans="1:12" ht="14.25" x14ac:dyDescent="0.2">
      <c r="A6" s="1012" t="s">
        <v>765</v>
      </c>
      <c r="B6" s="1012"/>
      <c r="C6" s="1012"/>
      <c r="D6" s="1012"/>
      <c r="E6" s="1012" t="s">
        <v>92</v>
      </c>
      <c r="F6" s="1012"/>
      <c r="G6" s="1012"/>
      <c r="H6" s="1012"/>
      <c r="I6" s="1012"/>
      <c r="J6" s="1012"/>
      <c r="K6" s="1012"/>
      <c r="L6" s="1012"/>
    </row>
    <row r="7" spans="1:12" x14ac:dyDescent="0.2">
      <c r="A7" s="298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</row>
    <row r="8" spans="1:12" x14ac:dyDescent="0.2">
      <c r="A8" s="298"/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300" t="s">
        <v>93</v>
      </c>
    </row>
    <row r="9" spans="1:12" s="769" customFormat="1" ht="11.25" x14ac:dyDescent="0.2">
      <c r="A9" s="1014" t="s">
        <v>94</v>
      </c>
      <c r="B9" s="1013" t="s">
        <v>826</v>
      </c>
      <c r="C9" s="1013"/>
      <c r="D9" s="1013"/>
      <c r="E9" s="1016" t="s">
        <v>766</v>
      </c>
      <c r="F9" s="1016" t="s">
        <v>767</v>
      </c>
      <c r="G9" s="1016" t="s">
        <v>768</v>
      </c>
      <c r="H9" s="1016" t="s">
        <v>769</v>
      </c>
      <c r="I9" s="1018" t="s">
        <v>770</v>
      </c>
      <c r="J9" s="767"/>
      <c r="K9" s="767"/>
      <c r="L9" s="768" t="s">
        <v>64</v>
      </c>
    </row>
    <row r="10" spans="1:12" s="769" customFormat="1" ht="33.75" x14ac:dyDescent="0.2">
      <c r="A10" s="1015"/>
      <c r="B10" s="301" t="s">
        <v>825</v>
      </c>
      <c r="C10" s="301" t="s">
        <v>823</v>
      </c>
      <c r="D10" s="301" t="s">
        <v>822</v>
      </c>
      <c r="E10" s="1017"/>
      <c r="F10" s="1017"/>
      <c r="G10" s="1017"/>
      <c r="H10" s="1017"/>
      <c r="I10" s="1019"/>
      <c r="J10" s="301" t="s">
        <v>825</v>
      </c>
      <c r="K10" s="301" t="s">
        <v>823</v>
      </c>
      <c r="L10" s="302" t="s">
        <v>822</v>
      </c>
    </row>
    <row r="11" spans="1:12" x14ac:dyDescent="0.2">
      <c r="A11" s="303" t="s">
        <v>771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</row>
    <row r="12" spans="1:12" x14ac:dyDescent="0.2">
      <c r="A12" s="306" t="s">
        <v>772</v>
      </c>
      <c r="B12" s="304">
        <v>14738</v>
      </c>
      <c r="C12" s="304">
        <v>14738</v>
      </c>
      <c r="D12" s="304"/>
      <c r="E12" s="304">
        <v>144658</v>
      </c>
      <c r="F12" s="304">
        <v>220384</v>
      </c>
      <c r="G12" s="304">
        <v>213187</v>
      </c>
      <c r="H12" s="304">
        <v>205828</v>
      </c>
      <c r="I12" s="304">
        <v>918873</v>
      </c>
      <c r="J12" s="304">
        <f>SUM(B12,$E12,$F12,$G12,$H12,$I12)</f>
        <v>1717668</v>
      </c>
      <c r="K12" s="304">
        <f t="shared" ref="K12:L24" si="0">SUM(C12,$E12,$F12,$G12,$H12,$I12)</f>
        <v>1717668</v>
      </c>
      <c r="L12" s="305"/>
    </row>
    <row r="13" spans="1:12" x14ac:dyDescent="0.2">
      <c r="A13" s="306" t="s">
        <v>773</v>
      </c>
      <c r="B13" s="304">
        <v>11769</v>
      </c>
      <c r="C13" s="304">
        <v>11769</v>
      </c>
      <c r="D13" s="304"/>
      <c r="E13" s="304">
        <v>172151</v>
      </c>
      <c r="F13" s="304">
        <v>166214</v>
      </c>
      <c r="G13" s="304">
        <v>160785</v>
      </c>
      <c r="H13" s="304">
        <v>155235</v>
      </c>
      <c r="I13" s="304">
        <v>693009</v>
      </c>
      <c r="J13" s="304">
        <f t="shared" ref="J13:J24" si="1">SUM(B13,$E13,$F13,$G13,$H13,$I13)</f>
        <v>1359163</v>
      </c>
      <c r="K13" s="304">
        <f t="shared" si="0"/>
        <v>1359163</v>
      </c>
      <c r="L13" s="305"/>
    </row>
    <row r="14" spans="1:12" x14ac:dyDescent="0.2">
      <c r="A14" s="306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5"/>
    </row>
    <row r="15" spans="1:12" x14ac:dyDescent="0.2">
      <c r="A15" s="303" t="s">
        <v>774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5"/>
    </row>
    <row r="16" spans="1:12" x14ac:dyDescent="0.2">
      <c r="A16" s="306" t="s">
        <v>775</v>
      </c>
      <c r="B16" s="304"/>
      <c r="C16" s="304">
        <v>340035</v>
      </c>
      <c r="D16" s="304">
        <v>340035</v>
      </c>
      <c r="E16" s="304"/>
      <c r="F16" s="304"/>
      <c r="G16" s="304"/>
      <c r="H16" s="304"/>
      <c r="I16" s="304"/>
      <c r="J16" s="304">
        <f t="shared" si="1"/>
        <v>0</v>
      </c>
      <c r="K16" s="304">
        <f t="shared" si="0"/>
        <v>340035</v>
      </c>
      <c r="L16" s="305">
        <f t="shared" si="0"/>
        <v>340035</v>
      </c>
    </row>
    <row r="17" spans="1:12" x14ac:dyDescent="0.2">
      <c r="A17" s="306" t="s">
        <v>776</v>
      </c>
      <c r="B17" s="304"/>
      <c r="C17" s="304"/>
      <c r="D17" s="304"/>
      <c r="E17" s="304"/>
      <c r="F17" s="304">
        <v>453853</v>
      </c>
      <c r="G17" s="304"/>
      <c r="H17" s="304"/>
      <c r="I17" s="304"/>
      <c r="J17" s="304">
        <f t="shared" si="1"/>
        <v>453853</v>
      </c>
      <c r="K17" s="304">
        <f t="shared" si="0"/>
        <v>453853</v>
      </c>
      <c r="L17" s="305"/>
    </row>
    <row r="18" spans="1:12" x14ac:dyDescent="0.2">
      <c r="A18" s="306"/>
      <c r="B18" s="304"/>
      <c r="C18" s="304"/>
      <c r="D18" s="304"/>
      <c r="E18" s="304"/>
      <c r="F18" s="304"/>
      <c r="G18" s="304"/>
      <c r="H18" s="304"/>
      <c r="I18" s="304"/>
      <c r="J18" s="304"/>
      <c r="K18" s="304"/>
      <c r="L18" s="305"/>
    </row>
    <row r="19" spans="1:12" x14ac:dyDescent="0.2">
      <c r="A19" s="303" t="s">
        <v>777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5"/>
    </row>
    <row r="20" spans="1:12" x14ac:dyDescent="0.2">
      <c r="A20" s="306" t="s">
        <v>778</v>
      </c>
      <c r="B20" s="304">
        <v>139700</v>
      </c>
      <c r="C20" s="304">
        <v>139700</v>
      </c>
      <c r="D20" s="304">
        <v>0</v>
      </c>
      <c r="E20" s="304">
        <v>19050</v>
      </c>
      <c r="F20" s="304"/>
      <c r="G20" s="304"/>
      <c r="H20" s="304"/>
      <c r="I20" s="304"/>
      <c r="J20" s="304">
        <f t="shared" si="1"/>
        <v>158750</v>
      </c>
      <c r="K20" s="304">
        <f t="shared" si="0"/>
        <v>158750</v>
      </c>
      <c r="L20" s="305"/>
    </row>
    <row r="21" spans="1:12" x14ac:dyDescent="0.2">
      <c r="A21" s="306" t="s">
        <v>779</v>
      </c>
      <c r="B21" s="304">
        <v>1400</v>
      </c>
      <c r="C21" s="304">
        <v>1400</v>
      </c>
      <c r="D21" s="304">
        <v>480</v>
      </c>
      <c r="E21" s="304">
        <v>200</v>
      </c>
      <c r="F21" s="304">
        <v>200</v>
      </c>
      <c r="G21" s="304"/>
      <c r="H21" s="304"/>
      <c r="I21" s="304"/>
      <c r="J21" s="304">
        <f t="shared" si="1"/>
        <v>1800</v>
      </c>
      <c r="K21" s="304">
        <f t="shared" si="0"/>
        <v>1800</v>
      </c>
      <c r="L21" s="305">
        <v>480</v>
      </c>
    </row>
    <row r="22" spans="1:12" x14ac:dyDescent="0.2">
      <c r="A22" s="306"/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5"/>
    </row>
    <row r="23" spans="1:12" x14ac:dyDescent="0.2">
      <c r="A23" s="303" t="s">
        <v>780</v>
      </c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5"/>
    </row>
    <row r="24" spans="1:12" x14ac:dyDescent="0.2">
      <c r="A24" s="306" t="s">
        <v>781</v>
      </c>
      <c r="B24" s="304">
        <v>350000</v>
      </c>
      <c r="C24" s="304">
        <v>350000</v>
      </c>
      <c r="D24" s="304">
        <v>87904</v>
      </c>
      <c r="E24" s="304">
        <v>350000</v>
      </c>
      <c r="F24" s="304"/>
      <c r="G24" s="304"/>
      <c r="H24" s="304"/>
      <c r="I24" s="304"/>
      <c r="J24" s="304">
        <f t="shared" si="1"/>
        <v>700000</v>
      </c>
      <c r="K24" s="304">
        <f t="shared" si="0"/>
        <v>700000</v>
      </c>
      <c r="L24" s="305">
        <v>87904</v>
      </c>
    </row>
    <row r="25" spans="1:12" x14ac:dyDescent="0.2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9"/>
    </row>
    <row r="26" spans="1:12" x14ac:dyDescent="0.2">
      <c r="A26" s="310" t="s">
        <v>87</v>
      </c>
      <c r="B26" s="311">
        <f>SUM(B12:B25)</f>
        <v>517607</v>
      </c>
      <c r="C26" s="311">
        <f t="shared" ref="C26:D26" si="2">SUM(C12:C25)</f>
        <v>857642</v>
      </c>
      <c r="D26" s="311">
        <f t="shared" si="2"/>
        <v>428419</v>
      </c>
      <c r="E26" s="311">
        <f>SUM(E12:E25)</f>
        <v>686059</v>
      </c>
      <c r="F26" s="311">
        <f>SUM(F12:F25)</f>
        <v>840651</v>
      </c>
      <c r="G26" s="311">
        <f>SUM(G12:G25)</f>
        <v>373972</v>
      </c>
      <c r="H26" s="311">
        <f>SUM(H12:H25)</f>
        <v>361063</v>
      </c>
      <c r="I26" s="311">
        <f>SUM(I12:I25)</f>
        <v>1611882</v>
      </c>
      <c r="J26" s="311">
        <f t="shared" ref="J26:K26" si="3">SUM(J12:J25)</f>
        <v>4391234</v>
      </c>
      <c r="K26" s="311">
        <f t="shared" si="3"/>
        <v>4731269</v>
      </c>
      <c r="L26" s="312">
        <f>SUM(L12:L25)</f>
        <v>428419</v>
      </c>
    </row>
  </sheetData>
  <mergeCells count="10">
    <mergeCell ref="A4:L4"/>
    <mergeCell ref="A5:L5"/>
    <mergeCell ref="A6:L6"/>
    <mergeCell ref="B9:D9"/>
    <mergeCell ref="A9:A10"/>
    <mergeCell ref="E9:E10"/>
    <mergeCell ref="F9:F10"/>
    <mergeCell ref="G9:G10"/>
    <mergeCell ref="H9:H10"/>
    <mergeCell ref="I9:I10"/>
  </mergeCells>
  <phoneticPr fontId="0" type="noConversion"/>
  <printOptions horizontalCentered="1"/>
  <pageMargins left="0" right="0" top="0.55118110236220474" bottom="0.31496062992125984" header="0.27559055118110237" footer="0.19685039370078741"/>
  <pageSetup paperSize="9" orientation="landscape" r:id="rId1"/>
  <headerFooter>
    <oddHeader>&amp;LVeresegyház Város Önkormányzat&amp;C&amp;"Arial CE,Félkövér"ELŐIRÁNYZAT MÓDOSÍTÁS, TELJESÍTÉS 2015.06.30.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9" sqref="C9:D9"/>
    </sheetView>
  </sheetViews>
  <sheetFormatPr defaultRowHeight="12.75" x14ac:dyDescent="0.2"/>
  <cols>
    <col min="1" max="1" width="60.140625" customWidth="1"/>
    <col min="2" max="2" width="15.140625" customWidth="1"/>
    <col min="3" max="3" width="10.5703125" customWidth="1"/>
  </cols>
  <sheetData>
    <row r="1" spans="1:5" x14ac:dyDescent="0.2">
      <c r="A1" s="7"/>
      <c r="D1" s="6" t="s">
        <v>162</v>
      </c>
    </row>
    <row r="2" spans="1:5" x14ac:dyDescent="0.2">
      <c r="A2" s="7"/>
      <c r="B2" s="7"/>
    </row>
    <row r="3" spans="1:5" x14ac:dyDescent="0.2">
      <c r="A3" s="848" t="s">
        <v>105</v>
      </c>
      <c r="B3" s="848"/>
      <c r="C3" s="848"/>
      <c r="D3" s="848"/>
    </row>
    <row r="4" spans="1:5" ht="51" customHeight="1" x14ac:dyDescent="0.2">
      <c r="A4" s="1023" t="s">
        <v>58</v>
      </c>
      <c r="B4" s="1023"/>
      <c r="C4" s="1023"/>
      <c r="D4" s="1023"/>
    </row>
    <row r="5" spans="1:5" ht="12" customHeight="1" x14ac:dyDescent="0.2">
      <c r="A5" s="97"/>
      <c r="B5" s="98"/>
    </row>
    <row r="6" spans="1:5" x14ac:dyDescent="0.2">
      <c r="A6" s="99"/>
      <c r="D6" s="76" t="s">
        <v>93</v>
      </c>
    </row>
    <row r="7" spans="1:5" x14ac:dyDescent="0.2">
      <c r="A7" s="1020" t="s">
        <v>110</v>
      </c>
      <c r="B7" s="1022" t="s">
        <v>142</v>
      </c>
      <c r="C7" s="1022"/>
      <c r="D7" s="1022"/>
      <c r="E7" s="209"/>
    </row>
    <row r="8" spans="1:5" ht="33.75" x14ac:dyDescent="0.2">
      <c r="A8" s="1021"/>
      <c r="B8" s="192" t="s">
        <v>821</v>
      </c>
      <c r="C8" s="192" t="s">
        <v>823</v>
      </c>
      <c r="D8" s="192" t="s">
        <v>822</v>
      </c>
    </row>
    <row r="9" spans="1:5" ht="26.25" customHeight="1" x14ac:dyDescent="0.2">
      <c r="A9" s="100" t="s">
        <v>141</v>
      </c>
      <c r="B9" s="101">
        <f>SUM(B10:B25)</f>
        <v>1390000</v>
      </c>
      <c r="C9" s="101">
        <f>SUM(C10:C25)</f>
        <v>1390000</v>
      </c>
      <c r="D9" s="101">
        <f>SUM(D10:D25)</f>
        <v>0</v>
      </c>
    </row>
    <row r="10" spans="1:5" x14ac:dyDescent="0.2">
      <c r="A10" s="102" t="s">
        <v>795</v>
      </c>
      <c r="B10" s="103">
        <v>331051</v>
      </c>
      <c r="C10" s="103">
        <v>331051</v>
      </c>
      <c r="D10" s="103">
        <v>0</v>
      </c>
    </row>
    <row r="11" spans="1:5" x14ac:dyDescent="0.2">
      <c r="A11" s="102" t="s">
        <v>796</v>
      </c>
      <c r="B11" s="103">
        <v>311499</v>
      </c>
      <c r="C11" s="103">
        <v>311499</v>
      </c>
      <c r="D11" s="103">
        <v>0</v>
      </c>
    </row>
    <row r="12" spans="1:5" x14ac:dyDescent="0.2">
      <c r="A12" s="102" t="s">
        <v>797</v>
      </c>
      <c r="B12" s="103">
        <v>92370</v>
      </c>
      <c r="C12" s="103">
        <v>92370</v>
      </c>
      <c r="D12" s="103">
        <v>0</v>
      </c>
    </row>
    <row r="13" spans="1:5" x14ac:dyDescent="0.2">
      <c r="A13" s="102" t="s">
        <v>798</v>
      </c>
      <c r="B13" s="103">
        <v>38094</v>
      </c>
      <c r="C13" s="103">
        <v>38094</v>
      </c>
      <c r="D13" s="103">
        <v>0</v>
      </c>
    </row>
    <row r="14" spans="1:5" x14ac:dyDescent="0.2">
      <c r="A14" s="102" t="s">
        <v>799</v>
      </c>
      <c r="B14" s="103">
        <v>18897</v>
      </c>
      <c r="C14" s="103">
        <v>18897</v>
      </c>
      <c r="D14" s="103">
        <v>0</v>
      </c>
    </row>
    <row r="15" spans="1:5" x14ac:dyDescent="0.2">
      <c r="A15" s="102" t="s">
        <v>800</v>
      </c>
      <c r="B15" s="103">
        <v>20789</v>
      </c>
      <c r="C15" s="103">
        <v>20789</v>
      </c>
      <c r="D15" s="103">
        <v>0</v>
      </c>
    </row>
    <row r="16" spans="1:5" x14ac:dyDescent="0.2">
      <c r="A16" s="102" t="s">
        <v>801</v>
      </c>
      <c r="B16" s="103">
        <v>12270</v>
      </c>
      <c r="C16" s="103">
        <v>12270</v>
      </c>
      <c r="D16" s="103">
        <v>0</v>
      </c>
    </row>
    <row r="17" spans="1:4" x14ac:dyDescent="0.2">
      <c r="A17" s="102" t="s">
        <v>802</v>
      </c>
      <c r="B17" s="103">
        <v>171524</v>
      </c>
      <c r="C17" s="103">
        <v>171524</v>
      </c>
      <c r="D17" s="103">
        <v>0</v>
      </c>
    </row>
    <row r="18" spans="1:4" x14ac:dyDescent="0.2">
      <c r="A18" s="102" t="s">
        <v>803</v>
      </c>
      <c r="B18" s="103">
        <v>30480</v>
      </c>
      <c r="C18" s="103">
        <v>30480</v>
      </c>
      <c r="D18" s="103">
        <v>0</v>
      </c>
    </row>
    <row r="19" spans="1:4" x14ac:dyDescent="0.2">
      <c r="A19" s="102" t="s">
        <v>804</v>
      </c>
      <c r="B19" s="103">
        <v>10160</v>
      </c>
      <c r="C19" s="103">
        <v>10160</v>
      </c>
      <c r="D19" s="103">
        <v>0</v>
      </c>
    </row>
    <row r="20" spans="1:4" x14ac:dyDescent="0.2">
      <c r="A20" s="102" t="s">
        <v>805</v>
      </c>
      <c r="B20" s="103">
        <v>82866</v>
      </c>
      <c r="C20" s="103">
        <v>82866</v>
      </c>
      <c r="D20" s="103">
        <v>0</v>
      </c>
    </row>
    <row r="21" spans="1:4" x14ac:dyDescent="0.2">
      <c r="A21" s="102" t="s">
        <v>806</v>
      </c>
      <c r="B21" s="103">
        <v>270000</v>
      </c>
      <c r="C21" s="103">
        <v>270000</v>
      </c>
      <c r="D21" s="103">
        <v>0</v>
      </c>
    </row>
    <row r="22" spans="1:4" x14ac:dyDescent="0.2">
      <c r="A22" s="102"/>
      <c r="B22" s="103"/>
      <c r="C22" s="103"/>
      <c r="D22" s="103"/>
    </row>
    <row r="23" spans="1:4" x14ac:dyDescent="0.2">
      <c r="A23" s="102"/>
      <c r="B23" s="103"/>
      <c r="C23" s="103"/>
      <c r="D23" s="103"/>
    </row>
    <row r="24" spans="1:4" x14ac:dyDescent="0.2">
      <c r="A24" s="102"/>
      <c r="B24" s="103"/>
      <c r="C24" s="103"/>
      <c r="D24" s="103"/>
    </row>
    <row r="25" spans="1:4" x14ac:dyDescent="0.2">
      <c r="A25" s="102"/>
      <c r="B25" s="103"/>
      <c r="C25" s="103"/>
      <c r="D25" s="103"/>
    </row>
    <row r="26" spans="1:4" x14ac:dyDescent="0.2">
      <c r="A26" s="104" t="s">
        <v>807</v>
      </c>
      <c r="B26" s="101">
        <f>SUM(B27:B29)</f>
        <v>1110000</v>
      </c>
      <c r="C26" s="101">
        <f>SUM(C27:C29)</f>
        <v>1110000</v>
      </c>
      <c r="D26" s="101">
        <f>SUM(D27:D29)</f>
        <v>0</v>
      </c>
    </row>
    <row r="27" spans="1:4" x14ac:dyDescent="0.2">
      <c r="A27" s="102" t="s">
        <v>808</v>
      </c>
      <c r="B27" s="103">
        <v>1110000</v>
      </c>
      <c r="C27" s="103">
        <v>1110000</v>
      </c>
      <c r="D27" s="103">
        <v>0</v>
      </c>
    </row>
    <row r="28" spans="1:4" x14ac:dyDescent="0.2">
      <c r="A28" s="102"/>
      <c r="B28" s="103"/>
      <c r="C28" s="103"/>
      <c r="D28" s="103"/>
    </row>
    <row r="29" spans="1:4" x14ac:dyDescent="0.2">
      <c r="A29" s="102"/>
      <c r="B29" s="103"/>
      <c r="C29" s="103"/>
      <c r="D29" s="103"/>
    </row>
    <row r="30" spans="1:4" x14ac:dyDescent="0.2">
      <c r="A30" s="102"/>
      <c r="B30" s="103"/>
      <c r="C30" s="103"/>
      <c r="D30" s="103"/>
    </row>
    <row r="31" spans="1:4" x14ac:dyDescent="0.2">
      <c r="A31" s="102"/>
      <c r="B31" s="103"/>
      <c r="C31" s="103"/>
      <c r="D31" s="103"/>
    </row>
    <row r="32" spans="1:4" x14ac:dyDescent="0.2">
      <c r="A32" s="102"/>
      <c r="B32" s="103"/>
      <c r="C32" s="103"/>
      <c r="D32" s="103"/>
    </row>
    <row r="33" spans="1:4" x14ac:dyDescent="0.2">
      <c r="A33" s="105"/>
      <c r="B33" s="106"/>
      <c r="C33" s="106"/>
      <c r="D33" s="106"/>
    </row>
    <row r="34" spans="1:4" x14ac:dyDescent="0.2">
      <c r="A34" s="107" t="s">
        <v>87</v>
      </c>
      <c r="B34" s="108">
        <f>SUM(B26+B9)</f>
        <v>2500000</v>
      </c>
      <c r="C34" s="108">
        <f t="shared" ref="C34:D34" si="0">SUM(C26+C9)</f>
        <v>2500000</v>
      </c>
      <c r="D34" s="108">
        <f t="shared" si="0"/>
        <v>0</v>
      </c>
    </row>
  </sheetData>
  <mergeCells count="4">
    <mergeCell ref="A7:A8"/>
    <mergeCell ref="B7:D7"/>
    <mergeCell ref="A4:D4"/>
    <mergeCell ref="A3:D3"/>
  </mergeCells>
  <phoneticPr fontId="12" type="noConversion"/>
  <printOptions horizontalCentered="1"/>
  <pageMargins left="0" right="0" top="0.59055118110236227" bottom="0.11811023622047245" header="0.27559055118110237" footer="0"/>
  <pageSetup paperSize="9" orientation="portrait" r:id="rId1"/>
  <headerFooter>
    <oddHeader>&amp;LVeresegyház Város Önkormányzat&amp;C&amp;"Arial CE,Félkövér"ELŐIRÁNYZAT MÓDOSÍTÁS, TELJESÍTÉS 2015.06.30.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I27" sqref="I27"/>
    </sheetView>
  </sheetViews>
  <sheetFormatPr defaultRowHeight="12.75" x14ac:dyDescent="0.2"/>
  <cols>
    <col min="1" max="1" width="62.140625" customWidth="1"/>
    <col min="2" max="2" width="13.5703125" customWidth="1"/>
    <col min="3" max="3" width="12" customWidth="1"/>
    <col min="5" max="5" width="11.5703125" customWidth="1"/>
    <col min="6" max="6" width="11" customWidth="1"/>
  </cols>
  <sheetData>
    <row r="1" spans="1:7" x14ac:dyDescent="0.2">
      <c r="A1" s="77"/>
      <c r="B1" s="77"/>
      <c r="D1" s="12"/>
      <c r="G1" s="78" t="s">
        <v>167</v>
      </c>
    </row>
    <row r="2" spans="1:7" x14ac:dyDescent="0.2">
      <c r="A2" s="1024" t="s">
        <v>66</v>
      </c>
      <c r="B2" s="1024"/>
      <c r="C2" s="1024"/>
      <c r="D2" s="1024"/>
      <c r="E2" s="1024"/>
      <c r="F2" s="1024"/>
      <c r="G2" s="1024"/>
    </row>
    <row r="3" spans="1:7" x14ac:dyDescent="0.2">
      <c r="A3" s="1024" t="s">
        <v>136</v>
      </c>
      <c r="B3" s="1024"/>
      <c r="C3" s="1024"/>
      <c r="D3" s="1024"/>
      <c r="E3" s="1024"/>
      <c r="F3" s="1024"/>
      <c r="G3" s="1024"/>
    </row>
    <row r="4" spans="1:7" x14ac:dyDescent="0.2">
      <c r="A4" s="79"/>
      <c r="B4" s="77"/>
      <c r="G4" s="76" t="s">
        <v>93</v>
      </c>
    </row>
    <row r="5" spans="1:7" ht="56.25" customHeight="1" x14ac:dyDescent="0.2">
      <c r="A5" s="1031" t="s">
        <v>121</v>
      </c>
      <c r="B5" s="1027" t="s">
        <v>164</v>
      </c>
      <c r="C5" s="1027"/>
      <c r="D5" s="1027"/>
      <c r="E5" s="818" t="s">
        <v>165</v>
      </c>
      <c r="F5" s="818"/>
      <c r="G5" s="818"/>
    </row>
    <row r="6" spans="1:7" ht="33.75" x14ac:dyDescent="0.2">
      <c r="A6" s="1032"/>
      <c r="B6" s="192" t="s">
        <v>821</v>
      </c>
      <c r="C6" s="192" t="s">
        <v>823</v>
      </c>
      <c r="D6" s="192" t="s">
        <v>822</v>
      </c>
      <c r="E6" s="192" t="s">
        <v>821</v>
      </c>
      <c r="F6" s="192" t="s">
        <v>823</v>
      </c>
      <c r="G6" s="192" t="s">
        <v>822</v>
      </c>
    </row>
    <row r="7" spans="1:7" x14ac:dyDescent="0.2">
      <c r="A7" s="80" t="s">
        <v>111</v>
      </c>
      <c r="B7" s="81">
        <v>39980900</v>
      </c>
      <c r="C7" s="81">
        <v>40436000</v>
      </c>
      <c r="D7" s="22">
        <v>1993848</v>
      </c>
      <c r="E7" s="22">
        <v>3980900</v>
      </c>
      <c r="F7" s="22">
        <v>4436000</v>
      </c>
      <c r="G7" s="22">
        <v>1993848</v>
      </c>
    </row>
    <row r="8" spans="1:7" ht="21.75" customHeight="1" x14ac:dyDescent="0.2">
      <c r="A8" s="82" t="s">
        <v>112</v>
      </c>
      <c r="B8" s="81">
        <v>1106418</v>
      </c>
      <c r="C8" s="81">
        <v>1106418</v>
      </c>
      <c r="D8" s="22">
        <v>28952</v>
      </c>
      <c r="E8" s="22">
        <v>122418</v>
      </c>
      <c r="F8" s="22">
        <v>122418</v>
      </c>
      <c r="G8" s="22">
        <v>28952</v>
      </c>
    </row>
    <row r="9" spans="1:7" x14ac:dyDescent="0.2">
      <c r="A9" s="80" t="s">
        <v>113</v>
      </c>
      <c r="B9" s="81"/>
      <c r="C9" s="81"/>
      <c r="D9" s="22"/>
      <c r="E9" s="26"/>
      <c r="F9" s="22"/>
      <c r="G9" s="22"/>
    </row>
    <row r="10" spans="1:7" x14ac:dyDescent="0.2">
      <c r="A10" s="80" t="s">
        <v>114</v>
      </c>
      <c r="B10" s="81">
        <v>2202001</v>
      </c>
      <c r="C10" s="81">
        <v>2320111</v>
      </c>
      <c r="D10" s="22">
        <v>70036</v>
      </c>
      <c r="E10" s="22">
        <v>402001</v>
      </c>
      <c r="F10" s="22">
        <v>520111</v>
      </c>
      <c r="G10" s="22">
        <v>70036</v>
      </c>
    </row>
    <row r="11" spans="1:7" x14ac:dyDescent="0.2">
      <c r="A11" s="80" t="s">
        <v>115</v>
      </c>
      <c r="B11" s="81"/>
      <c r="C11" s="81"/>
      <c r="D11" s="22"/>
      <c r="E11" s="26"/>
      <c r="F11" s="22"/>
      <c r="G11" s="22"/>
    </row>
    <row r="12" spans="1:7" x14ac:dyDescent="0.2">
      <c r="A12" s="80" t="s">
        <v>116</v>
      </c>
      <c r="B12" s="81"/>
      <c r="C12" s="81"/>
      <c r="D12" s="22"/>
      <c r="E12" s="26"/>
      <c r="F12" s="22"/>
      <c r="G12" s="22"/>
    </row>
    <row r="13" spans="1:7" x14ac:dyDescent="0.2">
      <c r="A13" s="80" t="s">
        <v>117</v>
      </c>
      <c r="B13" s="81"/>
      <c r="C13" s="81"/>
      <c r="D13" s="22"/>
      <c r="E13" s="26"/>
      <c r="F13" s="22"/>
      <c r="G13" s="22"/>
    </row>
    <row r="14" spans="1:7" x14ac:dyDescent="0.2">
      <c r="A14" s="80" t="s">
        <v>118</v>
      </c>
      <c r="B14" s="81"/>
      <c r="C14" s="81"/>
      <c r="D14" s="22"/>
      <c r="E14" s="26"/>
      <c r="F14" s="22"/>
      <c r="G14" s="22"/>
    </row>
    <row r="15" spans="1:7" x14ac:dyDescent="0.2">
      <c r="A15" s="80" t="s">
        <v>119</v>
      </c>
      <c r="B15" s="81">
        <v>147500</v>
      </c>
      <c r="C15" s="81">
        <v>147500</v>
      </c>
      <c r="D15" s="22">
        <v>5838</v>
      </c>
      <c r="E15" s="22">
        <v>12500</v>
      </c>
      <c r="F15" s="22">
        <v>12500</v>
      </c>
      <c r="G15" s="22">
        <v>5838</v>
      </c>
    </row>
    <row r="16" spans="1:7" x14ac:dyDescent="0.2">
      <c r="A16" s="80" t="s">
        <v>120</v>
      </c>
      <c r="B16" s="81"/>
      <c r="C16" s="197"/>
      <c r="D16" s="197"/>
      <c r="E16" s="26"/>
      <c r="F16" s="22"/>
      <c r="G16" s="22"/>
    </row>
    <row r="17" spans="1:7" x14ac:dyDescent="0.2">
      <c r="A17" s="83" t="s">
        <v>122</v>
      </c>
      <c r="B17" s="84">
        <f>SUM(B7:B16)</f>
        <v>43436819</v>
      </c>
      <c r="C17" s="84">
        <f t="shared" ref="C17:G17" si="0">SUM(C7:C16)</f>
        <v>44010029</v>
      </c>
      <c r="D17" s="84">
        <f t="shared" si="0"/>
        <v>2098674</v>
      </c>
      <c r="E17" s="84">
        <f t="shared" si="0"/>
        <v>4517819</v>
      </c>
      <c r="F17" s="84">
        <f t="shared" si="0"/>
        <v>5091029</v>
      </c>
      <c r="G17" s="84">
        <f t="shared" si="0"/>
        <v>2098674</v>
      </c>
    </row>
    <row r="18" spans="1:7" x14ac:dyDescent="0.2">
      <c r="A18" s="85"/>
      <c r="B18" s="85"/>
      <c r="C18" s="77"/>
    </row>
    <row r="19" spans="1:7" ht="15.75" customHeight="1" x14ac:dyDescent="0.2">
      <c r="A19" s="1029" t="s">
        <v>135</v>
      </c>
      <c r="B19" s="1029"/>
      <c r="C19" s="1029"/>
      <c r="D19" s="237"/>
      <c r="E19" s="237"/>
      <c r="F19" s="237"/>
      <c r="G19" s="237"/>
    </row>
    <row r="20" spans="1:7" ht="15.75" customHeight="1" x14ac:dyDescent="0.2">
      <c r="A20" s="86"/>
      <c r="B20" s="86"/>
      <c r="C20" s="86"/>
    </row>
    <row r="21" spans="1:7" x14ac:dyDescent="0.2">
      <c r="A21" s="86"/>
      <c r="B21" s="86"/>
      <c r="C21" s="86"/>
    </row>
    <row r="22" spans="1:7" x14ac:dyDescent="0.2">
      <c r="A22" s="1030"/>
      <c r="B22" s="1030"/>
      <c r="C22" s="77"/>
    </row>
    <row r="23" spans="1:7" ht="14.25" customHeight="1" x14ac:dyDescent="0.2">
      <c r="A23" s="87"/>
      <c r="B23" s="87"/>
      <c r="G23" s="78" t="s">
        <v>168</v>
      </c>
    </row>
    <row r="24" spans="1:7" x14ac:dyDescent="0.2">
      <c r="A24" s="1024" t="s">
        <v>66</v>
      </c>
      <c r="B24" s="1024"/>
      <c r="C24" s="1024"/>
      <c r="D24" s="1024"/>
      <c r="E24" s="1024"/>
      <c r="F24" s="1024"/>
      <c r="G24" s="1024"/>
    </row>
    <row r="25" spans="1:7" ht="12.75" customHeight="1" x14ac:dyDescent="0.2">
      <c r="A25" s="1028" t="s">
        <v>137</v>
      </c>
      <c r="B25" s="1028"/>
      <c r="C25" s="1028"/>
      <c r="D25" s="1028"/>
      <c r="E25" s="1028"/>
      <c r="F25" s="1028"/>
      <c r="G25" s="1028"/>
    </row>
    <row r="26" spans="1:7" x14ac:dyDescent="0.2">
      <c r="A26" s="79"/>
      <c r="B26" s="77"/>
      <c r="G26" s="76" t="s">
        <v>93</v>
      </c>
    </row>
    <row r="27" spans="1:7" ht="90" customHeight="1" x14ac:dyDescent="0.2">
      <c r="A27" s="1025" t="s">
        <v>132</v>
      </c>
      <c r="B27" s="1027" t="s">
        <v>163</v>
      </c>
      <c r="C27" s="1027"/>
      <c r="D27" s="1027"/>
      <c r="E27" s="818" t="s">
        <v>161</v>
      </c>
      <c r="F27" s="818"/>
      <c r="G27" s="818"/>
    </row>
    <row r="28" spans="1:7" ht="33.75" x14ac:dyDescent="0.2">
      <c r="A28" s="1026"/>
      <c r="B28" s="192" t="s">
        <v>821</v>
      </c>
      <c r="C28" s="192" t="s">
        <v>823</v>
      </c>
      <c r="D28" s="192" t="s">
        <v>822</v>
      </c>
      <c r="E28" s="192" t="s">
        <v>821</v>
      </c>
      <c r="F28" s="192" t="s">
        <v>823</v>
      </c>
      <c r="G28" s="192" t="s">
        <v>822</v>
      </c>
    </row>
    <row r="29" spans="1:7" x14ac:dyDescent="0.2">
      <c r="A29" s="80" t="s">
        <v>782</v>
      </c>
      <c r="B29" s="88">
        <v>3281458</v>
      </c>
      <c r="C29" s="88">
        <v>3281458</v>
      </c>
      <c r="D29" s="40">
        <v>781458</v>
      </c>
      <c r="E29" s="88">
        <v>781458</v>
      </c>
      <c r="F29" s="88">
        <v>781458</v>
      </c>
      <c r="G29" s="40">
        <v>781458</v>
      </c>
    </row>
    <row r="30" spans="1:7" x14ac:dyDescent="0.2">
      <c r="A30" s="80" t="s">
        <v>455</v>
      </c>
      <c r="B30" s="88">
        <v>1110000</v>
      </c>
      <c r="C30" s="88">
        <v>1110000</v>
      </c>
      <c r="D30" s="197">
        <v>0</v>
      </c>
      <c r="E30" s="88">
        <v>1110000</v>
      </c>
      <c r="F30" s="88">
        <v>1110000</v>
      </c>
      <c r="G30" s="197">
        <v>0</v>
      </c>
    </row>
    <row r="31" spans="1:7" ht="21.75" customHeight="1" x14ac:dyDescent="0.2">
      <c r="A31" s="80" t="s">
        <v>123</v>
      </c>
      <c r="B31" s="88"/>
      <c r="C31" s="197"/>
      <c r="D31" s="197"/>
      <c r="E31" s="89"/>
      <c r="F31" s="197"/>
      <c r="G31" s="197"/>
    </row>
    <row r="32" spans="1:7" x14ac:dyDescent="0.2">
      <c r="A32" s="80" t="s">
        <v>124</v>
      </c>
      <c r="B32" s="88"/>
      <c r="C32" s="197"/>
      <c r="D32" s="197"/>
      <c r="E32" s="89"/>
      <c r="F32" s="197"/>
      <c r="G32" s="197"/>
    </row>
    <row r="33" spans="1:7" ht="25.5" customHeight="1" x14ac:dyDescent="0.2">
      <c r="A33" s="82" t="s">
        <v>125</v>
      </c>
      <c r="B33" s="88"/>
      <c r="C33" s="197"/>
      <c r="D33" s="197"/>
      <c r="E33" s="89"/>
      <c r="F33" s="197"/>
      <c r="G33" s="197"/>
    </row>
    <row r="34" spans="1:7" ht="21.75" customHeight="1" x14ac:dyDescent="0.2">
      <c r="A34" s="80" t="s">
        <v>126</v>
      </c>
      <c r="B34" s="88"/>
      <c r="C34" s="197"/>
      <c r="D34" s="197"/>
      <c r="E34" s="89"/>
      <c r="F34" s="197"/>
      <c r="G34" s="197"/>
    </row>
    <row r="35" spans="1:7" ht="36" customHeight="1" x14ac:dyDescent="0.2">
      <c r="A35" s="82" t="s">
        <v>127</v>
      </c>
      <c r="B35" s="88"/>
      <c r="C35" s="197"/>
      <c r="D35" s="197"/>
      <c r="E35" s="89"/>
      <c r="F35" s="197"/>
      <c r="G35" s="197"/>
    </row>
    <row r="36" spans="1:7" ht="21.75" customHeight="1" x14ac:dyDescent="0.2">
      <c r="A36" s="82" t="s">
        <v>128</v>
      </c>
      <c r="B36" s="88"/>
      <c r="C36" s="197"/>
      <c r="D36" s="197"/>
      <c r="E36" s="89"/>
      <c r="F36" s="197"/>
      <c r="G36" s="197"/>
    </row>
    <row r="37" spans="1:7" ht="22.5" customHeight="1" x14ac:dyDescent="0.2">
      <c r="A37" s="82" t="s">
        <v>129</v>
      </c>
      <c r="B37" s="88"/>
      <c r="C37" s="197"/>
      <c r="D37" s="197"/>
      <c r="E37" s="89"/>
      <c r="F37" s="197"/>
      <c r="G37" s="197"/>
    </row>
    <row r="38" spans="1:7" ht="24.75" customHeight="1" x14ac:dyDescent="0.2">
      <c r="A38" s="82" t="s">
        <v>130</v>
      </c>
      <c r="B38" s="88"/>
      <c r="C38" s="197"/>
      <c r="D38" s="197"/>
      <c r="E38" s="89"/>
      <c r="F38" s="197"/>
      <c r="G38" s="197"/>
    </row>
    <row r="39" spans="1:7" ht="10.5" customHeight="1" x14ac:dyDescent="0.2">
      <c r="A39" s="82" t="s">
        <v>131</v>
      </c>
      <c r="B39" s="88"/>
      <c r="C39" s="197"/>
      <c r="D39" s="197"/>
      <c r="E39" s="89"/>
      <c r="F39" s="197"/>
      <c r="G39" s="197"/>
    </row>
    <row r="40" spans="1:7" ht="12.75" customHeight="1" x14ac:dyDescent="0.2">
      <c r="A40" s="5" t="s">
        <v>134</v>
      </c>
      <c r="B40" s="90">
        <f>SUM(B29:B39)</f>
        <v>4391458</v>
      </c>
      <c r="C40" s="90">
        <f t="shared" ref="C40:G40" si="1">SUM(C29:C39)</f>
        <v>4391458</v>
      </c>
      <c r="D40" s="90">
        <f t="shared" si="1"/>
        <v>781458</v>
      </c>
      <c r="E40" s="90">
        <f t="shared" si="1"/>
        <v>1891458</v>
      </c>
      <c r="F40" s="90">
        <f t="shared" si="1"/>
        <v>1891458</v>
      </c>
      <c r="G40" s="90">
        <f t="shared" si="1"/>
        <v>781458</v>
      </c>
    </row>
    <row r="41" spans="1:7" x14ac:dyDescent="0.2">
      <c r="A41" s="91"/>
      <c r="B41" s="79"/>
      <c r="C41" s="77"/>
    </row>
    <row r="42" spans="1:7" x14ac:dyDescent="0.2">
      <c r="A42" s="1039" t="s">
        <v>133</v>
      </c>
      <c r="B42" s="1039"/>
      <c r="C42" s="77"/>
    </row>
    <row r="43" spans="1:7" x14ac:dyDescent="0.2">
      <c r="A43" s="86"/>
      <c r="B43" s="86"/>
      <c r="C43" s="77"/>
    </row>
    <row r="44" spans="1:7" x14ac:dyDescent="0.2">
      <c r="A44" s="86"/>
      <c r="B44" s="86"/>
      <c r="C44" s="77"/>
    </row>
    <row r="45" spans="1:7" x14ac:dyDescent="0.2">
      <c r="A45" s="92"/>
      <c r="B45" s="92"/>
      <c r="C45" s="77"/>
    </row>
    <row r="46" spans="1:7" x14ac:dyDescent="0.2">
      <c r="A46" s="77"/>
      <c r="B46" s="77"/>
      <c r="D46" s="93" t="s">
        <v>169</v>
      </c>
    </row>
    <row r="47" spans="1:7" x14ac:dyDescent="0.2">
      <c r="A47" s="1038" t="s">
        <v>105</v>
      </c>
      <c r="B47" s="1038"/>
      <c r="C47" s="1038"/>
      <c r="D47" s="1038"/>
    </row>
    <row r="48" spans="1:7" ht="12.75" customHeight="1" x14ac:dyDescent="0.2">
      <c r="A48" s="1037" t="s">
        <v>138</v>
      </c>
      <c r="B48" s="1037"/>
      <c r="C48" s="1037"/>
      <c r="D48" s="1037"/>
    </row>
    <row r="49" spans="1:5" x14ac:dyDescent="0.2">
      <c r="A49" s="77"/>
      <c r="C49" s="77"/>
      <c r="D49" s="94" t="s">
        <v>139</v>
      </c>
    </row>
    <row r="50" spans="1:5" x14ac:dyDescent="0.2">
      <c r="A50" s="1036" t="s">
        <v>140</v>
      </c>
      <c r="B50" s="1033" t="s">
        <v>106</v>
      </c>
      <c r="C50" s="1034"/>
      <c r="D50" s="1035"/>
    </row>
    <row r="51" spans="1:5" ht="33.75" x14ac:dyDescent="0.2">
      <c r="A51" s="1036"/>
      <c r="B51" s="192" t="s">
        <v>821</v>
      </c>
      <c r="C51" s="192" t="s">
        <v>823</v>
      </c>
      <c r="D51" s="192" t="s">
        <v>822</v>
      </c>
    </row>
    <row r="52" spans="1:5" x14ac:dyDescent="0.2">
      <c r="A52" s="210" t="s">
        <v>783</v>
      </c>
      <c r="B52" s="88">
        <v>150</v>
      </c>
      <c r="C52" s="241">
        <v>39</v>
      </c>
      <c r="D52" s="241"/>
      <c r="E52" s="39"/>
    </row>
    <row r="53" spans="1:5" x14ac:dyDescent="0.2">
      <c r="A53" s="57" t="s">
        <v>784</v>
      </c>
      <c r="B53" s="88">
        <v>130</v>
      </c>
      <c r="C53" s="241">
        <v>34</v>
      </c>
      <c r="D53" s="241"/>
      <c r="E53" s="39"/>
    </row>
    <row r="54" spans="1:5" x14ac:dyDescent="0.2">
      <c r="A54" s="89"/>
      <c r="B54" s="89"/>
      <c r="C54" s="242"/>
      <c r="D54" s="242"/>
      <c r="E54" s="39"/>
    </row>
    <row r="55" spans="1:5" x14ac:dyDescent="0.2">
      <c r="A55" s="89" t="s">
        <v>87</v>
      </c>
      <c r="B55" s="90">
        <f>SUM(B52:B54)</f>
        <v>280</v>
      </c>
      <c r="C55" s="243">
        <f t="shared" ref="C55:D55" si="2">SUM(C52:C54)</f>
        <v>73</v>
      </c>
      <c r="D55" s="243">
        <f t="shared" si="2"/>
        <v>0</v>
      </c>
      <c r="E55" s="39"/>
    </row>
    <row r="56" spans="1:5" x14ac:dyDescent="0.2">
      <c r="C56" s="39"/>
      <c r="D56" s="39"/>
      <c r="E56" s="39"/>
    </row>
  </sheetData>
  <mergeCells count="17">
    <mergeCell ref="B50:D50"/>
    <mergeCell ref="A50:A51"/>
    <mergeCell ref="A48:D48"/>
    <mergeCell ref="A47:D47"/>
    <mergeCell ref="E5:G5"/>
    <mergeCell ref="A42:B42"/>
    <mergeCell ref="A2:G2"/>
    <mergeCell ref="A3:G3"/>
    <mergeCell ref="A27:A28"/>
    <mergeCell ref="B27:D27"/>
    <mergeCell ref="E27:G27"/>
    <mergeCell ref="A24:G24"/>
    <mergeCell ref="A25:G25"/>
    <mergeCell ref="A19:C19"/>
    <mergeCell ref="A22:B22"/>
    <mergeCell ref="A5:A6"/>
    <mergeCell ref="B5:D5"/>
  </mergeCells>
  <phoneticPr fontId="12" type="noConversion"/>
  <printOptions horizontalCentered="1"/>
  <pageMargins left="0" right="0" top="0.55118110236220474" bottom="0.11811023622047245" header="0.15748031496062992" footer="0"/>
  <pageSetup paperSize="9" scale="80" orientation="portrait" r:id="rId1"/>
  <headerFooter>
    <oddHeader>&amp;LVeresegyház Város Önkormányzat&amp;C&amp;"Arial CE,Félkövér"ELŐIRÁNYZAT MÓDOSÍTÁS, TELJESÍTÉS 2015.06.30.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N14" sqref="N14:P14"/>
    </sheetView>
  </sheetViews>
  <sheetFormatPr defaultRowHeight="12.75" outlineLevelCol="1" x14ac:dyDescent="0.2"/>
  <cols>
    <col min="1" max="1" width="19.7109375" customWidth="1"/>
    <col min="2" max="2" width="9.85546875" customWidth="1"/>
    <col min="3" max="4" width="11.28515625" customWidth="1"/>
    <col min="5" max="13" width="8.42578125" bestFit="1" customWidth="1"/>
    <col min="14" max="14" width="10.28515625" customWidth="1"/>
    <col min="15" max="15" width="11.28515625" customWidth="1"/>
    <col min="16" max="16" width="9.7109375" customWidth="1"/>
    <col min="17" max="20" width="11.28515625" hidden="1" customWidth="1" outlineLevel="1"/>
    <col min="21" max="21" width="11.28515625" customWidth="1" collapsed="1"/>
    <col min="22" max="22" width="10.140625" bestFit="1" customWidth="1"/>
  </cols>
  <sheetData>
    <row r="1" spans="1:16" x14ac:dyDescent="0.2">
      <c r="M1" s="96"/>
      <c r="N1" s="96"/>
      <c r="O1" s="96"/>
      <c r="P1" s="73" t="s">
        <v>170</v>
      </c>
    </row>
    <row r="3" spans="1:16" ht="14.25" customHeight="1" x14ac:dyDescent="0.2">
      <c r="A3" s="1038" t="s">
        <v>157</v>
      </c>
      <c r="B3" s="1038"/>
      <c r="C3" s="1038"/>
      <c r="D3" s="1038"/>
      <c r="E3" s="1038"/>
      <c r="F3" s="1038"/>
      <c r="G3" s="1038"/>
      <c r="H3" s="1038"/>
      <c r="I3" s="1038"/>
      <c r="J3" s="1038"/>
      <c r="K3" s="1038"/>
      <c r="L3" s="1038"/>
      <c r="M3" s="1038"/>
      <c r="N3" s="1038"/>
      <c r="O3" s="1038"/>
      <c r="P3" s="1038"/>
    </row>
    <row r="4" spans="1:16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93"/>
    </row>
    <row r="5" spans="1:16" x14ac:dyDescent="0.2">
      <c r="A5" s="1041" t="s">
        <v>143</v>
      </c>
      <c r="B5" s="74" t="s">
        <v>785</v>
      </c>
      <c r="C5" s="186"/>
      <c r="D5" s="186"/>
      <c r="E5" s="74" t="s">
        <v>786</v>
      </c>
      <c r="F5" s="74" t="s">
        <v>787</v>
      </c>
      <c r="G5" s="74" t="s">
        <v>788</v>
      </c>
      <c r="H5" s="74" t="s">
        <v>789</v>
      </c>
      <c r="I5" s="74" t="s">
        <v>790</v>
      </c>
      <c r="J5" s="74" t="s">
        <v>791</v>
      </c>
      <c r="K5" s="74" t="s">
        <v>792</v>
      </c>
      <c r="L5" s="74" t="s">
        <v>793</v>
      </c>
      <c r="M5" s="74" t="s">
        <v>794</v>
      </c>
      <c r="N5" s="998" t="s">
        <v>64</v>
      </c>
      <c r="O5" s="944"/>
      <c r="P5" s="945"/>
    </row>
    <row r="6" spans="1:16" ht="33.75" x14ac:dyDescent="0.2">
      <c r="A6" s="1042"/>
      <c r="B6" s="192" t="s">
        <v>821</v>
      </c>
      <c r="C6" s="192" t="s">
        <v>823</v>
      </c>
      <c r="D6" s="192" t="s">
        <v>822</v>
      </c>
      <c r="E6" s="186"/>
      <c r="F6" s="186"/>
      <c r="G6" s="186"/>
      <c r="H6" s="186"/>
      <c r="I6" s="186"/>
      <c r="J6" s="186"/>
      <c r="K6" s="186"/>
      <c r="L6" s="186"/>
      <c r="M6" s="186"/>
      <c r="N6" s="192" t="s">
        <v>821</v>
      </c>
      <c r="O6" s="192" t="s">
        <v>823</v>
      </c>
      <c r="P6" s="192" t="s">
        <v>822</v>
      </c>
    </row>
    <row r="7" spans="1:16" x14ac:dyDescent="0.2">
      <c r="A7" s="26" t="s">
        <v>144</v>
      </c>
      <c r="B7" s="22">
        <v>3980900</v>
      </c>
      <c r="C7" s="22">
        <v>4436000</v>
      </c>
      <c r="D7" s="22">
        <v>1993848</v>
      </c>
      <c r="E7" s="22">
        <v>4000000</v>
      </c>
      <c r="F7" s="22">
        <v>4000000</v>
      </c>
      <c r="G7" s="22">
        <v>4000000</v>
      </c>
      <c r="H7" s="22">
        <v>4000000</v>
      </c>
      <c r="I7" s="22">
        <v>4000000</v>
      </c>
      <c r="J7" s="22">
        <v>4000000</v>
      </c>
      <c r="K7" s="22">
        <v>4000000</v>
      </c>
      <c r="L7" s="22">
        <v>4000000</v>
      </c>
      <c r="M7" s="22">
        <v>4000000</v>
      </c>
      <c r="N7" s="22">
        <f>SUM(B7,$E7,$F7,$G7,$H7,$I7,$J7,$K7,$L7,$M7)</f>
        <v>39980900</v>
      </c>
      <c r="O7" s="22">
        <f t="shared" ref="O7:O11" si="0">SUM(C7,$E7,$F7,$G7,$H7,$I7,$J7,$K7,$L7,$M7)</f>
        <v>40436000</v>
      </c>
      <c r="P7" s="22">
        <f>SUM(D7)</f>
        <v>1993848</v>
      </c>
    </row>
    <row r="8" spans="1:16" ht="22.5" x14ac:dyDescent="0.2">
      <c r="A8" s="8" t="s">
        <v>145</v>
      </c>
      <c r="B8" s="22">
        <v>122418</v>
      </c>
      <c r="C8" s="22">
        <v>122418</v>
      </c>
      <c r="D8" s="22">
        <v>28969</v>
      </c>
      <c r="E8" s="22">
        <v>104000</v>
      </c>
      <c r="F8" s="22">
        <v>110000</v>
      </c>
      <c r="G8" s="22">
        <v>110000</v>
      </c>
      <c r="H8" s="22">
        <v>110000</v>
      </c>
      <c r="I8" s="22">
        <v>110000</v>
      </c>
      <c r="J8" s="22">
        <v>110000</v>
      </c>
      <c r="K8" s="22">
        <v>110000</v>
      </c>
      <c r="L8" s="22">
        <v>110000</v>
      </c>
      <c r="M8" s="22">
        <v>110000</v>
      </c>
      <c r="N8" s="22">
        <f t="shared" ref="N8:N11" si="1">SUM(B8,$E8,$F8,$G8,$H8,$I8,$J8,$K8,$L8,$M8)</f>
        <v>1106418</v>
      </c>
      <c r="O8" s="22">
        <f t="shared" si="0"/>
        <v>1106418</v>
      </c>
      <c r="P8" s="22">
        <f t="shared" ref="P8:P12" si="2">SUM(D8)</f>
        <v>28969</v>
      </c>
    </row>
    <row r="9" spans="1:16" ht="22.5" x14ac:dyDescent="0.2">
      <c r="A9" s="8" t="s">
        <v>146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>
        <f t="shared" si="2"/>
        <v>0</v>
      </c>
    </row>
    <row r="10" spans="1:16" ht="56.25" x14ac:dyDescent="0.2">
      <c r="A10" s="8" t="s">
        <v>156</v>
      </c>
      <c r="B10" s="22">
        <v>402001</v>
      </c>
      <c r="C10" s="22">
        <v>520111</v>
      </c>
      <c r="D10" s="22">
        <v>70347</v>
      </c>
      <c r="E10" s="22">
        <v>200000</v>
      </c>
      <c r="F10" s="22">
        <v>200000</v>
      </c>
      <c r="G10" s="22">
        <v>200000</v>
      </c>
      <c r="H10" s="22">
        <v>200000</v>
      </c>
      <c r="I10" s="22">
        <v>200000</v>
      </c>
      <c r="J10" s="22">
        <v>200000</v>
      </c>
      <c r="K10" s="22">
        <v>200000</v>
      </c>
      <c r="L10" s="22">
        <v>200000</v>
      </c>
      <c r="M10" s="22">
        <v>200000</v>
      </c>
      <c r="N10" s="22">
        <f t="shared" si="1"/>
        <v>2202001</v>
      </c>
      <c r="O10" s="22">
        <f t="shared" si="0"/>
        <v>2320111</v>
      </c>
      <c r="P10" s="22">
        <f t="shared" si="2"/>
        <v>70347</v>
      </c>
    </row>
    <row r="11" spans="1:16" ht="22.5" x14ac:dyDescent="0.2">
      <c r="A11" s="8" t="s">
        <v>119</v>
      </c>
      <c r="B11" s="22">
        <v>12500</v>
      </c>
      <c r="C11" s="22">
        <v>17500</v>
      </c>
      <c r="D11" s="22">
        <v>7458</v>
      </c>
      <c r="E11" s="22">
        <v>15000</v>
      </c>
      <c r="F11" s="22">
        <v>15000</v>
      </c>
      <c r="G11" s="22">
        <v>15000</v>
      </c>
      <c r="H11" s="22">
        <v>15000</v>
      </c>
      <c r="I11" s="22">
        <v>15000</v>
      </c>
      <c r="J11" s="22">
        <v>15000</v>
      </c>
      <c r="K11" s="22">
        <v>15000</v>
      </c>
      <c r="L11" s="22">
        <v>15000</v>
      </c>
      <c r="M11" s="22">
        <v>15000</v>
      </c>
      <c r="N11" s="22">
        <f t="shared" si="1"/>
        <v>147500</v>
      </c>
      <c r="O11" s="22">
        <f t="shared" si="0"/>
        <v>152500</v>
      </c>
      <c r="P11" s="22">
        <f t="shared" si="2"/>
        <v>7458</v>
      </c>
    </row>
    <row r="12" spans="1:16" ht="22.5" x14ac:dyDescent="0.2">
      <c r="A12" s="8" t="s">
        <v>147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>
        <f t="shared" si="2"/>
        <v>0</v>
      </c>
    </row>
    <row r="13" spans="1:16" s="1" customFormat="1" ht="22.5" x14ac:dyDescent="0.2">
      <c r="A13" s="11" t="s">
        <v>148</v>
      </c>
      <c r="B13" s="53">
        <f>SUM(B7:B12)</f>
        <v>4517819</v>
      </c>
      <c r="C13" s="53">
        <f t="shared" ref="C13:D13" si="3">SUM(C7:C12)</f>
        <v>5096029</v>
      </c>
      <c r="D13" s="53">
        <f t="shared" si="3"/>
        <v>2100622</v>
      </c>
      <c r="E13" s="53">
        <f t="shared" ref="E13:N13" si="4">SUM(E7:E12)</f>
        <v>4319000</v>
      </c>
      <c r="F13" s="53">
        <f t="shared" si="4"/>
        <v>4325000</v>
      </c>
      <c r="G13" s="53">
        <f t="shared" si="4"/>
        <v>4325000</v>
      </c>
      <c r="H13" s="53">
        <f t="shared" si="4"/>
        <v>4325000</v>
      </c>
      <c r="I13" s="53">
        <f t="shared" si="4"/>
        <v>4325000</v>
      </c>
      <c r="J13" s="53">
        <f t="shared" si="4"/>
        <v>4325000</v>
      </c>
      <c r="K13" s="53">
        <f t="shared" si="4"/>
        <v>4325000</v>
      </c>
      <c r="L13" s="53">
        <f t="shared" si="4"/>
        <v>4325000</v>
      </c>
      <c r="M13" s="53">
        <f t="shared" si="4"/>
        <v>4325000</v>
      </c>
      <c r="N13" s="53">
        <f t="shared" si="4"/>
        <v>43436819</v>
      </c>
      <c r="O13" s="53">
        <f t="shared" ref="O13:P13" si="5">SUM(O7:O12)</f>
        <v>44015029</v>
      </c>
      <c r="P13" s="53">
        <f t="shared" si="5"/>
        <v>2100622</v>
      </c>
    </row>
    <row r="14" spans="1:16" ht="33.75" x14ac:dyDescent="0.2">
      <c r="A14" s="8" t="s">
        <v>149</v>
      </c>
      <c r="B14" s="229">
        <v>1891458</v>
      </c>
      <c r="C14" s="229">
        <v>1891458</v>
      </c>
      <c r="D14" s="229">
        <v>781458</v>
      </c>
      <c r="E14" s="22">
        <v>205099</v>
      </c>
      <c r="F14" s="22">
        <v>286864</v>
      </c>
      <c r="G14" s="22">
        <v>286864</v>
      </c>
      <c r="H14" s="22">
        <v>286864</v>
      </c>
      <c r="I14" s="22">
        <v>286864</v>
      </c>
      <c r="J14" s="22">
        <v>286864</v>
      </c>
      <c r="K14" s="22">
        <v>286864</v>
      </c>
      <c r="L14" s="22">
        <v>286864</v>
      </c>
      <c r="M14" s="22">
        <v>286853</v>
      </c>
      <c r="N14" s="22">
        <f t="shared" ref="N14" si="6">SUM(B14,$E14,$F14,$G14,$H14,$I14,$J14,$K14,$L14,$M14)</f>
        <v>4391458</v>
      </c>
      <c r="O14" s="22">
        <f t="shared" ref="O14" si="7">SUM(C14,$E14,$F14,$G14,$H14,$I14,$J14,$K14,$L14,$M14)</f>
        <v>4391458</v>
      </c>
      <c r="P14" s="22">
        <f t="shared" ref="P14" si="8">SUM(D14)</f>
        <v>781458</v>
      </c>
    </row>
    <row r="15" spans="1:16" ht="22.5" x14ac:dyDescent="0.2">
      <c r="A15" s="8" t="s">
        <v>150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x14ac:dyDescent="0.2">
      <c r="A16" s="8" t="s">
        <v>151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89"/>
    </row>
    <row r="17" spans="1:16" ht="22.5" x14ac:dyDescent="0.2">
      <c r="A17" s="8" t="s">
        <v>152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89"/>
    </row>
    <row r="18" spans="1:16" ht="45" x14ac:dyDescent="0.2">
      <c r="A18" s="8" t="s">
        <v>159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89"/>
    </row>
    <row r="19" spans="1:16" ht="45" x14ac:dyDescent="0.2">
      <c r="A19" s="8" t="s">
        <v>153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89"/>
    </row>
    <row r="20" spans="1:16" ht="33.75" x14ac:dyDescent="0.2">
      <c r="A20" s="8" t="s">
        <v>155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89"/>
    </row>
    <row r="21" spans="1:16" ht="22.5" x14ac:dyDescent="0.2">
      <c r="A21" s="11" t="s">
        <v>154</v>
      </c>
      <c r="B21" s="53">
        <f>SUM(B14:B20)</f>
        <v>1891458</v>
      </c>
      <c r="C21" s="53">
        <f t="shared" ref="C21:O21" si="9">SUM(C14:C20)</f>
        <v>1891458</v>
      </c>
      <c r="D21" s="53">
        <f t="shared" si="9"/>
        <v>781458</v>
      </c>
      <c r="E21" s="53">
        <f t="shared" si="9"/>
        <v>205099</v>
      </c>
      <c r="F21" s="53">
        <f t="shared" si="9"/>
        <v>286864</v>
      </c>
      <c r="G21" s="53">
        <f t="shared" si="9"/>
        <v>286864</v>
      </c>
      <c r="H21" s="53">
        <f t="shared" si="9"/>
        <v>286864</v>
      </c>
      <c r="I21" s="53">
        <f t="shared" si="9"/>
        <v>286864</v>
      </c>
      <c r="J21" s="53">
        <f t="shared" si="9"/>
        <v>286864</v>
      </c>
      <c r="K21" s="53">
        <f t="shared" si="9"/>
        <v>286864</v>
      </c>
      <c r="L21" s="53">
        <f t="shared" si="9"/>
        <v>286864</v>
      </c>
      <c r="M21" s="53">
        <f t="shared" si="9"/>
        <v>286853</v>
      </c>
      <c r="N21" s="53">
        <f t="shared" si="9"/>
        <v>4391458</v>
      </c>
      <c r="O21" s="53">
        <f t="shared" si="9"/>
        <v>4391458</v>
      </c>
      <c r="P21" s="53">
        <f>SUM(P14:P20)</f>
        <v>781458</v>
      </c>
    </row>
    <row r="22" spans="1:16" ht="21" customHeight="1" x14ac:dyDescent="0.2">
      <c r="A22" s="11" t="s">
        <v>1</v>
      </c>
      <c r="B22" s="53">
        <f>+B13*0.5</f>
        <v>2258909.5</v>
      </c>
      <c r="C22" s="53">
        <f t="shared" ref="C22:O22" si="10">+C13*0.5</f>
        <v>2548014.5</v>
      </c>
      <c r="D22" s="53">
        <f t="shared" si="10"/>
        <v>1050311</v>
      </c>
      <c r="E22" s="53">
        <f t="shared" si="10"/>
        <v>2159500</v>
      </c>
      <c r="F22" s="53">
        <f t="shared" si="10"/>
        <v>2162500</v>
      </c>
      <c r="G22" s="53">
        <f t="shared" si="10"/>
        <v>2162500</v>
      </c>
      <c r="H22" s="53">
        <f t="shared" si="10"/>
        <v>2162500</v>
      </c>
      <c r="I22" s="53">
        <f t="shared" si="10"/>
        <v>2162500</v>
      </c>
      <c r="J22" s="53">
        <f t="shared" si="10"/>
        <v>2162500</v>
      </c>
      <c r="K22" s="53">
        <f t="shared" si="10"/>
        <v>2162500</v>
      </c>
      <c r="L22" s="53">
        <f t="shared" si="10"/>
        <v>2162500</v>
      </c>
      <c r="M22" s="53">
        <f t="shared" si="10"/>
        <v>2162500</v>
      </c>
      <c r="N22" s="53">
        <f t="shared" si="10"/>
        <v>21718409.5</v>
      </c>
      <c r="O22" s="53">
        <f t="shared" si="10"/>
        <v>22007514.5</v>
      </c>
      <c r="P22" s="53">
        <f>+P13*0.5</f>
        <v>1050311</v>
      </c>
    </row>
    <row r="23" spans="1:16" x14ac:dyDescent="0.2">
      <c r="A23" s="1040" t="s">
        <v>158</v>
      </c>
      <c r="B23" s="1040"/>
      <c r="C23" s="1040"/>
      <c r="D23" s="1040"/>
      <c r="E23" s="1040"/>
      <c r="F23" s="1040"/>
      <c r="G23" s="1040"/>
      <c r="H23" s="1040"/>
      <c r="I23" s="1040"/>
      <c r="J23" s="1040"/>
      <c r="K23" s="1040"/>
      <c r="L23" s="1040"/>
      <c r="M23" s="1040"/>
      <c r="N23" s="1040"/>
      <c r="O23" s="1040"/>
      <c r="P23" s="1040"/>
    </row>
    <row r="24" spans="1:16" x14ac:dyDescent="0.2">
      <c r="A24" s="9"/>
      <c r="B24" s="95">
        <f>+B21-B22</f>
        <v>-367451.5</v>
      </c>
      <c r="C24" s="95">
        <f t="shared" ref="C24:D24" si="11">+C21-C22</f>
        <v>-656556.5</v>
      </c>
      <c r="D24" s="95">
        <f t="shared" si="11"/>
        <v>-268853</v>
      </c>
      <c r="E24" s="95">
        <f t="shared" ref="E24:P24" si="12">+E21-E22</f>
        <v>-1954401</v>
      </c>
      <c r="F24" s="95">
        <f t="shared" si="12"/>
        <v>-1875636</v>
      </c>
      <c r="G24" s="95">
        <f t="shared" si="12"/>
        <v>-1875636</v>
      </c>
      <c r="H24" s="95">
        <f t="shared" si="12"/>
        <v>-1875636</v>
      </c>
      <c r="I24" s="95">
        <f t="shared" si="12"/>
        <v>-1875636</v>
      </c>
      <c r="J24" s="95">
        <f t="shared" si="12"/>
        <v>-1875636</v>
      </c>
      <c r="K24" s="95">
        <f t="shared" si="12"/>
        <v>-1875636</v>
      </c>
      <c r="L24" s="95">
        <f t="shared" si="12"/>
        <v>-1875636</v>
      </c>
      <c r="M24" s="95">
        <f t="shared" si="12"/>
        <v>-1875647</v>
      </c>
      <c r="N24" s="95"/>
      <c r="O24" s="95"/>
      <c r="P24" s="95">
        <f t="shared" si="12"/>
        <v>-268853</v>
      </c>
    </row>
  </sheetData>
  <mergeCells count="4">
    <mergeCell ref="A3:P3"/>
    <mergeCell ref="A23:P23"/>
    <mergeCell ref="N5:P5"/>
    <mergeCell ref="A5:A6"/>
  </mergeCells>
  <phoneticPr fontId="0" type="noConversion"/>
  <printOptions horizontalCentered="1"/>
  <pageMargins left="0" right="0" top="0.51181102362204722" bottom="0.31496062992125984" header="0.27559055118110237" footer="0.19685039370078741"/>
  <pageSetup paperSize="9" scale="90" orientation="landscape" r:id="rId1"/>
  <headerFooter>
    <oddHeader>&amp;LVeresegyház Város Önkormányzat&amp;C&amp;"Arial CE,Félkövér"ELŐIRÁNYZAT MÓDOSÍTÁS, TELJESÍTÉS 2015.06.30.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0"/>
  <sheetViews>
    <sheetView workbookViewId="0">
      <selection activeCell="J47" sqref="J47:AC47"/>
    </sheetView>
  </sheetViews>
  <sheetFormatPr defaultRowHeight="14.25" x14ac:dyDescent="0.2"/>
  <cols>
    <col min="1" max="1" width="5" style="448" customWidth="1"/>
    <col min="2" max="2" width="22.28515625" style="448" customWidth="1"/>
    <col min="3" max="4" width="9" style="448" customWidth="1"/>
    <col min="5" max="5" width="9.5703125" style="448" bestFit="1" customWidth="1"/>
    <col min="6" max="6" width="8.28515625" style="448" bestFit="1" customWidth="1"/>
    <col min="7" max="7" width="8.85546875" style="448" customWidth="1"/>
    <col min="8" max="8" width="8.28515625" style="448" bestFit="1" customWidth="1"/>
    <col min="9" max="9" width="7" style="448" bestFit="1" customWidth="1"/>
    <col min="10" max="10" width="8.85546875" style="448" customWidth="1"/>
    <col min="11" max="11" width="7" style="448" bestFit="1" customWidth="1"/>
    <col min="12" max="12" width="8.28515625" style="448" bestFit="1" customWidth="1"/>
    <col min="13" max="13" width="8.85546875" style="448" customWidth="1"/>
    <col min="14" max="14" width="8.28515625" style="448" bestFit="1" customWidth="1"/>
    <col min="15" max="15" width="7.85546875" style="448" customWidth="1"/>
    <col min="16" max="16" width="8.85546875" style="448" customWidth="1"/>
    <col min="17" max="17" width="7.5703125" style="448" bestFit="1" customWidth="1"/>
    <col min="18" max="18" width="7" style="448" bestFit="1" customWidth="1"/>
    <col min="19" max="19" width="8.85546875" style="448" customWidth="1"/>
    <col min="20" max="20" width="7.5703125" style="448" bestFit="1" customWidth="1"/>
    <col min="21" max="21" width="7" style="448" bestFit="1" customWidth="1"/>
    <col min="22" max="22" width="8.85546875" style="448" customWidth="1"/>
    <col min="23" max="24" width="7" style="448" bestFit="1" customWidth="1"/>
    <col min="25" max="25" width="8.85546875" style="448" customWidth="1"/>
    <col min="26" max="26" width="4.140625" style="448" bestFit="1" customWidth="1"/>
    <col min="27" max="27" width="8.85546875" style="448" customWidth="1"/>
    <col min="28" max="28" width="7.85546875" style="448" customWidth="1"/>
    <col min="29" max="29" width="4.140625" style="448" bestFit="1" customWidth="1"/>
    <col min="30" max="30" width="8.7109375" style="448" customWidth="1"/>
    <col min="31" max="31" width="8.140625" style="448" customWidth="1"/>
    <col min="32" max="32" width="4.140625" style="448" bestFit="1" customWidth="1"/>
    <col min="33" max="33" width="7" style="448" bestFit="1" customWidth="1"/>
    <col min="34" max="34" width="8.28515625" style="448" bestFit="1" customWidth="1"/>
    <col min="35" max="35" width="4.140625" style="448" bestFit="1" customWidth="1"/>
    <col min="36" max="36" width="8.5703125" style="448" bestFit="1" customWidth="1"/>
    <col min="37" max="37" width="8.42578125" style="448" customWidth="1"/>
    <col min="38" max="38" width="4.140625" style="448" bestFit="1" customWidth="1"/>
    <col min="39" max="39" width="8.7109375" style="448" bestFit="1" customWidth="1"/>
    <col min="40" max="40" width="8" style="446" customWidth="1"/>
    <col min="41" max="41" width="4.5703125" style="446" customWidth="1"/>
    <col min="42" max="42" width="9.140625" style="446"/>
    <col min="43" max="280" width="9.140625" style="448"/>
    <col min="281" max="281" width="5.5703125" style="448" customWidth="1"/>
    <col min="282" max="282" width="23" style="448" customWidth="1"/>
    <col min="283" max="283" width="9.42578125" style="448" bestFit="1" customWidth="1"/>
    <col min="284" max="291" width="8.85546875" style="448" customWidth="1"/>
    <col min="292" max="292" width="9" style="448" customWidth="1"/>
    <col min="293" max="295" width="8.85546875" style="448" customWidth="1"/>
    <col min="296" max="536" width="9.140625" style="448"/>
    <col min="537" max="537" width="5.5703125" style="448" customWidth="1"/>
    <col min="538" max="538" width="23" style="448" customWidth="1"/>
    <col min="539" max="539" width="9.42578125" style="448" bestFit="1" customWidth="1"/>
    <col min="540" max="547" width="8.85546875" style="448" customWidth="1"/>
    <col min="548" max="548" width="9" style="448" customWidth="1"/>
    <col min="549" max="551" width="8.85546875" style="448" customWidth="1"/>
    <col min="552" max="792" width="9.140625" style="448"/>
    <col min="793" max="793" width="5.5703125" style="448" customWidth="1"/>
    <col min="794" max="794" width="23" style="448" customWidth="1"/>
    <col min="795" max="795" width="9.42578125" style="448" bestFit="1" customWidth="1"/>
    <col min="796" max="803" width="8.85546875" style="448" customWidth="1"/>
    <col min="804" max="804" width="9" style="448" customWidth="1"/>
    <col min="805" max="807" width="8.85546875" style="448" customWidth="1"/>
    <col min="808" max="1048" width="9.140625" style="448"/>
    <col min="1049" max="1049" width="5.5703125" style="448" customWidth="1"/>
    <col min="1050" max="1050" width="23" style="448" customWidth="1"/>
    <col min="1051" max="1051" width="9.42578125" style="448" bestFit="1" customWidth="1"/>
    <col min="1052" max="1059" width="8.85546875" style="448" customWidth="1"/>
    <col min="1060" max="1060" width="9" style="448" customWidth="1"/>
    <col min="1061" max="1063" width="8.85546875" style="448" customWidth="1"/>
    <col min="1064" max="1304" width="9.140625" style="448"/>
    <col min="1305" max="1305" width="5.5703125" style="448" customWidth="1"/>
    <col min="1306" max="1306" width="23" style="448" customWidth="1"/>
    <col min="1307" max="1307" width="9.42578125" style="448" bestFit="1" customWidth="1"/>
    <col min="1308" max="1315" width="8.85546875" style="448" customWidth="1"/>
    <col min="1316" max="1316" width="9" style="448" customWidth="1"/>
    <col min="1317" max="1319" width="8.85546875" style="448" customWidth="1"/>
    <col min="1320" max="1560" width="9.140625" style="448"/>
    <col min="1561" max="1561" width="5.5703125" style="448" customWidth="1"/>
    <col min="1562" max="1562" width="23" style="448" customWidth="1"/>
    <col min="1563" max="1563" width="9.42578125" style="448" bestFit="1" customWidth="1"/>
    <col min="1564" max="1571" width="8.85546875" style="448" customWidth="1"/>
    <col min="1572" max="1572" width="9" style="448" customWidth="1"/>
    <col min="1573" max="1575" width="8.85546875" style="448" customWidth="1"/>
    <col min="1576" max="1816" width="9.140625" style="448"/>
    <col min="1817" max="1817" width="5.5703125" style="448" customWidth="1"/>
    <col min="1818" max="1818" width="23" style="448" customWidth="1"/>
    <col min="1819" max="1819" width="9.42578125" style="448" bestFit="1" customWidth="1"/>
    <col min="1820" max="1827" width="8.85546875" style="448" customWidth="1"/>
    <col min="1828" max="1828" width="9" style="448" customWidth="1"/>
    <col min="1829" max="1831" width="8.85546875" style="448" customWidth="1"/>
    <col min="1832" max="2072" width="9.140625" style="448"/>
    <col min="2073" max="2073" width="5.5703125" style="448" customWidth="1"/>
    <col min="2074" max="2074" width="23" style="448" customWidth="1"/>
    <col min="2075" max="2075" width="9.42578125" style="448" bestFit="1" customWidth="1"/>
    <col min="2076" max="2083" width="8.85546875" style="448" customWidth="1"/>
    <col min="2084" max="2084" width="9" style="448" customWidth="1"/>
    <col min="2085" max="2087" width="8.85546875" style="448" customWidth="1"/>
    <col min="2088" max="2328" width="9.140625" style="448"/>
    <col min="2329" max="2329" width="5.5703125" style="448" customWidth="1"/>
    <col min="2330" max="2330" width="23" style="448" customWidth="1"/>
    <col min="2331" max="2331" width="9.42578125" style="448" bestFit="1" customWidth="1"/>
    <col min="2332" max="2339" width="8.85546875" style="448" customWidth="1"/>
    <col min="2340" max="2340" width="9" style="448" customWidth="1"/>
    <col min="2341" max="2343" width="8.85546875" style="448" customWidth="1"/>
    <col min="2344" max="2584" width="9.140625" style="448"/>
    <col min="2585" max="2585" width="5.5703125" style="448" customWidth="1"/>
    <col min="2586" max="2586" width="23" style="448" customWidth="1"/>
    <col min="2587" max="2587" width="9.42578125" style="448" bestFit="1" customWidth="1"/>
    <col min="2588" max="2595" width="8.85546875" style="448" customWidth="1"/>
    <col min="2596" max="2596" width="9" style="448" customWidth="1"/>
    <col min="2597" max="2599" width="8.85546875" style="448" customWidth="1"/>
    <col min="2600" max="2840" width="9.140625" style="448"/>
    <col min="2841" max="2841" width="5.5703125" style="448" customWidth="1"/>
    <col min="2842" max="2842" width="23" style="448" customWidth="1"/>
    <col min="2843" max="2843" width="9.42578125" style="448" bestFit="1" customWidth="1"/>
    <col min="2844" max="2851" width="8.85546875" style="448" customWidth="1"/>
    <col min="2852" max="2852" width="9" style="448" customWidth="1"/>
    <col min="2853" max="2855" width="8.85546875" style="448" customWidth="1"/>
    <col min="2856" max="3096" width="9.140625" style="448"/>
    <col min="3097" max="3097" width="5.5703125" style="448" customWidth="1"/>
    <col min="3098" max="3098" width="23" style="448" customWidth="1"/>
    <col min="3099" max="3099" width="9.42578125" style="448" bestFit="1" customWidth="1"/>
    <col min="3100" max="3107" width="8.85546875" style="448" customWidth="1"/>
    <col min="3108" max="3108" width="9" style="448" customWidth="1"/>
    <col min="3109" max="3111" width="8.85546875" style="448" customWidth="1"/>
    <col min="3112" max="3352" width="9.140625" style="448"/>
    <col min="3353" max="3353" width="5.5703125" style="448" customWidth="1"/>
    <col min="3354" max="3354" width="23" style="448" customWidth="1"/>
    <col min="3355" max="3355" width="9.42578125" style="448" bestFit="1" customWidth="1"/>
    <col min="3356" max="3363" width="8.85546875" style="448" customWidth="1"/>
    <col min="3364" max="3364" width="9" style="448" customWidth="1"/>
    <col min="3365" max="3367" width="8.85546875" style="448" customWidth="1"/>
    <col min="3368" max="3608" width="9.140625" style="448"/>
    <col min="3609" max="3609" width="5.5703125" style="448" customWidth="1"/>
    <col min="3610" max="3610" width="23" style="448" customWidth="1"/>
    <col min="3611" max="3611" width="9.42578125" style="448" bestFit="1" customWidth="1"/>
    <col min="3612" max="3619" width="8.85546875" style="448" customWidth="1"/>
    <col min="3620" max="3620" width="9" style="448" customWidth="1"/>
    <col min="3621" max="3623" width="8.85546875" style="448" customWidth="1"/>
    <col min="3624" max="3864" width="9.140625" style="448"/>
    <col min="3865" max="3865" width="5.5703125" style="448" customWidth="1"/>
    <col min="3866" max="3866" width="23" style="448" customWidth="1"/>
    <col min="3867" max="3867" width="9.42578125" style="448" bestFit="1" customWidth="1"/>
    <col min="3868" max="3875" width="8.85546875" style="448" customWidth="1"/>
    <col min="3876" max="3876" width="9" style="448" customWidth="1"/>
    <col min="3877" max="3879" width="8.85546875" style="448" customWidth="1"/>
    <col min="3880" max="4120" width="9.140625" style="448"/>
    <col min="4121" max="4121" width="5.5703125" style="448" customWidth="1"/>
    <col min="4122" max="4122" width="23" style="448" customWidth="1"/>
    <col min="4123" max="4123" width="9.42578125" style="448" bestFit="1" customWidth="1"/>
    <col min="4124" max="4131" width="8.85546875" style="448" customWidth="1"/>
    <col min="4132" max="4132" width="9" style="448" customWidth="1"/>
    <col min="4133" max="4135" width="8.85546875" style="448" customWidth="1"/>
    <col min="4136" max="4376" width="9.140625" style="448"/>
    <col min="4377" max="4377" width="5.5703125" style="448" customWidth="1"/>
    <col min="4378" max="4378" width="23" style="448" customWidth="1"/>
    <col min="4379" max="4379" width="9.42578125" style="448" bestFit="1" customWidth="1"/>
    <col min="4380" max="4387" width="8.85546875" style="448" customWidth="1"/>
    <col min="4388" max="4388" width="9" style="448" customWidth="1"/>
    <col min="4389" max="4391" width="8.85546875" style="448" customWidth="1"/>
    <col min="4392" max="4632" width="9.140625" style="448"/>
    <col min="4633" max="4633" width="5.5703125" style="448" customWidth="1"/>
    <col min="4634" max="4634" width="23" style="448" customWidth="1"/>
    <col min="4635" max="4635" width="9.42578125" style="448" bestFit="1" customWidth="1"/>
    <col min="4636" max="4643" width="8.85546875" style="448" customWidth="1"/>
    <col min="4644" max="4644" width="9" style="448" customWidth="1"/>
    <col min="4645" max="4647" width="8.85546875" style="448" customWidth="1"/>
    <col min="4648" max="4888" width="9.140625" style="448"/>
    <col min="4889" max="4889" width="5.5703125" style="448" customWidth="1"/>
    <col min="4890" max="4890" width="23" style="448" customWidth="1"/>
    <col min="4891" max="4891" width="9.42578125" style="448" bestFit="1" customWidth="1"/>
    <col min="4892" max="4899" width="8.85546875" style="448" customWidth="1"/>
    <col min="4900" max="4900" width="9" style="448" customWidth="1"/>
    <col min="4901" max="4903" width="8.85546875" style="448" customWidth="1"/>
    <col min="4904" max="5144" width="9.140625" style="448"/>
    <col min="5145" max="5145" width="5.5703125" style="448" customWidth="1"/>
    <col min="5146" max="5146" width="23" style="448" customWidth="1"/>
    <col min="5147" max="5147" width="9.42578125" style="448" bestFit="1" customWidth="1"/>
    <col min="5148" max="5155" width="8.85546875" style="448" customWidth="1"/>
    <col min="5156" max="5156" width="9" style="448" customWidth="1"/>
    <col min="5157" max="5159" width="8.85546875" style="448" customWidth="1"/>
    <col min="5160" max="5400" width="9.140625" style="448"/>
    <col min="5401" max="5401" width="5.5703125" style="448" customWidth="1"/>
    <col min="5402" max="5402" width="23" style="448" customWidth="1"/>
    <col min="5403" max="5403" width="9.42578125" style="448" bestFit="1" customWidth="1"/>
    <col min="5404" max="5411" width="8.85546875" style="448" customWidth="1"/>
    <col min="5412" max="5412" width="9" style="448" customWidth="1"/>
    <col min="5413" max="5415" width="8.85546875" style="448" customWidth="1"/>
    <col min="5416" max="5656" width="9.140625" style="448"/>
    <col min="5657" max="5657" width="5.5703125" style="448" customWidth="1"/>
    <col min="5658" max="5658" width="23" style="448" customWidth="1"/>
    <col min="5659" max="5659" width="9.42578125" style="448" bestFit="1" customWidth="1"/>
    <col min="5660" max="5667" width="8.85546875" style="448" customWidth="1"/>
    <col min="5668" max="5668" width="9" style="448" customWidth="1"/>
    <col min="5669" max="5671" width="8.85546875" style="448" customWidth="1"/>
    <col min="5672" max="5912" width="9.140625" style="448"/>
    <col min="5913" max="5913" width="5.5703125" style="448" customWidth="1"/>
    <col min="5914" max="5914" width="23" style="448" customWidth="1"/>
    <col min="5915" max="5915" width="9.42578125" style="448" bestFit="1" customWidth="1"/>
    <col min="5916" max="5923" width="8.85546875" style="448" customWidth="1"/>
    <col min="5924" max="5924" width="9" style="448" customWidth="1"/>
    <col min="5925" max="5927" width="8.85546875" style="448" customWidth="1"/>
    <col min="5928" max="6168" width="9.140625" style="448"/>
    <col min="6169" max="6169" width="5.5703125" style="448" customWidth="1"/>
    <col min="6170" max="6170" width="23" style="448" customWidth="1"/>
    <col min="6171" max="6171" width="9.42578125" style="448" bestFit="1" customWidth="1"/>
    <col min="6172" max="6179" width="8.85546875" style="448" customWidth="1"/>
    <col min="6180" max="6180" width="9" style="448" customWidth="1"/>
    <col min="6181" max="6183" width="8.85546875" style="448" customWidth="1"/>
    <col min="6184" max="6424" width="9.140625" style="448"/>
    <col min="6425" max="6425" width="5.5703125" style="448" customWidth="1"/>
    <col min="6426" max="6426" width="23" style="448" customWidth="1"/>
    <col min="6427" max="6427" width="9.42578125" style="448" bestFit="1" customWidth="1"/>
    <col min="6428" max="6435" width="8.85546875" style="448" customWidth="1"/>
    <col min="6436" max="6436" width="9" style="448" customWidth="1"/>
    <col min="6437" max="6439" width="8.85546875" style="448" customWidth="1"/>
    <col min="6440" max="6680" width="9.140625" style="448"/>
    <col min="6681" max="6681" width="5.5703125" style="448" customWidth="1"/>
    <col min="6682" max="6682" width="23" style="448" customWidth="1"/>
    <col min="6683" max="6683" width="9.42578125" style="448" bestFit="1" customWidth="1"/>
    <col min="6684" max="6691" width="8.85546875" style="448" customWidth="1"/>
    <col min="6692" max="6692" width="9" style="448" customWidth="1"/>
    <col min="6693" max="6695" width="8.85546875" style="448" customWidth="1"/>
    <col min="6696" max="6936" width="9.140625" style="448"/>
    <col min="6937" max="6937" width="5.5703125" style="448" customWidth="1"/>
    <col min="6938" max="6938" width="23" style="448" customWidth="1"/>
    <col min="6939" max="6939" width="9.42578125" style="448" bestFit="1" customWidth="1"/>
    <col min="6940" max="6947" width="8.85546875" style="448" customWidth="1"/>
    <col min="6948" max="6948" width="9" style="448" customWidth="1"/>
    <col min="6949" max="6951" width="8.85546875" style="448" customWidth="1"/>
    <col min="6952" max="7192" width="9.140625" style="448"/>
    <col min="7193" max="7193" width="5.5703125" style="448" customWidth="1"/>
    <col min="7194" max="7194" width="23" style="448" customWidth="1"/>
    <col min="7195" max="7195" width="9.42578125" style="448" bestFit="1" customWidth="1"/>
    <col min="7196" max="7203" width="8.85546875" style="448" customWidth="1"/>
    <col min="7204" max="7204" width="9" style="448" customWidth="1"/>
    <col min="7205" max="7207" width="8.85546875" style="448" customWidth="1"/>
    <col min="7208" max="7448" width="9.140625" style="448"/>
    <col min="7449" max="7449" width="5.5703125" style="448" customWidth="1"/>
    <col min="7450" max="7450" width="23" style="448" customWidth="1"/>
    <col min="7451" max="7451" width="9.42578125" style="448" bestFit="1" customWidth="1"/>
    <col min="7452" max="7459" width="8.85546875" style="448" customWidth="1"/>
    <col min="7460" max="7460" width="9" style="448" customWidth="1"/>
    <col min="7461" max="7463" width="8.85546875" style="448" customWidth="1"/>
    <col min="7464" max="7704" width="9.140625" style="448"/>
    <col min="7705" max="7705" width="5.5703125" style="448" customWidth="1"/>
    <col min="7706" max="7706" width="23" style="448" customWidth="1"/>
    <col min="7707" max="7707" width="9.42578125" style="448" bestFit="1" customWidth="1"/>
    <col min="7708" max="7715" width="8.85546875" style="448" customWidth="1"/>
    <col min="7716" max="7716" width="9" style="448" customWidth="1"/>
    <col min="7717" max="7719" width="8.85546875" style="448" customWidth="1"/>
    <col min="7720" max="7960" width="9.140625" style="448"/>
    <col min="7961" max="7961" width="5.5703125" style="448" customWidth="1"/>
    <col min="7962" max="7962" width="23" style="448" customWidth="1"/>
    <col min="7963" max="7963" width="9.42578125" style="448" bestFit="1" customWidth="1"/>
    <col min="7964" max="7971" width="8.85546875" style="448" customWidth="1"/>
    <col min="7972" max="7972" width="9" style="448" customWidth="1"/>
    <col min="7973" max="7975" width="8.85546875" style="448" customWidth="1"/>
    <col min="7976" max="8216" width="9.140625" style="448"/>
    <col min="8217" max="8217" width="5.5703125" style="448" customWidth="1"/>
    <col min="8218" max="8218" width="23" style="448" customWidth="1"/>
    <col min="8219" max="8219" width="9.42578125" style="448" bestFit="1" customWidth="1"/>
    <col min="8220" max="8227" width="8.85546875" style="448" customWidth="1"/>
    <col min="8228" max="8228" width="9" style="448" customWidth="1"/>
    <col min="8229" max="8231" width="8.85546875" style="448" customWidth="1"/>
    <col min="8232" max="8472" width="9.140625" style="448"/>
    <col min="8473" max="8473" width="5.5703125" style="448" customWidth="1"/>
    <col min="8474" max="8474" width="23" style="448" customWidth="1"/>
    <col min="8475" max="8475" width="9.42578125" style="448" bestFit="1" customWidth="1"/>
    <col min="8476" max="8483" width="8.85546875" style="448" customWidth="1"/>
    <col min="8484" max="8484" width="9" style="448" customWidth="1"/>
    <col min="8485" max="8487" width="8.85546875" style="448" customWidth="1"/>
    <col min="8488" max="8728" width="9.140625" style="448"/>
    <col min="8729" max="8729" width="5.5703125" style="448" customWidth="1"/>
    <col min="8730" max="8730" width="23" style="448" customWidth="1"/>
    <col min="8731" max="8731" width="9.42578125" style="448" bestFit="1" customWidth="1"/>
    <col min="8732" max="8739" width="8.85546875" style="448" customWidth="1"/>
    <col min="8740" max="8740" width="9" style="448" customWidth="1"/>
    <col min="8741" max="8743" width="8.85546875" style="448" customWidth="1"/>
    <col min="8744" max="8984" width="9.140625" style="448"/>
    <col min="8985" max="8985" width="5.5703125" style="448" customWidth="1"/>
    <col min="8986" max="8986" width="23" style="448" customWidth="1"/>
    <col min="8987" max="8987" width="9.42578125" style="448" bestFit="1" customWidth="1"/>
    <col min="8988" max="8995" width="8.85546875" style="448" customWidth="1"/>
    <col min="8996" max="8996" width="9" style="448" customWidth="1"/>
    <col min="8997" max="8999" width="8.85546875" style="448" customWidth="1"/>
    <col min="9000" max="9240" width="9.140625" style="448"/>
    <col min="9241" max="9241" width="5.5703125" style="448" customWidth="1"/>
    <col min="9242" max="9242" width="23" style="448" customWidth="1"/>
    <col min="9243" max="9243" width="9.42578125" style="448" bestFit="1" customWidth="1"/>
    <col min="9244" max="9251" width="8.85546875" style="448" customWidth="1"/>
    <col min="9252" max="9252" width="9" style="448" customWidth="1"/>
    <col min="9253" max="9255" width="8.85546875" style="448" customWidth="1"/>
    <col min="9256" max="9496" width="9.140625" style="448"/>
    <col min="9497" max="9497" width="5.5703125" style="448" customWidth="1"/>
    <col min="9498" max="9498" width="23" style="448" customWidth="1"/>
    <col min="9499" max="9499" width="9.42578125" style="448" bestFit="1" customWidth="1"/>
    <col min="9500" max="9507" width="8.85546875" style="448" customWidth="1"/>
    <col min="9508" max="9508" width="9" style="448" customWidth="1"/>
    <col min="9509" max="9511" width="8.85546875" style="448" customWidth="1"/>
    <col min="9512" max="9752" width="9.140625" style="448"/>
    <col min="9753" max="9753" width="5.5703125" style="448" customWidth="1"/>
    <col min="9754" max="9754" width="23" style="448" customWidth="1"/>
    <col min="9755" max="9755" width="9.42578125" style="448" bestFit="1" customWidth="1"/>
    <col min="9756" max="9763" width="8.85546875" style="448" customWidth="1"/>
    <col min="9764" max="9764" width="9" style="448" customWidth="1"/>
    <col min="9765" max="9767" width="8.85546875" style="448" customWidth="1"/>
    <col min="9768" max="10008" width="9.140625" style="448"/>
    <col min="10009" max="10009" width="5.5703125" style="448" customWidth="1"/>
    <col min="10010" max="10010" width="23" style="448" customWidth="1"/>
    <col min="10011" max="10011" width="9.42578125" style="448" bestFit="1" customWidth="1"/>
    <col min="10012" max="10019" width="8.85546875" style="448" customWidth="1"/>
    <col min="10020" max="10020" width="9" style="448" customWidth="1"/>
    <col min="10021" max="10023" width="8.85546875" style="448" customWidth="1"/>
    <col min="10024" max="10264" width="9.140625" style="448"/>
    <col min="10265" max="10265" width="5.5703125" style="448" customWidth="1"/>
    <col min="10266" max="10266" width="23" style="448" customWidth="1"/>
    <col min="10267" max="10267" width="9.42578125" style="448" bestFit="1" customWidth="1"/>
    <col min="10268" max="10275" width="8.85546875" style="448" customWidth="1"/>
    <col min="10276" max="10276" width="9" style="448" customWidth="1"/>
    <col min="10277" max="10279" width="8.85546875" style="448" customWidth="1"/>
    <col min="10280" max="10520" width="9.140625" style="448"/>
    <col min="10521" max="10521" width="5.5703125" style="448" customWidth="1"/>
    <col min="10522" max="10522" width="23" style="448" customWidth="1"/>
    <col min="10523" max="10523" width="9.42578125" style="448" bestFit="1" customWidth="1"/>
    <col min="10524" max="10531" width="8.85546875" style="448" customWidth="1"/>
    <col min="10532" max="10532" width="9" style="448" customWidth="1"/>
    <col min="10533" max="10535" width="8.85546875" style="448" customWidth="1"/>
    <col min="10536" max="10776" width="9.140625" style="448"/>
    <col min="10777" max="10777" width="5.5703125" style="448" customWidth="1"/>
    <col min="10778" max="10778" width="23" style="448" customWidth="1"/>
    <col min="10779" max="10779" width="9.42578125" style="448" bestFit="1" customWidth="1"/>
    <col min="10780" max="10787" width="8.85546875" style="448" customWidth="1"/>
    <col min="10788" max="10788" width="9" style="448" customWidth="1"/>
    <col min="10789" max="10791" width="8.85546875" style="448" customWidth="1"/>
    <col min="10792" max="11032" width="9.140625" style="448"/>
    <col min="11033" max="11033" width="5.5703125" style="448" customWidth="1"/>
    <col min="11034" max="11034" width="23" style="448" customWidth="1"/>
    <col min="11035" max="11035" width="9.42578125" style="448" bestFit="1" customWidth="1"/>
    <col min="11036" max="11043" width="8.85546875" style="448" customWidth="1"/>
    <col min="11044" max="11044" width="9" style="448" customWidth="1"/>
    <col min="11045" max="11047" width="8.85546875" style="448" customWidth="1"/>
    <col min="11048" max="11288" width="9.140625" style="448"/>
    <col min="11289" max="11289" width="5.5703125" style="448" customWidth="1"/>
    <col min="11290" max="11290" width="23" style="448" customWidth="1"/>
    <col min="11291" max="11291" width="9.42578125" style="448" bestFit="1" customWidth="1"/>
    <col min="11292" max="11299" width="8.85546875" style="448" customWidth="1"/>
    <col min="11300" max="11300" width="9" style="448" customWidth="1"/>
    <col min="11301" max="11303" width="8.85546875" style="448" customWidth="1"/>
    <col min="11304" max="11544" width="9.140625" style="448"/>
    <col min="11545" max="11545" width="5.5703125" style="448" customWidth="1"/>
    <col min="11546" max="11546" width="23" style="448" customWidth="1"/>
    <col min="11547" max="11547" width="9.42578125" style="448" bestFit="1" customWidth="1"/>
    <col min="11548" max="11555" width="8.85546875" style="448" customWidth="1"/>
    <col min="11556" max="11556" width="9" style="448" customWidth="1"/>
    <col min="11557" max="11559" width="8.85546875" style="448" customWidth="1"/>
    <col min="11560" max="11800" width="9.140625" style="448"/>
    <col min="11801" max="11801" width="5.5703125" style="448" customWidth="1"/>
    <col min="11802" max="11802" width="23" style="448" customWidth="1"/>
    <col min="11803" max="11803" width="9.42578125" style="448" bestFit="1" customWidth="1"/>
    <col min="11804" max="11811" width="8.85546875" style="448" customWidth="1"/>
    <col min="11812" max="11812" width="9" style="448" customWidth="1"/>
    <col min="11813" max="11815" width="8.85546875" style="448" customWidth="1"/>
    <col min="11816" max="12056" width="9.140625" style="448"/>
    <col min="12057" max="12057" width="5.5703125" style="448" customWidth="1"/>
    <col min="12058" max="12058" width="23" style="448" customWidth="1"/>
    <col min="12059" max="12059" width="9.42578125" style="448" bestFit="1" customWidth="1"/>
    <col min="12060" max="12067" width="8.85546875" style="448" customWidth="1"/>
    <col min="12068" max="12068" width="9" style="448" customWidth="1"/>
    <col min="12069" max="12071" width="8.85546875" style="448" customWidth="1"/>
    <col min="12072" max="12312" width="9.140625" style="448"/>
    <col min="12313" max="12313" width="5.5703125" style="448" customWidth="1"/>
    <col min="12314" max="12314" width="23" style="448" customWidth="1"/>
    <col min="12315" max="12315" width="9.42578125" style="448" bestFit="1" customWidth="1"/>
    <col min="12316" max="12323" width="8.85546875" style="448" customWidth="1"/>
    <col min="12324" max="12324" width="9" style="448" customWidth="1"/>
    <col min="12325" max="12327" width="8.85546875" style="448" customWidth="1"/>
    <col min="12328" max="12568" width="9.140625" style="448"/>
    <col min="12569" max="12569" width="5.5703125" style="448" customWidth="1"/>
    <col min="12570" max="12570" width="23" style="448" customWidth="1"/>
    <col min="12571" max="12571" width="9.42578125" style="448" bestFit="1" customWidth="1"/>
    <col min="12572" max="12579" width="8.85546875" style="448" customWidth="1"/>
    <col min="12580" max="12580" width="9" style="448" customWidth="1"/>
    <col min="12581" max="12583" width="8.85546875" style="448" customWidth="1"/>
    <col min="12584" max="12824" width="9.140625" style="448"/>
    <col min="12825" max="12825" width="5.5703125" style="448" customWidth="1"/>
    <col min="12826" max="12826" width="23" style="448" customWidth="1"/>
    <col min="12827" max="12827" width="9.42578125" style="448" bestFit="1" customWidth="1"/>
    <col min="12828" max="12835" width="8.85546875" style="448" customWidth="1"/>
    <col min="12836" max="12836" width="9" style="448" customWidth="1"/>
    <col min="12837" max="12839" width="8.85546875" style="448" customWidth="1"/>
    <col min="12840" max="13080" width="9.140625" style="448"/>
    <col min="13081" max="13081" width="5.5703125" style="448" customWidth="1"/>
    <col min="13082" max="13082" width="23" style="448" customWidth="1"/>
    <col min="13083" max="13083" width="9.42578125" style="448" bestFit="1" customWidth="1"/>
    <col min="13084" max="13091" width="8.85546875" style="448" customWidth="1"/>
    <col min="13092" max="13092" width="9" style="448" customWidth="1"/>
    <col min="13093" max="13095" width="8.85546875" style="448" customWidth="1"/>
    <col min="13096" max="13336" width="9.140625" style="448"/>
    <col min="13337" max="13337" width="5.5703125" style="448" customWidth="1"/>
    <col min="13338" max="13338" width="23" style="448" customWidth="1"/>
    <col min="13339" max="13339" width="9.42578125" style="448" bestFit="1" customWidth="1"/>
    <col min="13340" max="13347" width="8.85546875" style="448" customWidth="1"/>
    <col min="13348" max="13348" width="9" style="448" customWidth="1"/>
    <col min="13349" max="13351" width="8.85546875" style="448" customWidth="1"/>
    <col min="13352" max="13592" width="9.140625" style="448"/>
    <col min="13593" max="13593" width="5.5703125" style="448" customWidth="1"/>
    <col min="13594" max="13594" width="23" style="448" customWidth="1"/>
    <col min="13595" max="13595" width="9.42578125" style="448" bestFit="1" customWidth="1"/>
    <col min="13596" max="13603" width="8.85546875" style="448" customWidth="1"/>
    <col min="13604" max="13604" width="9" style="448" customWidth="1"/>
    <col min="13605" max="13607" width="8.85546875" style="448" customWidth="1"/>
    <col min="13608" max="13848" width="9.140625" style="448"/>
    <col min="13849" max="13849" width="5.5703125" style="448" customWidth="1"/>
    <col min="13850" max="13850" width="23" style="448" customWidth="1"/>
    <col min="13851" max="13851" width="9.42578125" style="448" bestFit="1" customWidth="1"/>
    <col min="13852" max="13859" width="8.85546875" style="448" customWidth="1"/>
    <col min="13860" max="13860" width="9" style="448" customWidth="1"/>
    <col min="13861" max="13863" width="8.85546875" style="448" customWidth="1"/>
    <col min="13864" max="14104" width="9.140625" style="448"/>
    <col min="14105" max="14105" width="5.5703125" style="448" customWidth="1"/>
    <col min="14106" max="14106" width="23" style="448" customWidth="1"/>
    <col min="14107" max="14107" width="9.42578125" style="448" bestFit="1" customWidth="1"/>
    <col min="14108" max="14115" width="8.85546875" style="448" customWidth="1"/>
    <col min="14116" max="14116" width="9" style="448" customWidth="1"/>
    <col min="14117" max="14119" width="8.85546875" style="448" customWidth="1"/>
    <col min="14120" max="14360" width="9.140625" style="448"/>
    <col min="14361" max="14361" width="5.5703125" style="448" customWidth="1"/>
    <col min="14362" max="14362" width="23" style="448" customWidth="1"/>
    <col min="14363" max="14363" width="9.42578125" style="448" bestFit="1" customWidth="1"/>
    <col min="14364" max="14371" width="8.85546875" style="448" customWidth="1"/>
    <col min="14372" max="14372" width="9" style="448" customWidth="1"/>
    <col min="14373" max="14375" width="8.85546875" style="448" customWidth="1"/>
    <col min="14376" max="14616" width="9.140625" style="448"/>
    <col min="14617" max="14617" width="5.5703125" style="448" customWidth="1"/>
    <col min="14618" max="14618" width="23" style="448" customWidth="1"/>
    <col min="14619" max="14619" width="9.42578125" style="448" bestFit="1" customWidth="1"/>
    <col min="14620" max="14627" width="8.85546875" style="448" customWidth="1"/>
    <col min="14628" max="14628" width="9" style="448" customWidth="1"/>
    <col min="14629" max="14631" width="8.85546875" style="448" customWidth="1"/>
    <col min="14632" max="14872" width="9.140625" style="448"/>
    <col min="14873" max="14873" width="5.5703125" style="448" customWidth="1"/>
    <col min="14874" max="14874" width="23" style="448" customWidth="1"/>
    <col min="14875" max="14875" width="9.42578125" style="448" bestFit="1" customWidth="1"/>
    <col min="14876" max="14883" width="8.85546875" style="448" customWidth="1"/>
    <col min="14884" max="14884" width="9" style="448" customWidth="1"/>
    <col min="14885" max="14887" width="8.85546875" style="448" customWidth="1"/>
    <col min="14888" max="15128" width="9.140625" style="448"/>
    <col min="15129" max="15129" width="5.5703125" style="448" customWidth="1"/>
    <col min="15130" max="15130" width="23" style="448" customWidth="1"/>
    <col min="15131" max="15131" width="9.42578125" style="448" bestFit="1" customWidth="1"/>
    <col min="15132" max="15139" width="8.85546875" style="448" customWidth="1"/>
    <col min="15140" max="15140" width="9" style="448" customWidth="1"/>
    <col min="15141" max="15143" width="8.85546875" style="448" customWidth="1"/>
    <col min="15144" max="15384" width="9.140625" style="448"/>
    <col min="15385" max="15385" width="5.5703125" style="448" customWidth="1"/>
    <col min="15386" max="15386" width="23" style="448" customWidth="1"/>
    <col min="15387" max="15387" width="9.42578125" style="448" bestFit="1" customWidth="1"/>
    <col min="15388" max="15395" width="8.85546875" style="448" customWidth="1"/>
    <col min="15396" max="15396" width="9" style="448" customWidth="1"/>
    <col min="15397" max="15399" width="8.85546875" style="448" customWidth="1"/>
    <col min="15400" max="15640" width="9.140625" style="448"/>
    <col min="15641" max="15641" width="5.5703125" style="448" customWidth="1"/>
    <col min="15642" max="15642" width="23" style="448" customWidth="1"/>
    <col min="15643" max="15643" width="9.42578125" style="448" bestFit="1" customWidth="1"/>
    <col min="15644" max="15651" width="8.85546875" style="448" customWidth="1"/>
    <col min="15652" max="15652" width="9" style="448" customWidth="1"/>
    <col min="15653" max="15655" width="8.85546875" style="448" customWidth="1"/>
    <col min="15656" max="15896" width="9.140625" style="448"/>
    <col min="15897" max="15897" width="5.5703125" style="448" customWidth="1"/>
    <col min="15898" max="15898" width="23" style="448" customWidth="1"/>
    <col min="15899" max="15899" width="9.42578125" style="448" bestFit="1" customWidth="1"/>
    <col min="15900" max="15907" width="8.85546875" style="448" customWidth="1"/>
    <col min="15908" max="15908" width="9" style="448" customWidth="1"/>
    <col min="15909" max="15911" width="8.85546875" style="448" customWidth="1"/>
    <col min="15912" max="16152" width="9.140625" style="448"/>
    <col min="16153" max="16153" width="5.5703125" style="448" customWidth="1"/>
    <col min="16154" max="16154" width="23" style="448" customWidth="1"/>
    <col min="16155" max="16155" width="9.42578125" style="448" bestFit="1" customWidth="1"/>
    <col min="16156" max="16163" width="8.85546875" style="448" customWidth="1"/>
    <col min="16164" max="16164" width="9" style="448" customWidth="1"/>
    <col min="16165" max="16167" width="8.85546875" style="448" customWidth="1"/>
    <col min="16168" max="16384" width="9.140625" style="448"/>
  </cols>
  <sheetData>
    <row r="1" spans="1:42" s="444" customFormat="1" ht="12.75" x14ac:dyDescent="0.2">
      <c r="A1" s="440" t="s">
        <v>629</v>
      </c>
      <c r="B1" s="440"/>
      <c r="C1" s="440"/>
      <c r="D1" s="440"/>
      <c r="E1" s="440"/>
      <c r="F1" s="440"/>
      <c r="G1" s="440"/>
      <c r="H1" s="440"/>
      <c r="I1" s="441"/>
      <c r="J1" s="1058" t="s">
        <v>630</v>
      </c>
      <c r="K1" s="1058"/>
      <c r="L1" s="1058"/>
      <c r="M1" s="1058"/>
      <c r="N1" s="1058"/>
      <c r="O1" s="1058"/>
      <c r="P1" s="1058"/>
      <c r="Q1" s="1058"/>
      <c r="R1" s="1058"/>
      <c r="S1" s="1058"/>
      <c r="T1" s="1058"/>
      <c r="U1" s="1058"/>
      <c r="V1" s="1058"/>
      <c r="W1" s="1058"/>
      <c r="X1" s="1058"/>
      <c r="Y1" s="1058"/>
      <c r="Z1" s="1058"/>
      <c r="AA1" s="1058"/>
      <c r="AB1" s="1058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2"/>
      <c r="AO1" s="443" t="s">
        <v>631</v>
      </c>
      <c r="AP1" s="442"/>
    </row>
    <row r="2" spans="1:42" ht="15" thickBot="1" x14ac:dyDescent="0.2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O2" s="447" t="s">
        <v>1338</v>
      </c>
    </row>
    <row r="3" spans="1:42" s="449" customFormat="1" ht="13.5" customHeight="1" x14ac:dyDescent="0.2">
      <c r="A3" s="1046"/>
      <c r="B3" s="1065" t="s">
        <v>632</v>
      </c>
      <c r="C3" s="1067" t="s">
        <v>633</v>
      </c>
      <c r="D3" s="1069" t="s">
        <v>1326</v>
      </c>
      <c r="E3" s="1071" t="s">
        <v>1327</v>
      </c>
      <c r="F3" s="1073" t="s">
        <v>634</v>
      </c>
      <c r="G3" s="1044"/>
      <c r="H3" s="1044"/>
      <c r="I3" s="1043" t="s">
        <v>635</v>
      </c>
      <c r="J3" s="1044"/>
      <c r="K3" s="1045"/>
      <c r="L3" s="1044" t="s">
        <v>636</v>
      </c>
      <c r="M3" s="1044"/>
      <c r="N3" s="1044"/>
      <c r="O3" s="1043" t="s">
        <v>637</v>
      </c>
      <c r="P3" s="1044"/>
      <c r="Q3" s="1045"/>
      <c r="R3" s="1044" t="s">
        <v>638</v>
      </c>
      <c r="S3" s="1044"/>
      <c r="T3" s="1044"/>
      <c r="U3" s="1043" t="s">
        <v>639</v>
      </c>
      <c r="V3" s="1044"/>
      <c r="W3" s="1045"/>
      <c r="X3" s="1044" t="s">
        <v>640</v>
      </c>
      <c r="Y3" s="1044"/>
      <c r="Z3" s="1044"/>
      <c r="AA3" s="1043" t="s">
        <v>641</v>
      </c>
      <c r="AB3" s="1044"/>
      <c r="AC3" s="1045"/>
      <c r="AD3" s="1044" t="s">
        <v>642</v>
      </c>
      <c r="AE3" s="1044"/>
      <c r="AF3" s="1044"/>
      <c r="AG3" s="1043" t="s">
        <v>643</v>
      </c>
      <c r="AH3" s="1044"/>
      <c r="AI3" s="1045"/>
      <c r="AJ3" s="1044" t="s">
        <v>644</v>
      </c>
      <c r="AK3" s="1044"/>
      <c r="AL3" s="1044"/>
      <c r="AM3" s="1043" t="s">
        <v>645</v>
      </c>
      <c r="AN3" s="1044"/>
      <c r="AO3" s="1056"/>
      <c r="AP3" s="446"/>
    </row>
    <row r="4" spans="1:42" s="449" customFormat="1" ht="13.5" customHeight="1" x14ac:dyDescent="0.2">
      <c r="A4" s="1047"/>
      <c r="B4" s="1066"/>
      <c r="C4" s="1068"/>
      <c r="D4" s="1070"/>
      <c r="E4" s="1072"/>
      <c r="F4" s="450" t="s">
        <v>1328</v>
      </c>
      <c r="G4" s="451" t="s">
        <v>1329</v>
      </c>
      <c r="H4" s="452" t="s">
        <v>1330</v>
      </c>
      <c r="I4" s="453" t="s">
        <v>1328</v>
      </c>
      <c r="J4" s="451" t="s">
        <v>1329</v>
      </c>
      <c r="K4" s="454" t="s">
        <v>1330</v>
      </c>
      <c r="L4" s="455" t="s">
        <v>1328</v>
      </c>
      <c r="M4" s="451" t="s">
        <v>1329</v>
      </c>
      <c r="N4" s="452" t="s">
        <v>1330</v>
      </c>
      <c r="O4" s="453" t="s">
        <v>1328</v>
      </c>
      <c r="P4" s="451" t="s">
        <v>1329</v>
      </c>
      <c r="Q4" s="454" t="s">
        <v>1330</v>
      </c>
      <c r="R4" s="455" t="s">
        <v>1328</v>
      </c>
      <c r="S4" s="451" t="s">
        <v>1329</v>
      </c>
      <c r="T4" s="452" t="s">
        <v>1330</v>
      </c>
      <c r="U4" s="453" t="s">
        <v>1328</v>
      </c>
      <c r="V4" s="451" t="s">
        <v>1329</v>
      </c>
      <c r="W4" s="454" t="s">
        <v>1330</v>
      </c>
      <c r="X4" s="455" t="s">
        <v>1328</v>
      </c>
      <c r="Y4" s="451" t="s">
        <v>1329</v>
      </c>
      <c r="Z4" s="452" t="s">
        <v>1330</v>
      </c>
      <c r="AA4" s="453" t="s">
        <v>1328</v>
      </c>
      <c r="AB4" s="451" t="s">
        <v>1329</v>
      </c>
      <c r="AC4" s="454" t="s">
        <v>1330</v>
      </c>
      <c r="AD4" s="455" t="s">
        <v>1328</v>
      </c>
      <c r="AE4" s="451" t="s">
        <v>1329</v>
      </c>
      <c r="AF4" s="452" t="s">
        <v>1330</v>
      </c>
      <c r="AG4" s="453" t="s">
        <v>1328</v>
      </c>
      <c r="AH4" s="451" t="s">
        <v>1329</v>
      </c>
      <c r="AI4" s="454" t="s">
        <v>1330</v>
      </c>
      <c r="AJ4" s="455" t="s">
        <v>1328</v>
      </c>
      <c r="AK4" s="451" t="s">
        <v>1329</v>
      </c>
      <c r="AL4" s="452" t="s">
        <v>1330</v>
      </c>
      <c r="AM4" s="453" t="s">
        <v>1328</v>
      </c>
      <c r="AN4" s="451" t="s">
        <v>1329</v>
      </c>
      <c r="AO4" s="456" t="s">
        <v>1330</v>
      </c>
      <c r="AP4" s="446"/>
    </row>
    <row r="5" spans="1:42" ht="13.5" customHeight="1" x14ac:dyDescent="0.2">
      <c r="A5" s="457" t="s">
        <v>646</v>
      </c>
      <c r="B5" s="458" t="s">
        <v>647</v>
      </c>
      <c r="C5" s="459">
        <f>SUM(F5,I5,L5,O5,R5,U5,X5,AA5,AD5,AG5,AJ5,AM5)</f>
        <v>801731</v>
      </c>
      <c r="D5" s="460">
        <f>SUM(G5,J5,M5,P5,S5,V5,Y5,AB5,AE5,AH5,AK5,AN5)</f>
        <v>835370</v>
      </c>
      <c r="E5" s="461">
        <f t="shared" ref="D5:E20" si="0">SUM(H5,K5,N5,Q5,T5,W5,Z5,AC5,AF5,AI5,AL5,AO5)</f>
        <v>380439</v>
      </c>
      <c r="F5" s="460">
        <f t="shared" ref="F5:AO5" si="1">SUM(F51,F96,F141,F186,F231,F276,F321,F366,F411)</f>
        <v>68820</v>
      </c>
      <c r="G5" s="460">
        <f t="shared" si="1"/>
        <v>92934</v>
      </c>
      <c r="H5" s="462">
        <f t="shared" si="1"/>
        <v>92934</v>
      </c>
      <c r="I5" s="463">
        <f t="shared" si="1"/>
        <v>68820</v>
      </c>
      <c r="J5" s="460">
        <f t="shared" si="1"/>
        <v>68483</v>
      </c>
      <c r="K5" s="464">
        <f t="shared" si="1"/>
        <v>68483</v>
      </c>
      <c r="L5" s="460">
        <f t="shared" si="1"/>
        <v>68820</v>
      </c>
      <c r="M5" s="460">
        <f t="shared" si="1"/>
        <v>72154</v>
      </c>
      <c r="N5" s="462">
        <f t="shared" si="1"/>
        <v>72154</v>
      </c>
      <c r="O5" s="463">
        <f t="shared" si="1"/>
        <v>66174</v>
      </c>
      <c r="P5" s="460">
        <f t="shared" si="1"/>
        <v>9567</v>
      </c>
      <c r="Q5" s="464">
        <f t="shared" si="1"/>
        <v>9567</v>
      </c>
      <c r="R5" s="460">
        <f t="shared" si="1"/>
        <v>66175</v>
      </c>
      <c r="S5" s="460">
        <f t="shared" si="1"/>
        <v>140227</v>
      </c>
      <c r="T5" s="462">
        <f t="shared" si="1"/>
        <v>140227</v>
      </c>
      <c r="U5" s="463">
        <f t="shared" si="1"/>
        <v>66174</v>
      </c>
      <c r="V5" s="460">
        <f t="shared" si="1"/>
        <v>-2814</v>
      </c>
      <c r="W5" s="464">
        <f t="shared" si="1"/>
        <v>-2926</v>
      </c>
      <c r="X5" s="460">
        <f t="shared" si="1"/>
        <v>66175</v>
      </c>
      <c r="Y5" s="460">
        <f t="shared" si="1"/>
        <v>76261</v>
      </c>
      <c r="Z5" s="462">
        <f t="shared" si="1"/>
        <v>0</v>
      </c>
      <c r="AA5" s="463">
        <f t="shared" si="1"/>
        <v>66174</v>
      </c>
      <c r="AB5" s="460">
        <f t="shared" si="1"/>
        <v>75772</v>
      </c>
      <c r="AC5" s="464">
        <f t="shared" si="1"/>
        <v>0</v>
      </c>
      <c r="AD5" s="460">
        <f t="shared" si="1"/>
        <v>66175</v>
      </c>
      <c r="AE5" s="460">
        <f t="shared" si="1"/>
        <v>75819</v>
      </c>
      <c r="AF5" s="462">
        <f t="shared" si="1"/>
        <v>0</v>
      </c>
      <c r="AG5" s="463">
        <f t="shared" si="1"/>
        <v>66075</v>
      </c>
      <c r="AH5" s="460">
        <f t="shared" si="1"/>
        <v>75772</v>
      </c>
      <c r="AI5" s="464">
        <f t="shared" si="1"/>
        <v>0</v>
      </c>
      <c r="AJ5" s="460">
        <f t="shared" si="1"/>
        <v>66075</v>
      </c>
      <c r="AK5" s="460">
        <f t="shared" si="1"/>
        <v>75622</v>
      </c>
      <c r="AL5" s="462">
        <f t="shared" si="1"/>
        <v>0</v>
      </c>
      <c r="AM5" s="463">
        <f t="shared" si="1"/>
        <v>66074</v>
      </c>
      <c r="AN5" s="460">
        <f t="shared" si="1"/>
        <v>75573</v>
      </c>
      <c r="AO5" s="465">
        <f t="shared" si="1"/>
        <v>0</v>
      </c>
    </row>
    <row r="6" spans="1:42" ht="13.5" customHeight="1" x14ac:dyDescent="0.2">
      <c r="A6" s="466" t="s">
        <v>650</v>
      </c>
      <c r="B6" s="467" t="s">
        <v>649</v>
      </c>
      <c r="C6" s="468">
        <f t="shared" ref="C6:C10" si="2">SUM(F6,I6,L6,O6,R6,U6,X6,AA6,AD6,AG6,AJ6,AM6)</f>
        <v>4053500</v>
      </c>
      <c r="D6" s="469">
        <f t="shared" si="0"/>
        <v>4453500</v>
      </c>
      <c r="E6" s="470">
        <f t="shared" si="0"/>
        <v>2001306</v>
      </c>
      <c r="F6" s="460">
        <f t="shared" ref="F6:AO6" si="3">SUM(F52,F97,F142,F187,F232,F277,F322,F367,F412)</f>
        <v>33701</v>
      </c>
      <c r="G6" s="460">
        <f t="shared" si="3"/>
        <v>19327</v>
      </c>
      <c r="H6" s="462">
        <f t="shared" si="3"/>
        <v>19327</v>
      </c>
      <c r="I6" s="463">
        <f t="shared" si="3"/>
        <v>33697</v>
      </c>
      <c r="J6" s="460">
        <f t="shared" si="3"/>
        <v>9717</v>
      </c>
      <c r="K6" s="464">
        <f t="shared" si="3"/>
        <v>9717</v>
      </c>
      <c r="L6" s="460">
        <f t="shared" si="3"/>
        <v>1507008</v>
      </c>
      <c r="M6" s="460">
        <f t="shared" si="3"/>
        <v>1612952</v>
      </c>
      <c r="N6" s="462">
        <f t="shared" si="3"/>
        <v>1612952</v>
      </c>
      <c r="O6" s="463">
        <f t="shared" si="3"/>
        <v>393907</v>
      </c>
      <c r="P6" s="460">
        <f t="shared" si="3"/>
        <v>508287</v>
      </c>
      <c r="Q6" s="464">
        <f t="shared" si="3"/>
        <v>53472</v>
      </c>
      <c r="R6" s="460">
        <f t="shared" si="3"/>
        <v>290318</v>
      </c>
      <c r="S6" s="460">
        <f t="shared" si="3"/>
        <v>223347</v>
      </c>
      <c r="T6" s="462">
        <f t="shared" si="3"/>
        <v>101347</v>
      </c>
      <c r="U6" s="463">
        <f t="shared" si="3"/>
        <v>68479</v>
      </c>
      <c r="V6" s="460">
        <f t="shared" si="3"/>
        <v>204491</v>
      </c>
      <c r="W6" s="464">
        <f t="shared" si="3"/>
        <v>204491</v>
      </c>
      <c r="X6" s="460">
        <f t="shared" si="3"/>
        <v>6644</v>
      </c>
      <c r="Y6" s="460">
        <f t="shared" si="3"/>
        <v>79191</v>
      </c>
      <c r="Z6" s="462">
        <f t="shared" si="3"/>
        <v>0</v>
      </c>
      <c r="AA6" s="463">
        <f t="shared" si="3"/>
        <v>1352</v>
      </c>
      <c r="AB6" s="460">
        <f t="shared" si="3"/>
        <v>25677</v>
      </c>
      <c r="AC6" s="464">
        <f t="shared" si="3"/>
        <v>0</v>
      </c>
      <c r="AD6" s="460">
        <f t="shared" si="3"/>
        <v>1382902</v>
      </c>
      <c r="AE6" s="460">
        <f t="shared" si="3"/>
        <v>1272267</v>
      </c>
      <c r="AF6" s="462">
        <f t="shared" si="3"/>
        <v>0</v>
      </c>
      <c r="AG6" s="463">
        <f t="shared" si="3"/>
        <v>58592</v>
      </c>
      <c r="AH6" s="460">
        <f t="shared" si="3"/>
        <v>106127</v>
      </c>
      <c r="AI6" s="464">
        <f t="shared" si="3"/>
        <v>0</v>
      </c>
      <c r="AJ6" s="460">
        <f t="shared" si="3"/>
        <v>1677</v>
      </c>
      <c r="AK6" s="460">
        <f t="shared" si="3"/>
        <v>90691</v>
      </c>
      <c r="AL6" s="462">
        <f t="shared" si="3"/>
        <v>0</v>
      </c>
      <c r="AM6" s="463">
        <f t="shared" si="3"/>
        <v>275223</v>
      </c>
      <c r="AN6" s="460">
        <f t="shared" si="3"/>
        <v>301426</v>
      </c>
      <c r="AO6" s="461">
        <f t="shared" si="3"/>
        <v>0</v>
      </c>
    </row>
    <row r="7" spans="1:42" s="449" customFormat="1" ht="13.5" customHeight="1" x14ac:dyDescent="0.2">
      <c r="A7" s="466" t="s">
        <v>652</v>
      </c>
      <c r="B7" s="467" t="s">
        <v>651</v>
      </c>
      <c r="C7" s="468">
        <f t="shared" si="2"/>
        <v>1193054</v>
      </c>
      <c r="D7" s="469">
        <f t="shared" si="0"/>
        <v>1242765</v>
      </c>
      <c r="E7" s="470">
        <f t="shared" si="0"/>
        <v>617178</v>
      </c>
      <c r="F7" s="460">
        <f t="shared" ref="F7:AO7" si="4">SUM(F53,F98,F143,F188,F233,F278,F323,F368,F413)</f>
        <v>98434</v>
      </c>
      <c r="G7" s="460">
        <f t="shared" si="4"/>
        <v>74723</v>
      </c>
      <c r="H7" s="462">
        <f t="shared" si="4"/>
        <v>73374</v>
      </c>
      <c r="I7" s="463">
        <f t="shared" si="4"/>
        <v>100407</v>
      </c>
      <c r="J7" s="460">
        <f t="shared" si="4"/>
        <v>73620</v>
      </c>
      <c r="K7" s="464">
        <f t="shared" si="4"/>
        <v>74355</v>
      </c>
      <c r="L7" s="460">
        <f t="shared" si="4"/>
        <v>100230</v>
      </c>
      <c r="M7" s="460">
        <f t="shared" si="4"/>
        <v>150718</v>
      </c>
      <c r="N7" s="462">
        <f t="shared" si="4"/>
        <v>152389</v>
      </c>
      <c r="O7" s="463">
        <f t="shared" si="4"/>
        <v>100368</v>
      </c>
      <c r="P7" s="460">
        <f t="shared" si="4"/>
        <v>83500</v>
      </c>
      <c r="Q7" s="464">
        <f t="shared" si="4"/>
        <v>90985</v>
      </c>
      <c r="R7" s="460">
        <f t="shared" si="4"/>
        <v>101297</v>
      </c>
      <c r="S7" s="460">
        <f t="shared" si="4"/>
        <v>109514</v>
      </c>
      <c r="T7" s="462">
        <f t="shared" si="4"/>
        <v>105786</v>
      </c>
      <c r="U7" s="463">
        <f t="shared" si="4"/>
        <v>89191</v>
      </c>
      <c r="V7" s="460">
        <f t="shared" si="4"/>
        <v>116371</v>
      </c>
      <c r="W7" s="464">
        <f t="shared" si="4"/>
        <v>120289</v>
      </c>
      <c r="X7" s="460">
        <f t="shared" si="4"/>
        <v>82970</v>
      </c>
      <c r="Y7" s="460">
        <f t="shared" si="4"/>
        <v>98945</v>
      </c>
      <c r="Z7" s="462">
        <f t="shared" si="4"/>
        <v>0</v>
      </c>
      <c r="AA7" s="463">
        <f t="shared" si="4"/>
        <v>90810</v>
      </c>
      <c r="AB7" s="460">
        <f t="shared" si="4"/>
        <v>97206</v>
      </c>
      <c r="AC7" s="464">
        <f t="shared" si="4"/>
        <v>0</v>
      </c>
      <c r="AD7" s="460">
        <f t="shared" si="4"/>
        <v>101457</v>
      </c>
      <c r="AE7" s="460">
        <f t="shared" si="4"/>
        <v>110214</v>
      </c>
      <c r="AF7" s="462">
        <f t="shared" si="4"/>
        <v>0</v>
      </c>
      <c r="AG7" s="463">
        <f t="shared" si="4"/>
        <v>110014</v>
      </c>
      <c r="AH7" s="460">
        <f t="shared" si="4"/>
        <v>109663</v>
      </c>
      <c r="AI7" s="464">
        <f t="shared" si="4"/>
        <v>0</v>
      </c>
      <c r="AJ7" s="460">
        <f t="shared" si="4"/>
        <v>110313</v>
      </c>
      <c r="AK7" s="460">
        <f t="shared" si="4"/>
        <v>109158</v>
      </c>
      <c r="AL7" s="462">
        <f t="shared" si="4"/>
        <v>0</v>
      </c>
      <c r="AM7" s="463">
        <f t="shared" si="4"/>
        <v>107563</v>
      </c>
      <c r="AN7" s="460">
        <f t="shared" si="4"/>
        <v>109133</v>
      </c>
      <c r="AO7" s="461">
        <f t="shared" si="4"/>
        <v>0</v>
      </c>
      <c r="AP7" s="446"/>
    </row>
    <row r="8" spans="1:42" ht="13.5" customHeight="1" x14ac:dyDescent="0.2">
      <c r="A8" s="466" t="s">
        <v>1331</v>
      </c>
      <c r="B8" s="467" t="s">
        <v>653</v>
      </c>
      <c r="C8" s="468">
        <f t="shared" si="2"/>
        <v>58063</v>
      </c>
      <c r="D8" s="469">
        <f t="shared" si="0"/>
        <v>61721</v>
      </c>
      <c r="E8" s="470">
        <f t="shared" si="0"/>
        <v>29673</v>
      </c>
      <c r="F8" s="460">
        <f t="shared" ref="F8:AO8" si="5">SUM(F54,F99,F144,F189,F234,F279,F324,F369,F414)</f>
        <v>4838</v>
      </c>
      <c r="G8" s="460">
        <f t="shared" si="5"/>
        <v>10</v>
      </c>
      <c r="H8" s="462">
        <f t="shared" si="5"/>
        <v>10</v>
      </c>
      <c r="I8" s="463">
        <f t="shared" si="5"/>
        <v>4840</v>
      </c>
      <c r="J8" s="460">
        <f t="shared" si="5"/>
        <v>105</v>
      </c>
      <c r="K8" s="464">
        <f t="shared" si="5"/>
        <v>125</v>
      </c>
      <c r="L8" s="460">
        <f t="shared" si="5"/>
        <v>4838</v>
      </c>
      <c r="M8" s="460">
        <f t="shared" si="5"/>
        <v>0</v>
      </c>
      <c r="N8" s="462">
        <f t="shared" si="5"/>
        <v>50</v>
      </c>
      <c r="O8" s="463">
        <f t="shared" si="5"/>
        <v>4839</v>
      </c>
      <c r="P8" s="460">
        <f t="shared" si="5"/>
        <v>28707</v>
      </c>
      <c r="Q8" s="464">
        <f t="shared" si="5"/>
        <v>28727</v>
      </c>
      <c r="R8" s="460">
        <f t="shared" si="5"/>
        <v>4838</v>
      </c>
      <c r="S8" s="460">
        <f t="shared" si="5"/>
        <v>200</v>
      </c>
      <c r="T8" s="462">
        <f t="shared" si="5"/>
        <v>240</v>
      </c>
      <c r="U8" s="463">
        <f t="shared" si="5"/>
        <v>4839</v>
      </c>
      <c r="V8" s="460">
        <f t="shared" si="5"/>
        <v>361</v>
      </c>
      <c r="W8" s="464">
        <f t="shared" si="5"/>
        <v>521</v>
      </c>
      <c r="X8" s="460">
        <f t="shared" si="5"/>
        <v>4838</v>
      </c>
      <c r="Y8" s="460">
        <f t="shared" si="5"/>
        <v>5390</v>
      </c>
      <c r="Z8" s="462">
        <f t="shared" si="5"/>
        <v>0</v>
      </c>
      <c r="AA8" s="463">
        <f t="shared" si="5"/>
        <v>4839</v>
      </c>
      <c r="AB8" s="460">
        <f t="shared" si="5"/>
        <v>5390</v>
      </c>
      <c r="AC8" s="464">
        <f t="shared" si="5"/>
        <v>0</v>
      </c>
      <c r="AD8" s="460">
        <f t="shared" si="5"/>
        <v>4838</v>
      </c>
      <c r="AE8" s="460">
        <f t="shared" si="5"/>
        <v>5390</v>
      </c>
      <c r="AF8" s="462">
        <f t="shared" si="5"/>
        <v>0</v>
      </c>
      <c r="AG8" s="463">
        <f t="shared" si="5"/>
        <v>4839</v>
      </c>
      <c r="AH8" s="460">
        <f t="shared" si="5"/>
        <v>5389</v>
      </c>
      <c r="AI8" s="464">
        <f t="shared" si="5"/>
        <v>0</v>
      </c>
      <c r="AJ8" s="460">
        <f t="shared" si="5"/>
        <v>4838</v>
      </c>
      <c r="AK8" s="460">
        <f t="shared" si="5"/>
        <v>5389</v>
      </c>
      <c r="AL8" s="462">
        <f t="shared" si="5"/>
        <v>0</v>
      </c>
      <c r="AM8" s="463">
        <f t="shared" si="5"/>
        <v>4839</v>
      </c>
      <c r="AN8" s="460">
        <f t="shared" si="5"/>
        <v>5390</v>
      </c>
      <c r="AO8" s="470">
        <f t="shared" si="5"/>
        <v>0</v>
      </c>
    </row>
    <row r="9" spans="1:42" s="480" customFormat="1" ht="13.5" customHeight="1" x14ac:dyDescent="0.2">
      <c r="A9" s="471" t="s">
        <v>654</v>
      </c>
      <c r="B9" s="472" t="s">
        <v>655</v>
      </c>
      <c r="C9" s="473">
        <f t="shared" si="2"/>
        <v>6106348</v>
      </c>
      <c r="D9" s="474">
        <f t="shared" si="0"/>
        <v>6593356</v>
      </c>
      <c r="E9" s="475">
        <f t="shared" si="0"/>
        <v>3028596</v>
      </c>
      <c r="F9" s="474">
        <f>SUM(F5:F8)</f>
        <v>205793</v>
      </c>
      <c r="G9" s="474">
        <f>SUM(G5:G8)</f>
        <v>186994</v>
      </c>
      <c r="H9" s="476">
        <f>SUM(H5:H8)</f>
        <v>185645</v>
      </c>
      <c r="I9" s="477">
        <f t="shared" ref="I9:AM9" si="6">SUM(I5:I8)</f>
        <v>207764</v>
      </c>
      <c r="J9" s="474">
        <f>SUM(J5:J8)</f>
        <v>151925</v>
      </c>
      <c r="K9" s="478">
        <f>SUM(K5:K8)</f>
        <v>152680</v>
      </c>
      <c r="L9" s="474">
        <f t="shared" si="6"/>
        <v>1680896</v>
      </c>
      <c r="M9" s="474">
        <f>SUM(M5:M8)</f>
        <v>1835824</v>
      </c>
      <c r="N9" s="476">
        <f>SUM(N5:N8)</f>
        <v>1837545</v>
      </c>
      <c r="O9" s="477">
        <f t="shared" si="6"/>
        <v>565288</v>
      </c>
      <c r="P9" s="474">
        <f>SUM(P5:P8)</f>
        <v>630061</v>
      </c>
      <c r="Q9" s="478">
        <f>SUM(Q5:Q8)</f>
        <v>182751</v>
      </c>
      <c r="R9" s="474">
        <f t="shared" si="6"/>
        <v>462628</v>
      </c>
      <c r="S9" s="474">
        <f>SUM(S5:S8)</f>
        <v>473288</v>
      </c>
      <c r="T9" s="476">
        <f>SUM(T5:T8)</f>
        <v>347600</v>
      </c>
      <c r="U9" s="477">
        <f t="shared" si="6"/>
        <v>228683</v>
      </c>
      <c r="V9" s="474">
        <f>SUM(V5:V8)</f>
        <v>318409</v>
      </c>
      <c r="W9" s="478">
        <f>SUM(W5:W8)</f>
        <v>322375</v>
      </c>
      <c r="X9" s="474">
        <f t="shared" si="6"/>
        <v>160627</v>
      </c>
      <c r="Y9" s="474">
        <f>SUM(Y5:Y8)</f>
        <v>259787</v>
      </c>
      <c r="Z9" s="476">
        <f>SUM(Z5:Z8)</f>
        <v>0</v>
      </c>
      <c r="AA9" s="477">
        <f t="shared" si="6"/>
        <v>163175</v>
      </c>
      <c r="AB9" s="474">
        <f>SUM(AB5:AB8)</f>
        <v>204045</v>
      </c>
      <c r="AC9" s="478">
        <f>SUM(AC5:AC8)</f>
        <v>0</v>
      </c>
      <c r="AD9" s="474">
        <f t="shared" si="6"/>
        <v>1555372</v>
      </c>
      <c r="AE9" s="474">
        <f>SUM(AE5:AE8)</f>
        <v>1463690</v>
      </c>
      <c r="AF9" s="476">
        <f>SUM(AF5:AF8)</f>
        <v>0</v>
      </c>
      <c r="AG9" s="477">
        <f t="shared" si="6"/>
        <v>239520</v>
      </c>
      <c r="AH9" s="474">
        <f>SUM(AH5:AH8)</f>
        <v>296951</v>
      </c>
      <c r="AI9" s="478">
        <f>SUM(AI5:AI8)</f>
        <v>0</v>
      </c>
      <c r="AJ9" s="474">
        <f t="shared" si="6"/>
        <v>182903</v>
      </c>
      <c r="AK9" s="474">
        <f>SUM(AK5:AK8)</f>
        <v>280860</v>
      </c>
      <c r="AL9" s="476">
        <f>SUM(AL5:AL8)</f>
        <v>0</v>
      </c>
      <c r="AM9" s="477">
        <f t="shared" si="6"/>
        <v>453699</v>
      </c>
      <c r="AN9" s="474">
        <f>SUM(AN5:AN8)</f>
        <v>491522</v>
      </c>
      <c r="AO9" s="475">
        <f>SUM(AO5:AO8)</f>
        <v>0</v>
      </c>
      <c r="AP9" s="479"/>
    </row>
    <row r="10" spans="1:42" s="480" customFormat="1" ht="13.5" customHeight="1" x14ac:dyDescent="0.2">
      <c r="A10" s="471" t="s">
        <v>656</v>
      </c>
      <c r="B10" s="472" t="s">
        <v>657</v>
      </c>
      <c r="C10" s="473">
        <f t="shared" si="2"/>
        <v>1649275</v>
      </c>
      <c r="D10" s="474">
        <f t="shared" si="0"/>
        <v>1949275</v>
      </c>
      <c r="E10" s="475">
        <f t="shared" si="0"/>
        <v>1365665</v>
      </c>
      <c r="F10" s="474">
        <f t="shared" ref="F10:AO10" si="7">SUM(F56+F102+F147+F192+F237+F282+F327+F372+F417)</f>
        <v>1144650</v>
      </c>
      <c r="G10" s="474">
        <f t="shared" si="7"/>
        <v>1051012</v>
      </c>
      <c r="H10" s="476">
        <f t="shared" si="7"/>
        <v>516714</v>
      </c>
      <c r="I10" s="477">
        <f t="shared" si="7"/>
        <v>360803</v>
      </c>
      <c r="J10" s="474">
        <f t="shared" si="7"/>
        <v>300000</v>
      </c>
      <c r="K10" s="478">
        <f t="shared" si="7"/>
        <v>300000</v>
      </c>
      <c r="L10" s="474">
        <f t="shared" si="7"/>
        <v>0</v>
      </c>
      <c r="M10" s="474">
        <f t="shared" si="7"/>
        <v>0</v>
      </c>
      <c r="N10" s="476">
        <f t="shared" si="7"/>
        <v>0</v>
      </c>
      <c r="O10" s="477">
        <f t="shared" si="7"/>
        <v>0</v>
      </c>
      <c r="P10" s="474">
        <f t="shared" si="7"/>
        <v>0</v>
      </c>
      <c r="Q10" s="478">
        <f t="shared" si="7"/>
        <v>0</v>
      </c>
      <c r="R10" s="474">
        <f t="shared" si="7"/>
        <v>0</v>
      </c>
      <c r="S10" s="474">
        <f t="shared" si="7"/>
        <v>0</v>
      </c>
      <c r="T10" s="476">
        <f t="shared" si="7"/>
        <v>0</v>
      </c>
      <c r="U10" s="477">
        <f t="shared" si="7"/>
        <v>143822</v>
      </c>
      <c r="V10" s="474">
        <f t="shared" si="7"/>
        <v>548951</v>
      </c>
      <c r="W10" s="478">
        <f t="shared" si="7"/>
        <v>548951</v>
      </c>
      <c r="X10" s="474">
        <f t="shared" si="7"/>
        <v>0</v>
      </c>
      <c r="Y10" s="474">
        <f t="shared" si="7"/>
        <v>24113</v>
      </c>
      <c r="Z10" s="476">
        <f t="shared" si="7"/>
        <v>0</v>
      </c>
      <c r="AA10" s="477">
        <f t="shared" si="7"/>
        <v>0</v>
      </c>
      <c r="AB10" s="474">
        <f t="shared" si="7"/>
        <v>0</v>
      </c>
      <c r="AC10" s="478">
        <f t="shared" si="7"/>
        <v>0</v>
      </c>
      <c r="AD10" s="474">
        <f t="shared" si="7"/>
        <v>0</v>
      </c>
      <c r="AE10" s="474">
        <f t="shared" si="7"/>
        <v>25199</v>
      </c>
      <c r="AF10" s="476">
        <f t="shared" si="7"/>
        <v>0</v>
      </c>
      <c r="AG10" s="477">
        <f t="shared" si="7"/>
        <v>0</v>
      </c>
      <c r="AH10" s="474">
        <f t="shared" si="7"/>
        <v>0</v>
      </c>
      <c r="AI10" s="478">
        <f t="shared" si="7"/>
        <v>0</v>
      </c>
      <c r="AJ10" s="474">
        <f t="shared" si="7"/>
        <v>0</v>
      </c>
      <c r="AK10" s="474">
        <f t="shared" si="7"/>
        <v>0</v>
      </c>
      <c r="AL10" s="476">
        <f t="shared" si="7"/>
        <v>0</v>
      </c>
      <c r="AM10" s="477">
        <f t="shared" si="7"/>
        <v>0</v>
      </c>
      <c r="AN10" s="474">
        <f t="shared" si="7"/>
        <v>0</v>
      </c>
      <c r="AO10" s="475">
        <f t="shared" si="7"/>
        <v>0</v>
      </c>
      <c r="AP10" s="479"/>
    </row>
    <row r="11" spans="1:42" s="490" customFormat="1" ht="13.5" customHeight="1" x14ac:dyDescent="0.2">
      <c r="A11" s="481" t="s">
        <v>658</v>
      </c>
      <c r="B11" s="482" t="s">
        <v>659</v>
      </c>
      <c r="C11" s="483">
        <f>SUM(F11,I11,L11,O11,R11,U11,X11,AA11,AD11,AG11,AJ11,AM11)</f>
        <v>49275</v>
      </c>
      <c r="D11" s="484">
        <f t="shared" si="0"/>
        <v>49275</v>
      </c>
      <c r="E11" s="485">
        <f t="shared" si="0"/>
        <v>35502</v>
      </c>
      <c r="F11" s="484">
        <f t="shared" ref="F11:AO11" si="8">SUM(F57,F102,F147,F192,F237,F282,F327,F372,F417)</f>
        <v>49275</v>
      </c>
      <c r="G11" s="484">
        <f t="shared" si="8"/>
        <v>35502</v>
      </c>
      <c r="H11" s="486">
        <f t="shared" si="8"/>
        <v>35502</v>
      </c>
      <c r="I11" s="487">
        <f t="shared" si="8"/>
        <v>0</v>
      </c>
      <c r="J11" s="484">
        <f t="shared" si="8"/>
        <v>0</v>
      </c>
      <c r="K11" s="488">
        <f t="shared" si="8"/>
        <v>0</v>
      </c>
      <c r="L11" s="484">
        <f t="shared" si="8"/>
        <v>0</v>
      </c>
      <c r="M11" s="484">
        <f t="shared" si="8"/>
        <v>0</v>
      </c>
      <c r="N11" s="486">
        <f t="shared" si="8"/>
        <v>0</v>
      </c>
      <c r="O11" s="487">
        <f t="shared" si="8"/>
        <v>0</v>
      </c>
      <c r="P11" s="484">
        <f t="shared" si="8"/>
        <v>0</v>
      </c>
      <c r="Q11" s="488">
        <f t="shared" si="8"/>
        <v>0</v>
      </c>
      <c r="R11" s="484">
        <f t="shared" si="8"/>
        <v>0</v>
      </c>
      <c r="S11" s="484">
        <f t="shared" si="8"/>
        <v>0</v>
      </c>
      <c r="T11" s="486">
        <f t="shared" si="8"/>
        <v>0</v>
      </c>
      <c r="U11" s="487">
        <f t="shared" si="8"/>
        <v>0</v>
      </c>
      <c r="V11" s="484">
        <f t="shared" si="8"/>
        <v>0</v>
      </c>
      <c r="W11" s="488">
        <f t="shared" si="8"/>
        <v>0</v>
      </c>
      <c r="X11" s="484">
        <f t="shared" si="8"/>
        <v>0</v>
      </c>
      <c r="Y11" s="484">
        <f t="shared" si="8"/>
        <v>13773</v>
      </c>
      <c r="Z11" s="486">
        <f t="shared" si="8"/>
        <v>0</v>
      </c>
      <c r="AA11" s="487">
        <f t="shared" si="8"/>
        <v>0</v>
      </c>
      <c r="AB11" s="484">
        <f t="shared" si="8"/>
        <v>0</v>
      </c>
      <c r="AC11" s="488">
        <f t="shared" si="8"/>
        <v>0</v>
      </c>
      <c r="AD11" s="484">
        <f t="shared" si="8"/>
        <v>0</v>
      </c>
      <c r="AE11" s="484">
        <f t="shared" si="8"/>
        <v>0</v>
      </c>
      <c r="AF11" s="486">
        <f t="shared" si="8"/>
        <v>0</v>
      </c>
      <c r="AG11" s="487">
        <f t="shared" si="8"/>
        <v>0</v>
      </c>
      <c r="AH11" s="484">
        <f t="shared" si="8"/>
        <v>0</v>
      </c>
      <c r="AI11" s="488">
        <f t="shared" si="8"/>
        <v>0</v>
      </c>
      <c r="AJ11" s="484">
        <f t="shared" si="8"/>
        <v>0</v>
      </c>
      <c r="AK11" s="484">
        <f t="shared" si="8"/>
        <v>0</v>
      </c>
      <c r="AL11" s="486">
        <f t="shared" si="8"/>
        <v>0</v>
      </c>
      <c r="AM11" s="487">
        <f t="shared" si="8"/>
        <v>0</v>
      </c>
      <c r="AN11" s="484">
        <f t="shared" si="8"/>
        <v>0</v>
      </c>
      <c r="AO11" s="485">
        <f t="shared" si="8"/>
        <v>0</v>
      </c>
      <c r="AP11" s="489"/>
    </row>
    <row r="12" spans="1:42" s="480" customFormat="1" ht="13.5" customHeight="1" x14ac:dyDescent="0.2">
      <c r="A12" s="471" t="s">
        <v>660</v>
      </c>
      <c r="B12" s="472" t="s">
        <v>661</v>
      </c>
      <c r="C12" s="473">
        <f>SUM(F12,I12,L12,O12,R12,U12,X12,AA12,AD12,AG12,AJ12,AM12)</f>
        <v>7755623</v>
      </c>
      <c r="D12" s="474">
        <f t="shared" si="0"/>
        <v>8542631</v>
      </c>
      <c r="E12" s="475">
        <f t="shared" si="0"/>
        <v>4394261</v>
      </c>
      <c r="F12" s="474">
        <f>SUM(+F9,F10)</f>
        <v>1350443</v>
      </c>
      <c r="G12" s="474">
        <f>SUM(+G9,G10)</f>
        <v>1238006</v>
      </c>
      <c r="H12" s="476">
        <f>SUM(+H9,H10)</f>
        <v>702359</v>
      </c>
      <c r="I12" s="477">
        <f>SUM(I9,I10)</f>
        <v>568567</v>
      </c>
      <c r="J12" s="474">
        <f>SUM(+J9,J10)</f>
        <v>451925</v>
      </c>
      <c r="K12" s="478">
        <f>SUM(+K9,K10)</f>
        <v>452680</v>
      </c>
      <c r="L12" s="474">
        <f t="shared" ref="L12:AM12" si="9">SUM(L9,L10)</f>
        <v>1680896</v>
      </c>
      <c r="M12" s="474">
        <f>SUM(+M9,M10)</f>
        <v>1835824</v>
      </c>
      <c r="N12" s="476">
        <f>SUM(+N9,N10)</f>
        <v>1837545</v>
      </c>
      <c r="O12" s="477">
        <f t="shared" si="9"/>
        <v>565288</v>
      </c>
      <c r="P12" s="474">
        <f>SUM(+P9,P10)</f>
        <v>630061</v>
      </c>
      <c r="Q12" s="478">
        <f>SUM(+Q9,Q10)</f>
        <v>182751</v>
      </c>
      <c r="R12" s="474">
        <f t="shared" si="9"/>
        <v>462628</v>
      </c>
      <c r="S12" s="474">
        <f>SUM(+S9,S10)</f>
        <v>473288</v>
      </c>
      <c r="T12" s="476">
        <f>SUM(+T9,T10)</f>
        <v>347600</v>
      </c>
      <c r="U12" s="477">
        <f t="shared" si="9"/>
        <v>372505</v>
      </c>
      <c r="V12" s="474">
        <f>SUM(+V9,V10)</f>
        <v>867360</v>
      </c>
      <c r="W12" s="478">
        <f>SUM(+W9,W10)</f>
        <v>871326</v>
      </c>
      <c r="X12" s="474">
        <f t="shared" si="9"/>
        <v>160627</v>
      </c>
      <c r="Y12" s="474">
        <f>SUM(+Y9,Y10)</f>
        <v>283900</v>
      </c>
      <c r="Z12" s="476">
        <f>SUM(+Z9,Z10)</f>
        <v>0</v>
      </c>
      <c r="AA12" s="477">
        <f t="shared" si="9"/>
        <v>163175</v>
      </c>
      <c r="AB12" s="474">
        <f>SUM(+AB9,AB10)</f>
        <v>204045</v>
      </c>
      <c r="AC12" s="478">
        <f>SUM(+AC9,AC10)</f>
        <v>0</v>
      </c>
      <c r="AD12" s="474">
        <f t="shared" si="9"/>
        <v>1555372</v>
      </c>
      <c r="AE12" s="474">
        <f>SUM(+AE9,AE10)</f>
        <v>1488889</v>
      </c>
      <c r="AF12" s="476">
        <f>SUM(+AF9,AF10)</f>
        <v>0</v>
      </c>
      <c r="AG12" s="477">
        <f t="shared" si="9"/>
        <v>239520</v>
      </c>
      <c r="AH12" s="474">
        <f>SUM(+AH9,AH10)</f>
        <v>296951</v>
      </c>
      <c r="AI12" s="478">
        <f>SUM(+AI9,AI10)</f>
        <v>0</v>
      </c>
      <c r="AJ12" s="474">
        <f t="shared" si="9"/>
        <v>182903</v>
      </c>
      <c r="AK12" s="474">
        <f>SUM(+AK9,AK10)</f>
        <v>280860</v>
      </c>
      <c r="AL12" s="476">
        <f>SUM(+AL9,AL10)</f>
        <v>0</v>
      </c>
      <c r="AM12" s="477">
        <f t="shared" si="9"/>
        <v>453699</v>
      </c>
      <c r="AN12" s="474">
        <f>SUM(+AN9,AN10)</f>
        <v>491522</v>
      </c>
      <c r="AO12" s="475">
        <f>SUM(+AO9,AO10)</f>
        <v>0</v>
      </c>
      <c r="AP12" s="479"/>
    </row>
    <row r="13" spans="1:42" ht="13.5" customHeight="1" x14ac:dyDescent="0.2">
      <c r="A13" s="466" t="s">
        <v>648</v>
      </c>
      <c r="B13" s="467" t="s">
        <v>662</v>
      </c>
      <c r="C13" s="468">
        <f t="shared" ref="C13:C17" si="10">SUM(F13,I13,L13,O13,R13,U13,X13,AA13,AD13,AG13,AJ13,AM13)</f>
        <v>111425</v>
      </c>
      <c r="D13" s="469">
        <f t="shared" si="0"/>
        <v>237405</v>
      </c>
      <c r="E13" s="470">
        <f t="shared" si="0"/>
        <v>0</v>
      </c>
      <c r="F13" s="460">
        <f t="shared" ref="F13:AO13" si="11">SUM(F59,F104,F149,F194,F239,F284,F329,F374,F419)</f>
        <v>9285</v>
      </c>
      <c r="G13" s="460">
        <f t="shared" si="11"/>
        <v>0</v>
      </c>
      <c r="H13" s="462">
        <f t="shared" si="11"/>
        <v>0</v>
      </c>
      <c r="I13" s="463">
        <f t="shared" si="11"/>
        <v>9285</v>
      </c>
      <c r="J13" s="460">
        <f t="shared" si="11"/>
        <v>0</v>
      </c>
      <c r="K13" s="464">
        <f t="shared" si="11"/>
        <v>0</v>
      </c>
      <c r="L13" s="460">
        <f t="shared" si="11"/>
        <v>9286</v>
      </c>
      <c r="M13" s="460">
        <f t="shared" si="11"/>
        <v>0</v>
      </c>
      <c r="N13" s="462">
        <f t="shared" si="11"/>
        <v>0</v>
      </c>
      <c r="O13" s="463">
        <f t="shared" si="11"/>
        <v>9285</v>
      </c>
      <c r="P13" s="460">
        <f t="shared" si="11"/>
        <v>0</v>
      </c>
      <c r="Q13" s="464">
        <f t="shared" si="11"/>
        <v>0</v>
      </c>
      <c r="R13" s="460">
        <f t="shared" si="11"/>
        <v>9285</v>
      </c>
      <c r="S13" s="460">
        <f t="shared" si="11"/>
        <v>46430</v>
      </c>
      <c r="T13" s="462">
        <f t="shared" si="11"/>
        <v>0</v>
      </c>
      <c r="U13" s="463">
        <f t="shared" si="11"/>
        <v>9286</v>
      </c>
      <c r="V13" s="460">
        <f t="shared" si="11"/>
        <v>0</v>
      </c>
      <c r="W13" s="464">
        <f t="shared" si="11"/>
        <v>0</v>
      </c>
      <c r="X13" s="460">
        <f t="shared" si="11"/>
        <v>9285</v>
      </c>
      <c r="Y13" s="460">
        <f t="shared" si="11"/>
        <v>0</v>
      </c>
      <c r="Z13" s="462">
        <f t="shared" si="11"/>
        <v>0</v>
      </c>
      <c r="AA13" s="463">
        <f t="shared" si="11"/>
        <v>9286</v>
      </c>
      <c r="AB13" s="460">
        <f t="shared" si="11"/>
        <v>32705</v>
      </c>
      <c r="AC13" s="464">
        <f t="shared" si="11"/>
        <v>0</v>
      </c>
      <c r="AD13" s="460">
        <f t="shared" si="11"/>
        <v>9286</v>
      </c>
      <c r="AE13" s="460">
        <f t="shared" si="11"/>
        <v>39567</v>
      </c>
      <c r="AF13" s="462">
        <f t="shared" si="11"/>
        <v>0</v>
      </c>
      <c r="AG13" s="463">
        <f t="shared" si="11"/>
        <v>9285</v>
      </c>
      <c r="AH13" s="460">
        <f t="shared" si="11"/>
        <v>39568</v>
      </c>
      <c r="AI13" s="464">
        <f t="shared" si="11"/>
        <v>0</v>
      </c>
      <c r="AJ13" s="460">
        <f t="shared" si="11"/>
        <v>9285</v>
      </c>
      <c r="AK13" s="460">
        <f t="shared" si="11"/>
        <v>39567</v>
      </c>
      <c r="AL13" s="462">
        <f t="shared" si="11"/>
        <v>0</v>
      </c>
      <c r="AM13" s="463">
        <f t="shared" si="11"/>
        <v>9286</v>
      </c>
      <c r="AN13" s="460">
        <f t="shared" si="11"/>
        <v>39568</v>
      </c>
      <c r="AO13" s="461">
        <f t="shared" si="11"/>
        <v>0</v>
      </c>
    </row>
    <row r="14" spans="1:42" ht="13.5" customHeight="1" x14ac:dyDescent="0.2">
      <c r="A14" s="491" t="s">
        <v>663</v>
      </c>
      <c r="B14" s="492" t="s">
        <v>664</v>
      </c>
      <c r="C14" s="468">
        <f t="shared" si="10"/>
        <v>402001</v>
      </c>
      <c r="D14" s="469">
        <f t="shared" si="0"/>
        <v>520111</v>
      </c>
      <c r="E14" s="470">
        <f t="shared" si="0"/>
        <v>70347</v>
      </c>
      <c r="F14" s="460">
        <f t="shared" ref="F14:AO14" si="12">SUM(F60,F105,F150,F195,F240,F285,F330,F375,F420)</f>
        <v>33500</v>
      </c>
      <c r="G14" s="460">
        <f t="shared" si="12"/>
        <v>11154</v>
      </c>
      <c r="H14" s="462">
        <f t="shared" si="12"/>
        <v>11154</v>
      </c>
      <c r="I14" s="463">
        <f t="shared" si="12"/>
        <v>33500</v>
      </c>
      <c r="J14" s="460">
        <f t="shared" si="12"/>
        <v>4090</v>
      </c>
      <c r="K14" s="464">
        <f t="shared" si="12"/>
        <v>4090</v>
      </c>
      <c r="L14" s="460">
        <f t="shared" si="12"/>
        <v>33501</v>
      </c>
      <c r="M14" s="460">
        <f t="shared" si="12"/>
        <v>2503</v>
      </c>
      <c r="N14" s="462">
        <f t="shared" si="12"/>
        <v>2503</v>
      </c>
      <c r="O14" s="463">
        <f t="shared" si="12"/>
        <v>33500</v>
      </c>
      <c r="P14" s="460">
        <f t="shared" si="12"/>
        <v>22793</v>
      </c>
      <c r="Q14" s="464">
        <f t="shared" si="12"/>
        <v>22793</v>
      </c>
      <c r="R14" s="460">
        <f t="shared" si="12"/>
        <v>33500</v>
      </c>
      <c r="S14" s="460">
        <f t="shared" si="12"/>
        <v>22722</v>
      </c>
      <c r="T14" s="462">
        <f t="shared" si="12"/>
        <v>22722</v>
      </c>
      <c r="U14" s="463">
        <f t="shared" si="12"/>
        <v>33500</v>
      </c>
      <c r="V14" s="460">
        <f t="shared" si="12"/>
        <v>7085</v>
      </c>
      <c r="W14" s="464">
        <f t="shared" si="12"/>
        <v>7085</v>
      </c>
      <c r="X14" s="460">
        <f t="shared" si="12"/>
        <v>33500</v>
      </c>
      <c r="Y14" s="460">
        <f t="shared" si="12"/>
        <v>74961</v>
      </c>
      <c r="Z14" s="462">
        <f t="shared" si="12"/>
        <v>0</v>
      </c>
      <c r="AA14" s="463">
        <f t="shared" si="12"/>
        <v>33500</v>
      </c>
      <c r="AB14" s="460">
        <f t="shared" si="12"/>
        <v>74961</v>
      </c>
      <c r="AC14" s="464">
        <f t="shared" si="12"/>
        <v>0</v>
      </c>
      <c r="AD14" s="460">
        <f t="shared" si="12"/>
        <v>33500</v>
      </c>
      <c r="AE14" s="460">
        <f t="shared" si="12"/>
        <v>74961</v>
      </c>
      <c r="AF14" s="462">
        <f t="shared" si="12"/>
        <v>0</v>
      </c>
      <c r="AG14" s="463">
        <f t="shared" si="12"/>
        <v>33500</v>
      </c>
      <c r="AH14" s="460">
        <f t="shared" si="12"/>
        <v>74960</v>
      </c>
      <c r="AI14" s="464">
        <f t="shared" si="12"/>
        <v>0</v>
      </c>
      <c r="AJ14" s="460">
        <f t="shared" si="12"/>
        <v>33500</v>
      </c>
      <c r="AK14" s="460">
        <f t="shared" si="12"/>
        <v>74961</v>
      </c>
      <c r="AL14" s="462">
        <f t="shared" si="12"/>
        <v>0</v>
      </c>
      <c r="AM14" s="463">
        <f t="shared" si="12"/>
        <v>33500</v>
      </c>
      <c r="AN14" s="460">
        <f t="shared" si="12"/>
        <v>74960</v>
      </c>
      <c r="AO14" s="461">
        <f t="shared" si="12"/>
        <v>0</v>
      </c>
    </row>
    <row r="15" spans="1:42" ht="13.5" customHeight="1" x14ac:dyDescent="0.2">
      <c r="A15" s="491" t="s">
        <v>665</v>
      </c>
      <c r="B15" s="492" t="s">
        <v>666</v>
      </c>
      <c r="C15" s="468">
        <f t="shared" si="10"/>
        <v>39624</v>
      </c>
      <c r="D15" s="469">
        <f t="shared" si="0"/>
        <v>39624</v>
      </c>
      <c r="E15" s="470">
        <f t="shared" si="0"/>
        <v>24615</v>
      </c>
      <c r="F15" s="460">
        <f t="shared" ref="F15:AO15" si="13">SUM(F61,F106,F151,F196,F241,F286,F331,F376,F421)</f>
        <v>3302</v>
      </c>
      <c r="G15" s="460">
        <f t="shared" si="13"/>
        <v>2354</v>
      </c>
      <c r="H15" s="462">
        <f t="shared" si="13"/>
        <v>2354</v>
      </c>
      <c r="I15" s="463">
        <f t="shared" si="13"/>
        <v>3302</v>
      </c>
      <c r="J15" s="460">
        <f t="shared" si="13"/>
        <v>2778</v>
      </c>
      <c r="K15" s="464">
        <f t="shared" si="13"/>
        <v>2778</v>
      </c>
      <c r="L15" s="460">
        <f t="shared" si="13"/>
        <v>3302</v>
      </c>
      <c r="M15" s="460">
        <f t="shared" si="13"/>
        <v>5210</v>
      </c>
      <c r="N15" s="462">
        <f t="shared" si="13"/>
        <v>5210</v>
      </c>
      <c r="O15" s="463">
        <f t="shared" si="13"/>
        <v>3302</v>
      </c>
      <c r="P15" s="460">
        <f t="shared" si="13"/>
        <v>4221</v>
      </c>
      <c r="Q15" s="464">
        <f t="shared" si="13"/>
        <v>4221</v>
      </c>
      <c r="R15" s="460">
        <f t="shared" si="13"/>
        <v>3302</v>
      </c>
      <c r="S15" s="460">
        <f t="shared" si="13"/>
        <v>5008</v>
      </c>
      <c r="T15" s="462">
        <f t="shared" si="13"/>
        <v>5008</v>
      </c>
      <c r="U15" s="463">
        <f t="shared" si="13"/>
        <v>3302</v>
      </c>
      <c r="V15" s="460">
        <f t="shared" si="13"/>
        <v>5044</v>
      </c>
      <c r="W15" s="464">
        <f t="shared" si="13"/>
        <v>5044</v>
      </c>
      <c r="X15" s="460">
        <f t="shared" si="13"/>
        <v>3302</v>
      </c>
      <c r="Y15" s="460">
        <f t="shared" si="13"/>
        <v>2501</v>
      </c>
      <c r="Z15" s="462">
        <f t="shared" si="13"/>
        <v>0</v>
      </c>
      <c r="AA15" s="463">
        <f t="shared" si="13"/>
        <v>3302</v>
      </c>
      <c r="AB15" s="460">
        <f t="shared" si="13"/>
        <v>2502</v>
      </c>
      <c r="AC15" s="464">
        <f t="shared" si="13"/>
        <v>0</v>
      </c>
      <c r="AD15" s="460">
        <f t="shared" si="13"/>
        <v>3302</v>
      </c>
      <c r="AE15" s="460">
        <f t="shared" si="13"/>
        <v>2501</v>
      </c>
      <c r="AF15" s="462">
        <f t="shared" si="13"/>
        <v>0</v>
      </c>
      <c r="AG15" s="463">
        <f t="shared" si="13"/>
        <v>3302</v>
      </c>
      <c r="AH15" s="460">
        <f t="shared" si="13"/>
        <v>2502</v>
      </c>
      <c r="AI15" s="464">
        <f t="shared" si="13"/>
        <v>0</v>
      </c>
      <c r="AJ15" s="460">
        <f t="shared" si="13"/>
        <v>3302</v>
      </c>
      <c r="AK15" s="460">
        <f t="shared" si="13"/>
        <v>2501</v>
      </c>
      <c r="AL15" s="462">
        <f t="shared" si="13"/>
        <v>0</v>
      </c>
      <c r="AM15" s="463">
        <f t="shared" si="13"/>
        <v>3302</v>
      </c>
      <c r="AN15" s="460">
        <f t="shared" si="13"/>
        <v>2502</v>
      </c>
      <c r="AO15" s="461">
        <f t="shared" si="13"/>
        <v>0</v>
      </c>
    </row>
    <row r="16" spans="1:42" s="480" customFormat="1" ht="13.5" customHeight="1" x14ac:dyDescent="0.2">
      <c r="A16" s="471" t="s">
        <v>667</v>
      </c>
      <c r="B16" s="472" t="s">
        <v>668</v>
      </c>
      <c r="C16" s="473">
        <f t="shared" si="10"/>
        <v>553050</v>
      </c>
      <c r="D16" s="474">
        <f t="shared" si="0"/>
        <v>797140</v>
      </c>
      <c r="E16" s="475">
        <f t="shared" si="0"/>
        <v>94962</v>
      </c>
      <c r="F16" s="474">
        <f>SUM(F13:F15)</f>
        <v>46087</v>
      </c>
      <c r="G16" s="474">
        <f>SUM(G13:G15)</f>
        <v>13508</v>
      </c>
      <c r="H16" s="476">
        <f>SUM(H13:H15)</f>
        <v>13508</v>
      </c>
      <c r="I16" s="477">
        <f t="shared" ref="I16:AM16" si="14">SUM(I13:I15)</f>
        <v>46087</v>
      </c>
      <c r="J16" s="474">
        <f>SUM(J13:J15)</f>
        <v>6868</v>
      </c>
      <c r="K16" s="478">
        <f>SUM(K13:K15)</f>
        <v>6868</v>
      </c>
      <c r="L16" s="474">
        <f t="shared" si="14"/>
        <v>46089</v>
      </c>
      <c r="M16" s="474">
        <f>SUM(M13:M15)</f>
        <v>7713</v>
      </c>
      <c r="N16" s="476">
        <f>SUM(N13:N15)</f>
        <v>7713</v>
      </c>
      <c r="O16" s="477">
        <f t="shared" si="14"/>
        <v>46087</v>
      </c>
      <c r="P16" s="474">
        <f>SUM(P13:P15)</f>
        <v>27014</v>
      </c>
      <c r="Q16" s="478">
        <f>SUM(Q13:Q15)</f>
        <v>27014</v>
      </c>
      <c r="R16" s="474">
        <f t="shared" si="14"/>
        <v>46087</v>
      </c>
      <c r="S16" s="474">
        <f>SUM(S13:S15)</f>
        <v>74160</v>
      </c>
      <c r="T16" s="476">
        <f>SUM(T13:T15)</f>
        <v>27730</v>
      </c>
      <c r="U16" s="477">
        <f t="shared" si="14"/>
        <v>46088</v>
      </c>
      <c r="V16" s="474">
        <f>SUM(V13:V15)</f>
        <v>12129</v>
      </c>
      <c r="W16" s="478">
        <f>SUM(W13:W15)</f>
        <v>12129</v>
      </c>
      <c r="X16" s="474">
        <f t="shared" si="14"/>
        <v>46087</v>
      </c>
      <c r="Y16" s="474">
        <f>SUM(Y13:Y15)</f>
        <v>77462</v>
      </c>
      <c r="Z16" s="476">
        <f>SUM(Z13:Z15)</f>
        <v>0</v>
      </c>
      <c r="AA16" s="477">
        <f t="shared" si="14"/>
        <v>46088</v>
      </c>
      <c r="AB16" s="474">
        <f>SUM(AB13:AB15)</f>
        <v>110168</v>
      </c>
      <c r="AC16" s="478">
        <f>SUM(AC13:AC15)</f>
        <v>0</v>
      </c>
      <c r="AD16" s="474">
        <f t="shared" si="14"/>
        <v>46088</v>
      </c>
      <c r="AE16" s="474">
        <f>SUM(AE13:AE15)</f>
        <v>117029</v>
      </c>
      <c r="AF16" s="476">
        <f>SUM(AF13:AF15)</f>
        <v>0</v>
      </c>
      <c r="AG16" s="477">
        <f t="shared" si="14"/>
        <v>46087</v>
      </c>
      <c r="AH16" s="474">
        <f>SUM(AH13:AH15)</f>
        <v>117030</v>
      </c>
      <c r="AI16" s="478">
        <f>SUM(AI13:AI15)</f>
        <v>0</v>
      </c>
      <c r="AJ16" s="474">
        <f t="shared" si="14"/>
        <v>46087</v>
      </c>
      <c r="AK16" s="474">
        <f>SUM(AK13:AK15)</f>
        <v>117029</v>
      </c>
      <c r="AL16" s="476">
        <f>SUM(AL13:AL15)</f>
        <v>0</v>
      </c>
      <c r="AM16" s="477">
        <f t="shared" si="14"/>
        <v>46088</v>
      </c>
      <c r="AN16" s="474">
        <f>SUM(AN13:AN15)</f>
        <v>117030</v>
      </c>
      <c r="AO16" s="475">
        <f>SUM(AO13:AO15)</f>
        <v>0</v>
      </c>
      <c r="AP16" s="479"/>
    </row>
    <row r="17" spans="1:42" s="480" customFormat="1" ht="13.5" customHeight="1" x14ac:dyDescent="0.2">
      <c r="A17" s="493" t="s">
        <v>669</v>
      </c>
      <c r="B17" s="494" t="s">
        <v>657</v>
      </c>
      <c r="C17" s="473">
        <f t="shared" si="10"/>
        <v>2508774</v>
      </c>
      <c r="D17" s="474">
        <f t="shared" si="0"/>
        <v>2508774</v>
      </c>
      <c r="E17" s="475">
        <f t="shared" si="0"/>
        <v>0</v>
      </c>
      <c r="F17" s="495">
        <f t="shared" ref="F17:AO17" si="15">SUM(F63,F109,F154,F199,F244,F289,F334,F379,F424)</f>
        <v>8774</v>
      </c>
      <c r="G17" s="495">
        <f t="shared" si="15"/>
        <v>0</v>
      </c>
      <c r="H17" s="496">
        <f t="shared" si="15"/>
        <v>0</v>
      </c>
      <c r="I17" s="497">
        <f t="shared" si="15"/>
        <v>0</v>
      </c>
      <c r="J17" s="495">
        <f t="shared" si="15"/>
        <v>0</v>
      </c>
      <c r="K17" s="498">
        <f t="shared" si="15"/>
        <v>0</v>
      </c>
      <c r="L17" s="495">
        <f t="shared" si="15"/>
        <v>0</v>
      </c>
      <c r="M17" s="495">
        <f t="shared" si="15"/>
        <v>0</v>
      </c>
      <c r="N17" s="496">
        <f t="shared" si="15"/>
        <v>0</v>
      </c>
      <c r="O17" s="497">
        <f t="shared" si="15"/>
        <v>0</v>
      </c>
      <c r="P17" s="495">
        <f t="shared" si="15"/>
        <v>0</v>
      </c>
      <c r="Q17" s="498">
        <f t="shared" si="15"/>
        <v>0</v>
      </c>
      <c r="R17" s="495">
        <f t="shared" si="15"/>
        <v>100000</v>
      </c>
      <c r="S17" s="495">
        <f t="shared" si="15"/>
        <v>148884</v>
      </c>
      <c r="T17" s="496">
        <f t="shared" si="15"/>
        <v>0</v>
      </c>
      <c r="U17" s="497">
        <f t="shared" si="15"/>
        <v>200000</v>
      </c>
      <c r="V17" s="495">
        <f t="shared" si="15"/>
        <v>0</v>
      </c>
      <c r="W17" s="498">
        <f t="shared" si="15"/>
        <v>0</v>
      </c>
      <c r="X17" s="495">
        <f t="shared" si="15"/>
        <v>400000</v>
      </c>
      <c r="Y17" s="495">
        <f t="shared" si="15"/>
        <v>396536</v>
      </c>
      <c r="Z17" s="496">
        <f t="shared" si="15"/>
        <v>0</v>
      </c>
      <c r="AA17" s="497">
        <f t="shared" si="15"/>
        <v>400000</v>
      </c>
      <c r="AB17" s="495">
        <f t="shared" si="15"/>
        <v>456692</v>
      </c>
      <c r="AC17" s="498">
        <f t="shared" si="15"/>
        <v>0</v>
      </c>
      <c r="AD17" s="495">
        <f t="shared" si="15"/>
        <v>600000</v>
      </c>
      <c r="AE17" s="495">
        <f t="shared" si="15"/>
        <v>499300</v>
      </c>
      <c r="AF17" s="496">
        <f t="shared" si="15"/>
        <v>0</v>
      </c>
      <c r="AG17" s="497">
        <f t="shared" si="15"/>
        <v>320000</v>
      </c>
      <c r="AH17" s="495">
        <f t="shared" si="15"/>
        <v>369383</v>
      </c>
      <c r="AI17" s="498">
        <f t="shared" si="15"/>
        <v>0</v>
      </c>
      <c r="AJ17" s="495">
        <f t="shared" si="15"/>
        <v>370000</v>
      </c>
      <c r="AK17" s="495">
        <f t="shared" si="15"/>
        <v>384814</v>
      </c>
      <c r="AL17" s="496">
        <f t="shared" si="15"/>
        <v>0</v>
      </c>
      <c r="AM17" s="497">
        <f t="shared" si="15"/>
        <v>110000</v>
      </c>
      <c r="AN17" s="495">
        <f t="shared" si="15"/>
        <v>253165</v>
      </c>
      <c r="AO17" s="499">
        <f t="shared" si="15"/>
        <v>0</v>
      </c>
      <c r="AP17" s="479"/>
    </row>
    <row r="18" spans="1:42" s="490" customFormat="1" ht="13.5" customHeight="1" x14ac:dyDescent="0.2">
      <c r="A18" s="481" t="s">
        <v>658</v>
      </c>
      <c r="B18" s="482" t="s">
        <v>659</v>
      </c>
      <c r="C18" s="483">
        <f>SUM(F18,I18,L18,O18,R18,U18,X18,AA18,AD18,AG18,AJ18,AM18)</f>
        <v>8774</v>
      </c>
      <c r="D18" s="484">
        <f t="shared" si="0"/>
        <v>8774</v>
      </c>
      <c r="E18" s="485">
        <f t="shared" si="0"/>
        <v>0</v>
      </c>
      <c r="F18" s="500">
        <f t="shared" ref="F18:AO18" si="16">SUM(F64,F109,F154,F199,F244,F289,F334,F379,F424)</f>
        <v>8774</v>
      </c>
      <c r="G18" s="500">
        <f t="shared" si="16"/>
        <v>0</v>
      </c>
      <c r="H18" s="501">
        <f t="shared" si="16"/>
        <v>0</v>
      </c>
      <c r="I18" s="502">
        <f t="shared" si="16"/>
        <v>0</v>
      </c>
      <c r="J18" s="500">
        <f t="shared" si="16"/>
        <v>0</v>
      </c>
      <c r="K18" s="503">
        <f t="shared" si="16"/>
        <v>0</v>
      </c>
      <c r="L18" s="500">
        <f t="shared" si="16"/>
        <v>0</v>
      </c>
      <c r="M18" s="500">
        <f t="shared" si="16"/>
        <v>0</v>
      </c>
      <c r="N18" s="501">
        <f t="shared" si="16"/>
        <v>0</v>
      </c>
      <c r="O18" s="502">
        <f t="shared" si="16"/>
        <v>0</v>
      </c>
      <c r="P18" s="500">
        <f t="shared" si="16"/>
        <v>0</v>
      </c>
      <c r="Q18" s="503">
        <f t="shared" si="16"/>
        <v>0</v>
      </c>
      <c r="R18" s="500">
        <f t="shared" si="16"/>
        <v>0</v>
      </c>
      <c r="S18" s="500">
        <f t="shared" si="16"/>
        <v>0</v>
      </c>
      <c r="T18" s="501">
        <f t="shared" si="16"/>
        <v>0</v>
      </c>
      <c r="U18" s="502">
        <f t="shared" si="16"/>
        <v>0</v>
      </c>
      <c r="V18" s="500">
        <f t="shared" si="16"/>
        <v>0</v>
      </c>
      <c r="W18" s="503">
        <f t="shared" si="16"/>
        <v>0</v>
      </c>
      <c r="X18" s="500">
        <f t="shared" si="16"/>
        <v>0</v>
      </c>
      <c r="Y18" s="500">
        <f t="shared" si="16"/>
        <v>8774</v>
      </c>
      <c r="Z18" s="501">
        <f t="shared" si="16"/>
        <v>0</v>
      </c>
      <c r="AA18" s="502">
        <f t="shared" si="16"/>
        <v>0</v>
      </c>
      <c r="AB18" s="500">
        <f t="shared" si="16"/>
        <v>0</v>
      </c>
      <c r="AC18" s="503">
        <f t="shared" si="16"/>
        <v>0</v>
      </c>
      <c r="AD18" s="500">
        <f t="shared" si="16"/>
        <v>0</v>
      </c>
      <c r="AE18" s="500">
        <f t="shared" si="16"/>
        <v>0</v>
      </c>
      <c r="AF18" s="501">
        <f t="shared" si="16"/>
        <v>0</v>
      </c>
      <c r="AG18" s="502">
        <f t="shared" si="16"/>
        <v>0</v>
      </c>
      <c r="AH18" s="500">
        <f t="shared" si="16"/>
        <v>0</v>
      </c>
      <c r="AI18" s="503">
        <f t="shared" si="16"/>
        <v>0</v>
      </c>
      <c r="AJ18" s="500">
        <f t="shared" si="16"/>
        <v>0</v>
      </c>
      <c r="AK18" s="500">
        <f t="shared" si="16"/>
        <v>0</v>
      </c>
      <c r="AL18" s="501">
        <f t="shared" si="16"/>
        <v>0</v>
      </c>
      <c r="AM18" s="502">
        <f t="shared" si="16"/>
        <v>0</v>
      </c>
      <c r="AN18" s="500">
        <f t="shared" si="16"/>
        <v>0</v>
      </c>
      <c r="AO18" s="504">
        <f t="shared" si="16"/>
        <v>0</v>
      </c>
      <c r="AP18" s="489"/>
    </row>
    <row r="19" spans="1:42" s="480" customFormat="1" ht="13.5" customHeight="1" thickBot="1" x14ac:dyDescent="0.25">
      <c r="A19" s="505" t="s">
        <v>670</v>
      </c>
      <c r="B19" s="506" t="s">
        <v>671</v>
      </c>
      <c r="C19" s="507">
        <f>SUM(F19,I19,L19,O19,R19,U19,X19,AA19,AD19,AG19,AJ19,AM19)</f>
        <v>3061824</v>
      </c>
      <c r="D19" s="508">
        <f t="shared" si="0"/>
        <v>3305914</v>
      </c>
      <c r="E19" s="509">
        <f t="shared" si="0"/>
        <v>94962</v>
      </c>
      <c r="F19" s="510">
        <f t="shared" ref="F19:AM19" si="17">SUM(F16,F17)</f>
        <v>54861</v>
      </c>
      <c r="G19" s="510">
        <f t="shared" si="17"/>
        <v>13508</v>
      </c>
      <c r="H19" s="511">
        <f t="shared" si="17"/>
        <v>13508</v>
      </c>
      <c r="I19" s="512">
        <f t="shared" si="17"/>
        <v>46087</v>
      </c>
      <c r="J19" s="510">
        <f t="shared" si="17"/>
        <v>6868</v>
      </c>
      <c r="K19" s="513">
        <f t="shared" si="17"/>
        <v>6868</v>
      </c>
      <c r="L19" s="510">
        <f t="shared" si="17"/>
        <v>46089</v>
      </c>
      <c r="M19" s="510">
        <f>SUM(M16,M17)</f>
        <v>7713</v>
      </c>
      <c r="N19" s="511">
        <f>SUM(N16,N17)</f>
        <v>7713</v>
      </c>
      <c r="O19" s="512">
        <f t="shared" si="17"/>
        <v>46087</v>
      </c>
      <c r="P19" s="510">
        <f>SUM(P16,P17)</f>
        <v>27014</v>
      </c>
      <c r="Q19" s="513">
        <f>SUM(Q16,Q17)</f>
        <v>27014</v>
      </c>
      <c r="R19" s="510">
        <f t="shared" si="17"/>
        <v>146087</v>
      </c>
      <c r="S19" s="510">
        <f>SUM(S16,S17)</f>
        <v>223044</v>
      </c>
      <c r="T19" s="511">
        <f>SUM(T16,T17)</f>
        <v>27730</v>
      </c>
      <c r="U19" s="512">
        <f t="shared" si="17"/>
        <v>246088</v>
      </c>
      <c r="V19" s="510">
        <f>SUM(V16,V17)</f>
        <v>12129</v>
      </c>
      <c r="W19" s="513">
        <f>SUM(W16,W17)</f>
        <v>12129</v>
      </c>
      <c r="X19" s="510">
        <f t="shared" si="17"/>
        <v>446087</v>
      </c>
      <c r="Y19" s="510">
        <f>SUM(Y16,Y17)</f>
        <v>473998</v>
      </c>
      <c r="Z19" s="511">
        <f>SUM(Z16,Z17)</f>
        <v>0</v>
      </c>
      <c r="AA19" s="512">
        <f t="shared" si="17"/>
        <v>446088</v>
      </c>
      <c r="AB19" s="510">
        <f>SUM(AB16,AB17)</f>
        <v>566860</v>
      </c>
      <c r="AC19" s="513">
        <f>SUM(AC16,AC17)</f>
        <v>0</v>
      </c>
      <c r="AD19" s="510">
        <f t="shared" si="17"/>
        <v>646088</v>
      </c>
      <c r="AE19" s="510">
        <f>SUM(AE16,AE17)</f>
        <v>616329</v>
      </c>
      <c r="AF19" s="511">
        <f>SUM(AF16,AF17)</f>
        <v>0</v>
      </c>
      <c r="AG19" s="512">
        <f t="shared" si="17"/>
        <v>366087</v>
      </c>
      <c r="AH19" s="510">
        <f>SUM(AH16,AH17)</f>
        <v>486413</v>
      </c>
      <c r="AI19" s="513">
        <f>SUM(AI16,AI17)</f>
        <v>0</v>
      </c>
      <c r="AJ19" s="510">
        <f t="shared" si="17"/>
        <v>416087</v>
      </c>
      <c r="AK19" s="510">
        <f>SUM(AK16,AK17)</f>
        <v>501843</v>
      </c>
      <c r="AL19" s="511">
        <f>SUM(AL16,AL17)</f>
        <v>0</v>
      </c>
      <c r="AM19" s="514">
        <f t="shared" si="17"/>
        <v>156088</v>
      </c>
      <c r="AN19" s="510">
        <f>SUM(AN16,AN17)</f>
        <v>370195</v>
      </c>
      <c r="AO19" s="509">
        <f>SUM(AO16,AO17)</f>
        <v>0</v>
      </c>
      <c r="AP19" s="479"/>
    </row>
    <row r="20" spans="1:42" s="525" customFormat="1" ht="13.5" customHeight="1" thickBot="1" x14ac:dyDescent="0.25">
      <c r="A20" s="515" t="s">
        <v>672</v>
      </c>
      <c r="B20" s="516" t="s">
        <v>673</v>
      </c>
      <c r="C20" s="517">
        <f>SUM(F20,I20,L20,O20,R20,U20,X20,AA20,AD20,AG20,AJ20,AM20)</f>
        <v>10817447</v>
      </c>
      <c r="D20" s="518">
        <f t="shared" si="0"/>
        <v>11848545</v>
      </c>
      <c r="E20" s="519">
        <f t="shared" si="0"/>
        <v>4489223</v>
      </c>
      <c r="F20" s="520">
        <f>SUM(F19,F12)</f>
        <v>1405304</v>
      </c>
      <c r="G20" s="520">
        <f>SUM(G19,G12)</f>
        <v>1251514</v>
      </c>
      <c r="H20" s="521">
        <f>SUM(H19,H12)</f>
        <v>715867</v>
      </c>
      <c r="I20" s="522">
        <f t="shared" ref="I20:AM20" si="18">SUM(I12,I19)</f>
        <v>614654</v>
      </c>
      <c r="J20" s="520">
        <f>SUM(J19,J12)</f>
        <v>458793</v>
      </c>
      <c r="K20" s="523">
        <f>SUM(K19,K12)</f>
        <v>459548</v>
      </c>
      <c r="L20" s="520">
        <f t="shared" si="18"/>
        <v>1726985</v>
      </c>
      <c r="M20" s="520">
        <f>SUM(M19,M12)</f>
        <v>1843537</v>
      </c>
      <c r="N20" s="521">
        <f>SUM(N19,N12)</f>
        <v>1845258</v>
      </c>
      <c r="O20" s="522">
        <f t="shared" si="18"/>
        <v>611375</v>
      </c>
      <c r="P20" s="520">
        <f>SUM(P19,P12)</f>
        <v>657075</v>
      </c>
      <c r="Q20" s="523">
        <f>SUM(Q19,Q12)</f>
        <v>209765</v>
      </c>
      <c r="R20" s="520">
        <f t="shared" si="18"/>
        <v>608715</v>
      </c>
      <c r="S20" s="520">
        <f>SUM(S19,S12)</f>
        <v>696332</v>
      </c>
      <c r="T20" s="521">
        <f>SUM(T19,T12)</f>
        <v>375330</v>
      </c>
      <c r="U20" s="522">
        <f t="shared" si="18"/>
        <v>618593</v>
      </c>
      <c r="V20" s="520">
        <f>SUM(V19,V12)</f>
        <v>879489</v>
      </c>
      <c r="W20" s="523">
        <f>SUM(W19,W12)</f>
        <v>883455</v>
      </c>
      <c r="X20" s="520">
        <f t="shared" si="18"/>
        <v>606714</v>
      </c>
      <c r="Y20" s="520">
        <f>SUM(Y19,Y12)</f>
        <v>757898</v>
      </c>
      <c r="Z20" s="521">
        <f>SUM(Z19,Z12)</f>
        <v>0</v>
      </c>
      <c r="AA20" s="522">
        <f t="shared" si="18"/>
        <v>609263</v>
      </c>
      <c r="AB20" s="520">
        <f>SUM(AB19,AB12)</f>
        <v>770905</v>
      </c>
      <c r="AC20" s="523">
        <f>SUM(AC19,AC12)</f>
        <v>0</v>
      </c>
      <c r="AD20" s="520">
        <f t="shared" si="18"/>
        <v>2201460</v>
      </c>
      <c r="AE20" s="520">
        <f>SUM(AE19,AE12)</f>
        <v>2105218</v>
      </c>
      <c r="AF20" s="521">
        <f>SUM(AF19,AF12)</f>
        <v>0</v>
      </c>
      <c r="AG20" s="522">
        <f t="shared" si="18"/>
        <v>605607</v>
      </c>
      <c r="AH20" s="520">
        <f>SUM(AH19,AH12)</f>
        <v>783364</v>
      </c>
      <c r="AI20" s="523">
        <f>SUM(AI19,AI12)</f>
        <v>0</v>
      </c>
      <c r="AJ20" s="520">
        <f t="shared" si="18"/>
        <v>598990</v>
      </c>
      <c r="AK20" s="520">
        <f>SUM(AK19,AK12)</f>
        <v>782703</v>
      </c>
      <c r="AL20" s="521">
        <f>SUM(AL19,AL12)</f>
        <v>0</v>
      </c>
      <c r="AM20" s="522">
        <f t="shared" si="18"/>
        <v>609787</v>
      </c>
      <c r="AN20" s="520">
        <f>SUM(AN19,AN12)</f>
        <v>861717</v>
      </c>
      <c r="AO20" s="524">
        <f>SUM(AO19,AO12)</f>
        <v>0</v>
      </c>
      <c r="AP20" s="479"/>
    </row>
    <row r="21" spans="1:42" ht="15" thickBot="1" x14ac:dyDescent="0.25">
      <c r="A21" s="526"/>
      <c r="B21" s="527" t="s">
        <v>1332</v>
      </c>
      <c r="C21" s="528"/>
      <c r="D21" s="529"/>
      <c r="E21" s="519">
        <f>SUM(H21,K21,N21,Q21,T21,W21,Z21,AC21,AF21,AI21,AL21,AO21)</f>
        <v>8330</v>
      </c>
      <c r="F21" s="530"/>
      <c r="G21" s="530"/>
      <c r="H21" s="476">
        <f>SUM(H67+H112+H157+H202+H247+H292+H337+H427)</f>
        <v>20775</v>
      </c>
      <c r="I21" s="531"/>
      <c r="J21" s="530"/>
      <c r="K21" s="478">
        <f>SUM(K67+K112+K157+K202+K247+K292+K337+K427)</f>
        <v>-2763</v>
      </c>
      <c r="L21" s="530"/>
      <c r="M21" s="530"/>
      <c r="N21" s="476">
        <f>SUM(N67+N112+N157+N202+N247+N292+N337+N427)</f>
        <v>18528</v>
      </c>
      <c r="O21" s="531"/>
      <c r="P21" s="530"/>
      <c r="Q21" s="478">
        <f>SUM(Q67+Q112+Q157+Q202+Q247+Q292+Q337+Q427)</f>
        <v>16200</v>
      </c>
      <c r="R21" s="530"/>
      <c r="S21" s="530"/>
      <c r="T21" s="476">
        <f>SUM(T67+T112+T157+T202+T247+T292+T337+T427)</f>
        <v>-91251</v>
      </c>
      <c r="U21" s="531"/>
      <c r="V21" s="530"/>
      <c r="W21" s="478">
        <f>SUM(W67+W112+W157+W202+W247+W292+W337+W427)</f>
        <v>46841</v>
      </c>
      <c r="X21" s="530"/>
      <c r="Y21" s="530"/>
      <c r="Z21" s="476">
        <f>SUM(Z67+Z112+Z157+Z202+Z247+Z292+Z337+Z427)</f>
        <v>0</v>
      </c>
      <c r="AA21" s="531"/>
      <c r="AB21" s="530"/>
      <c r="AC21" s="478">
        <f>SUM(AC67+AC112+AC157+AC202+AC247+AC292+AC337+AC427)</f>
        <v>0</v>
      </c>
      <c r="AD21" s="530"/>
      <c r="AE21" s="530"/>
      <c r="AF21" s="476">
        <f>SUM(AF67+AF112+AF157+AF202+AF247+AF292+AF337+AF427)</f>
        <v>0</v>
      </c>
      <c r="AG21" s="531"/>
      <c r="AH21" s="530"/>
      <c r="AI21" s="478">
        <f>SUM(AI67+AI112+AI157+AI202+AI247+AI292+AI337+AI427)</f>
        <v>0</v>
      </c>
      <c r="AJ21" s="530"/>
      <c r="AK21" s="532"/>
      <c r="AL21" s="476">
        <f>SUM(AL67+AL112+AL157+AL202+AL247+AL292+AL337+AL427)</f>
        <v>0</v>
      </c>
      <c r="AM21" s="531"/>
      <c r="AN21" s="532"/>
      <c r="AO21" s="533">
        <f>SUM(AO67+AO112+AO157+AO202+AO247+AO292+AO337+AO427)</f>
        <v>0</v>
      </c>
    </row>
    <row r="22" spans="1:42" ht="15" thickBot="1" x14ac:dyDescent="0.25">
      <c r="A22" s="526"/>
      <c r="B22" s="527" t="s">
        <v>1333</v>
      </c>
      <c r="C22" s="534"/>
      <c r="D22" s="535"/>
      <c r="E22" s="519">
        <f>SUM(H22,K22,N22,Q22,T22,W22,Z22,AC22,AF22,AI22,AL22,AO22)</f>
        <v>4497553</v>
      </c>
      <c r="F22" s="530"/>
      <c r="G22" s="530"/>
      <c r="H22" s="536">
        <f>SUM(H20:H21)</f>
        <v>736642</v>
      </c>
      <c r="I22" s="531"/>
      <c r="J22" s="530"/>
      <c r="K22" s="537">
        <f>SUM(K20:K21)</f>
        <v>456785</v>
      </c>
      <c r="L22" s="530"/>
      <c r="M22" s="530"/>
      <c r="N22" s="536">
        <f>SUM(N20:N21)</f>
        <v>1863786</v>
      </c>
      <c r="O22" s="531"/>
      <c r="P22" s="530"/>
      <c r="Q22" s="537">
        <f>SUM(Q20:Q21)</f>
        <v>225965</v>
      </c>
      <c r="R22" s="530"/>
      <c r="S22" s="530"/>
      <c r="T22" s="536">
        <f>SUM(T20:T21)</f>
        <v>284079</v>
      </c>
      <c r="U22" s="531"/>
      <c r="V22" s="530"/>
      <c r="W22" s="537">
        <f>SUM(W20:W21)</f>
        <v>930296</v>
      </c>
      <c r="X22" s="530"/>
      <c r="Y22" s="530"/>
      <c r="Z22" s="536">
        <f>SUM(Z20:Z21)</f>
        <v>0</v>
      </c>
      <c r="AA22" s="531"/>
      <c r="AB22" s="530"/>
      <c r="AC22" s="537">
        <f>SUM(AC20:AC21)</f>
        <v>0</v>
      </c>
      <c r="AD22" s="530"/>
      <c r="AE22" s="530"/>
      <c r="AF22" s="536">
        <f>SUM(AF20:AF21)</f>
        <v>0</v>
      </c>
      <c r="AG22" s="531"/>
      <c r="AH22" s="530"/>
      <c r="AI22" s="537">
        <f>SUM(AI20:AI21)</f>
        <v>0</v>
      </c>
      <c r="AJ22" s="530"/>
      <c r="AK22" s="532"/>
      <c r="AL22" s="536">
        <f>SUM(AL20:AL21)</f>
        <v>0</v>
      </c>
      <c r="AM22" s="531"/>
      <c r="AN22" s="532"/>
      <c r="AO22" s="524">
        <f>SUM(AO20:AO21)</f>
        <v>0</v>
      </c>
    </row>
    <row r="23" spans="1:42" s="449" customFormat="1" ht="13.5" customHeight="1" x14ac:dyDescent="0.2">
      <c r="A23" s="538"/>
      <c r="B23" s="539" t="s">
        <v>674</v>
      </c>
      <c r="C23" s="540" t="s">
        <v>633</v>
      </c>
      <c r="D23" s="541" t="s">
        <v>1326</v>
      </c>
      <c r="E23" s="542" t="s">
        <v>1327</v>
      </c>
      <c r="F23" s="1060"/>
      <c r="G23" s="1061"/>
      <c r="H23" s="1061"/>
      <c r="I23" s="1062"/>
      <c r="J23" s="1061"/>
      <c r="K23" s="1063"/>
      <c r="L23" s="1061"/>
      <c r="M23" s="1061"/>
      <c r="N23" s="1061"/>
      <c r="O23" s="1062"/>
      <c r="P23" s="1061"/>
      <c r="Q23" s="1063"/>
      <c r="R23" s="1061"/>
      <c r="S23" s="1061"/>
      <c r="T23" s="1061"/>
      <c r="U23" s="1062"/>
      <c r="V23" s="1061"/>
      <c r="W23" s="1063"/>
      <c r="X23" s="1061"/>
      <c r="Y23" s="1061"/>
      <c r="Z23" s="1061"/>
      <c r="AA23" s="1062"/>
      <c r="AB23" s="1061"/>
      <c r="AC23" s="1063"/>
      <c r="AD23" s="1061"/>
      <c r="AE23" s="1061"/>
      <c r="AF23" s="1061"/>
      <c r="AG23" s="1062"/>
      <c r="AH23" s="1061"/>
      <c r="AI23" s="1063"/>
      <c r="AJ23" s="1061"/>
      <c r="AK23" s="1061"/>
      <c r="AL23" s="1061"/>
      <c r="AM23" s="1062"/>
      <c r="AN23" s="1061"/>
      <c r="AO23" s="1064"/>
      <c r="AP23" s="446"/>
    </row>
    <row r="24" spans="1:42" ht="13.5" customHeight="1" x14ac:dyDescent="0.2">
      <c r="A24" s="457" t="s">
        <v>675</v>
      </c>
      <c r="B24" s="458" t="s">
        <v>676</v>
      </c>
      <c r="C24" s="468">
        <f t="shared" ref="C24:E40" si="19">SUM(F24,I24,L24,O24,R24,U24,X24,AA24,AD24,AG24,AJ24,AM24)</f>
        <v>1327207</v>
      </c>
      <c r="D24" s="543">
        <f t="shared" si="19"/>
        <v>1382173</v>
      </c>
      <c r="E24" s="465">
        <f t="shared" si="19"/>
        <v>655173</v>
      </c>
      <c r="F24" s="460">
        <f t="shared" ref="F24:AO24" si="20">SUM(F70,F115,F160,F205,F250,F295,F340,F385,F430)</f>
        <v>112018</v>
      </c>
      <c r="G24" s="460">
        <f t="shared" si="20"/>
        <v>84744</v>
      </c>
      <c r="H24" s="462">
        <f t="shared" si="20"/>
        <v>128934</v>
      </c>
      <c r="I24" s="463">
        <f t="shared" si="20"/>
        <v>111585</v>
      </c>
      <c r="J24" s="460">
        <f t="shared" si="20"/>
        <v>81685</v>
      </c>
      <c r="K24" s="464">
        <f t="shared" si="20"/>
        <v>94180</v>
      </c>
      <c r="L24" s="460">
        <f t="shared" si="20"/>
        <v>111039</v>
      </c>
      <c r="M24" s="460">
        <f t="shared" si="20"/>
        <v>114626</v>
      </c>
      <c r="N24" s="462">
        <f t="shared" si="20"/>
        <v>97133</v>
      </c>
      <c r="O24" s="463">
        <f t="shared" si="20"/>
        <v>110831</v>
      </c>
      <c r="P24" s="460">
        <f t="shared" si="20"/>
        <v>99890</v>
      </c>
      <c r="Q24" s="464">
        <f t="shared" si="20"/>
        <v>114447</v>
      </c>
      <c r="R24" s="460">
        <f t="shared" si="20"/>
        <v>110780</v>
      </c>
      <c r="S24" s="460">
        <f t="shared" si="20"/>
        <v>110118</v>
      </c>
      <c r="T24" s="462">
        <f t="shared" si="20"/>
        <v>115094</v>
      </c>
      <c r="U24" s="463">
        <f t="shared" si="20"/>
        <v>110499</v>
      </c>
      <c r="V24" s="460">
        <f t="shared" si="20"/>
        <v>162828</v>
      </c>
      <c r="W24" s="464">
        <f t="shared" si="20"/>
        <v>105385</v>
      </c>
      <c r="X24" s="460">
        <f t="shared" si="20"/>
        <v>111055</v>
      </c>
      <c r="Y24" s="460">
        <f t="shared" si="20"/>
        <v>121961</v>
      </c>
      <c r="Z24" s="462">
        <f t="shared" si="20"/>
        <v>0</v>
      </c>
      <c r="AA24" s="463">
        <f t="shared" si="20"/>
        <v>111827</v>
      </c>
      <c r="AB24" s="460">
        <f t="shared" si="20"/>
        <v>110908</v>
      </c>
      <c r="AC24" s="464">
        <f t="shared" si="20"/>
        <v>0</v>
      </c>
      <c r="AD24" s="460">
        <f t="shared" si="20"/>
        <v>109733</v>
      </c>
      <c r="AE24" s="460">
        <f t="shared" si="20"/>
        <v>117048</v>
      </c>
      <c r="AF24" s="462">
        <f t="shared" si="20"/>
        <v>0</v>
      </c>
      <c r="AG24" s="463">
        <f t="shared" si="20"/>
        <v>109593</v>
      </c>
      <c r="AH24" s="460">
        <f t="shared" si="20"/>
        <v>122663</v>
      </c>
      <c r="AI24" s="464">
        <f t="shared" si="20"/>
        <v>0</v>
      </c>
      <c r="AJ24" s="460">
        <f t="shared" si="20"/>
        <v>109551</v>
      </c>
      <c r="AK24" s="460">
        <f t="shared" si="20"/>
        <v>117990</v>
      </c>
      <c r="AL24" s="462">
        <f t="shared" si="20"/>
        <v>0</v>
      </c>
      <c r="AM24" s="463">
        <f t="shared" si="20"/>
        <v>108696</v>
      </c>
      <c r="AN24" s="460">
        <f t="shared" si="20"/>
        <v>137712</v>
      </c>
      <c r="AO24" s="465">
        <f t="shared" si="20"/>
        <v>0</v>
      </c>
    </row>
    <row r="25" spans="1:42" ht="13.5" customHeight="1" x14ac:dyDescent="0.2">
      <c r="A25" s="466" t="s">
        <v>677</v>
      </c>
      <c r="B25" s="467" t="s">
        <v>678</v>
      </c>
      <c r="C25" s="468">
        <f t="shared" si="19"/>
        <v>372297.58</v>
      </c>
      <c r="D25" s="469">
        <f t="shared" si="19"/>
        <v>384786</v>
      </c>
      <c r="E25" s="470">
        <f t="shared" si="19"/>
        <v>179681</v>
      </c>
      <c r="F25" s="460">
        <f t="shared" ref="F25:AO25" si="21">SUM(F71,F116,F161,F206,F251,F296,F341,F386,F431)</f>
        <v>31272</v>
      </c>
      <c r="G25" s="460">
        <f t="shared" si="21"/>
        <v>33214</v>
      </c>
      <c r="H25" s="462">
        <f t="shared" si="21"/>
        <v>34271</v>
      </c>
      <c r="I25" s="463">
        <f t="shared" si="21"/>
        <v>30904</v>
      </c>
      <c r="J25" s="460">
        <f t="shared" si="21"/>
        <v>28743</v>
      </c>
      <c r="K25" s="464">
        <f t="shared" si="21"/>
        <v>27686</v>
      </c>
      <c r="L25" s="460">
        <f t="shared" si="21"/>
        <v>32265</v>
      </c>
      <c r="M25" s="460">
        <f t="shared" si="21"/>
        <v>25827</v>
      </c>
      <c r="N25" s="462">
        <f t="shared" si="21"/>
        <v>25827</v>
      </c>
      <c r="O25" s="463">
        <f t="shared" si="21"/>
        <v>30209</v>
      </c>
      <c r="P25" s="460">
        <f t="shared" si="21"/>
        <v>32162</v>
      </c>
      <c r="Q25" s="464">
        <f t="shared" si="21"/>
        <v>32162</v>
      </c>
      <c r="R25" s="460">
        <f t="shared" si="21"/>
        <v>30642.94</v>
      </c>
      <c r="S25" s="460">
        <f t="shared" si="21"/>
        <v>31620</v>
      </c>
      <c r="T25" s="462">
        <f t="shared" si="21"/>
        <v>31620</v>
      </c>
      <c r="U25" s="463">
        <f t="shared" si="21"/>
        <v>32083.01</v>
      </c>
      <c r="V25" s="460">
        <f t="shared" si="21"/>
        <v>28115</v>
      </c>
      <c r="W25" s="464">
        <f t="shared" si="21"/>
        <v>28115</v>
      </c>
      <c r="X25" s="460">
        <f t="shared" si="21"/>
        <v>30727.81</v>
      </c>
      <c r="Y25" s="460">
        <f t="shared" si="21"/>
        <v>34654</v>
      </c>
      <c r="Z25" s="462">
        <f t="shared" si="21"/>
        <v>0</v>
      </c>
      <c r="AA25" s="463">
        <f t="shared" si="21"/>
        <v>31237.81</v>
      </c>
      <c r="AB25" s="460">
        <f t="shared" si="21"/>
        <v>33571</v>
      </c>
      <c r="AC25" s="464">
        <f t="shared" si="21"/>
        <v>0</v>
      </c>
      <c r="AD25" s="460">
        <f t="shared" si="21"/>
        <v>30400.01</v>
      </c>
      <c r="AE25" s="460">
        <f t="shared" si="21"/>
        <v>33883</v>
      </c>
      <c r="AF25" s="462">
        <f t="shared" si="21"/>
        <v>0</v>
      </c>
      <c r="AG25" s="463">
        <f t="shared" si="21"/>
        <v>31839</v>
      </c>
      <c r="AH25" s="460">
        <f t="shared" si="21"/>
        <v>34165</v>
      </c>
      <c r="AI25" s="464">
        <f t="shared" si="21"/>
        <v>0</v>
      </c>
      <c r="AJ25" s="460">
        <f t="shared" si="21"/>
        <v>30624</v>
      </c>
      <c r="AK25" s="460">
        <f t="shared" si="21"/>
        <v>34153</v>
      </c>
      <c r="AL25" s="462">
        <f t="shared" si="21"/>
        <v>0</v>
      </c>
      <c r="AM25" s="463">
        <f t="shared" si="21"/>
        <v>30093</v>
      </c>
      <c r="AN25" s="460">
        <f t="shared" si="21"/>
        <v>34679</v>
      </c>
      <c r="AO25" s="461">
        <f t="shared" si="21"/>
        <v>0</v>
      </c>
    </row>
    <row r="26" spans="1:42" ht="13.5" customHeight="1" x14ac:dyDescent="0.2">
      <c r="A26" s="466" t="s">
        <v>679</v>
      </c>
      <c r="B26" s="467" t="s">
        <v>680</v>
      </c>
      <c r="C26" s="468">
        <f t="shared" si="19"/>
        <v>1993148</v>
      </c>
      <c r="D26" s="469">
        <f t="shared" si="19"/>
        <v>2068410</v>
      </c>
      <c r="E26" s="470">
        <f t="shared" si="19"/>
        <v>969308</v>
      </c>
      <c r="F26" s="460">
        <f t="shared" ref="F26:AO26" si="22">SUM(F72,F117,F162,F207,F252,F297,F342,F387,F432)</f>
        <v>162969</v>
      </c>
      <c r="G26" s="460">
        <f t="shared" si="22"/>
        <v>138650</v>
      </c>
      <c r="H26" s="462">
        <f t="shared" si="22"/>
        <v>138650</v>
      </c>
      <c r="I26" s="463">
        <f t="shared" si="22"/>
        <v>167429</v>
      </c>
      <c r="J26" s="460">
        <f t="shared" si="22"/>
        <v>158482</v>
      </c>
      <c r="K26" s="464">
        <f t="shared" si="22"/>
        <v>158483</v>
      </c>
      <c r="L26" s="460">
        <f t="shared" si="22"/>
        <v>165959</v>
      </c>
      <c r="M26" s="460">
        <f t="shared" si="22"/>
        <v>201856</v>
      </c>
      <c r="N26" s="462">
        <f t="shared" si="22"/>
        <v>201856</v>
      </c>
      <c r="O26" s="463">
        <f t="shared" si="22"/>
        <v>169930</v>
      </c>
      <c r="P26" s="460">
        <f t="shared" si="22"/>
        <v>149147</v>
      </c>
      <c r="Q26" s="464">
        <f t="shared" si="22"/>
        <v>149148</v>
      </c>
      <c r="R26" s="460">
        <f t="shared" si="22"/>
        <v>170316</v>
      </c>
      <c r="S26" s="460">
        <f t="shared" si="22"/>
        <v>141657</v>
      </c>
      <c r="T26" s="462">
        <f t="shared" si="22"/>
        <v>141657</v>
      </c>
      <c r="U26" s="463">
        <f t="shared" si="22"/>
        <v>164945</v>
      </c>
      <c r="V26" s="460">
        <f t="shared" si="22"/>
        <v>179514</v>
      </c>
      <c r="W26" s="464">
        <f t="shared" si="22"/>
        <v>179514</v>
      </c>
      <c r="X26" s="460">
        <f t="shared" si="22"/>
        <v>162027</v>
      </c>
      <c r="Y26" s="460">
        <f t="shared" si="22"/>
        <v>183791</v>
      </c>
      <c r="Z26" s="462">
        <f t="shared" si="22"/>
        <v>0</v>
      </c>
      <c r="AA26" s="463">
        <f t="shared" si="22"/>
        <v>162272</v>
      </c>
      <c r="AB26" s="460">
        <f t="shared" si="22"/>
        <v>185221</v>
      </c>
      <c r="AC26" s="464">
        <f t="shared" si="22"/>
        <v>0</v>
      </c>
      <c r="AD26" s="460">
        <f t="shared" si="22"/>
        <v>166331</v>
      </c>
      <c r="AE26" s="460">
        <f t="shared" si="22"/>
        <v>183435</v>
      </c>
      <c r="AF26" s="462">
        <f t="shared" si="22"/>
        <v>0</v>
      </c>
      <c r="AG26" s="463">
        <f t="shared" si="22"/>
        <v>170466</v>
      </c>
      <c r="AH26" s="460">
        <f t="shared" si="22"/>
        <v>182870</v>
      </c>
      <c r="AI26" s="464">
        <f t="shared" si="22"/>
        <v>0</v>
      </c>
      <c r="AJ26" s="460">
        <f t="shared" si="22"/>
        <v>165662</v>
      </c>
      <c r="AK26" s="460">
        <f t="shared" si="22"/>
        <v>183078</v>
      </c>
      <c r="AL26" s="462">
        <f t="shared" si="22"/>
        <v>0</v>
      </c>
      <c r="AM26" s="463">
        <f t="shared" si="22"/>
        <v>164842</v>
      </c>
      <c r="AN26" s="460">
        <f t="shared" si="22"/>
        <v>180709</v>
      </c>
      <c r="AO26" s="461">
        <f t="shared" si="22"/>
        <v>0</v>
      </c>
    </row>
    <row r="27" spans="1:42" ht="13.5" customHeight="1" x14ac:dyDescent="0.2">
      <c r="A27" s="466" t="s">
        <v>681</v>
      </c>
      <c r="B27" s="467" t="s">
        <v>682</v>
      </c>
      <c r="C27" s="468">
        <f t="shared" si="19"/>
        <v>106900</v>
      </c>
      <c r="D27" s="469">
        <f t="shared" si="19"/>
        <v>110556</v>
      </c>
      <c r="E27" s="470">
        <f t="shared" si="19"/>
        <v>43308</v>
      </c>
      <c r="F27" s="460">
        <f t="shared" ref="F27:AO27" si="23">SUM(F73,F118,F163,F208,F253,F298,F343,F388,F433)</f>
        <v>15200</v>
      </c>
      <c r="G27" s="460">
        <f t="shared" si="23"/>
        <v>4606</v>
      </c>
      <c r="H27" s="462">
        <f t="shared" si="23"/>
        <v>4606</v>
      </c>
      <c r="I27" s="463">
        <f t="shared" si="23"/>
        <v>15200</v>
      </c>
      <c r="J27" s="460">
        <f t="shared" si="23"/>
        <v>7470</v>
      </c>
      <c r="K27" s="464">
        <f t="shared" si="23"/>
        <v>7470</v>
      </c>
      <c r="L27" s="460">
        <f t="shared" si="23"/>
        <v>15200</v>
      </c>
      <c r="M27" s="460">
        <f t="shared" si="23"/>
        <v>14732</v>
      </c>
      <c r="N27" s="462">
        <f t="shared" si="23"/>
        <v>14732</v>
      </c>
      <c r="O27" s="463">
        <f t="shared" si="23"/>
        <v>6812</v>
      </c>
      <c r="P27" s="460">
        <f t="shared" si="23"/>
        <v>6164</v>
      </c>
      <c r="Q27" s="464">
        <f t="shared" si="23"/>
        <v>6164</v>
      </c>
      <c r="R27" s="460">
        <f t="shared" si="23"/>
        <v>6811</v>
      </c>
      <c r="S27" s="460">
        <f t="shared" si="23"/>
        <v>4131</v>
      </c>
      <c r="T27" s="462">
        <f t="shared" si="23"/>
        <v>4131</v>
      </c>
      <c r="U27" s="463">
        <f t="shared" si="23"/>
        <v>6811</v>
      </c>
      <c r="V27" s="460">
        <f t="shared" si="23"/>
        <v>6205</v>
      </c>
      <c r="W27" s="464">
        <f t="shared" si="23"/>
        <v>6205</v>
      </c>
      <c r="X27" s="460">
        <f t="shared" si="23"/>
        <v>6811</v>
      </c>
      <c r="Y27" s="460">
        <f t="shared" si="23"/>
        <v>11208</v>
      </c>
      <c r="Z27" s="462">
        <f t="shared" si="23"/>
        <v>0</v>
      </c>
      <c r="AA27" s="463">
        <f t="shared" si="23"/>
        <v>6811</v>
      </c>
      <c r="AB27" s="460">
        <f t="shared" si="23"/>
        <v>11208</v>
      </c>
      <c r="AC27" s="464">
        <f t="shared" si="23"/>
        <v>0</v>
      </c>
      <c r="AD27" s="460">
        <f t="shared" si="23"/>
        <v>6811</v>
      </c>
      <c r="AE27" s="460">
        <f t="shared" si="23"/>
        <v>11208</v>
      </c>
      <c r="AF27" s="462">
        <f t="shared" si="23"/>
        <v>0</v>
      </c>
      <c r="AG27" s="463">
        <f t="shared" si="23"/>
        <v>6811</v>
      </c>
      <c r="AH27" s="460">
        <f t="shared" si="23"/>
        <v>11208</v>
      </c>
      <c r="AI27" s="464">
        <f t="shared" si="23"/>
        <v>0</v>
      </c>
      <c r="AJ27" s="460">
        <f t="shared" si="23"/>
        <v>6811</v>
      </c>
      <c r="AK27" s="460">
        <f t="shared" si="23"/>
        <v>11208</v>
      </c>
      <c r="AL27" s="462">
        <f t="shared" si="23"/>
        <v>0</v>
      </c>
      <c r="AM27" s="463">
        <f t="shared" si="23"/>
        <v>6811</v>
      </c>
      <c r="AN27" s="460">
        <f t="shared" si="23"/>
        <v>11208</v>
      </c>
      <c r="AO27" s="461">
        <f t="shared" si="23"/>
        <v>0</v>
      </c>
    </row>
    <row r="28" spans="1:42" ht="13.5" customHeight="1" x14ac:dyDescent="0.2">
      <c r="A28" s="466" t="s">
        <v>683</v>
      </c>
      <c r="B28" s="467" t="s">
        <v>684</v>
      </c>
      <c r="C28" s="468">
        <f t="shared" si="19"/>
        <v>464612</v>
      </c>
      <c r="D28" s="469">
        <f t="shared" si="19"/>
        <v>357126</v>
      </c>
      <c r="E28" s="470">
        <f t="shared" si="19"/>
        <v>135787</v>
      </c>
      <c r="F28" s="460">
        <f t="shared" ref="F28:AO28" si="24">SUM(F74,F119,F164,F209,F254,F299,F344,F389,F434)</f>
        <v>36461</v>
      </c>
      <c r="G28" s="460">
        <f t="shared" si="24"/>
        <v>10019</v>
      </c>
      <c r="H28" s="462">
        <f t="shared" si="24"/>
        <v>10019</v>
      </c>
      <c r="I28" s="463">
        <f t="shared" si="24"/>
        <v>36461</v>
      </c>
      <c r="J28" s="460">
        <f t="shared" si="24"/>
        <v>41800</v>
      </c>
      <c r="K28" s="464">
        <f t="shared" si="24"/>
        <v>8738</v>
      </c>
      <c r="L28" s="460">
        <f t="shared" si="24"/>
        <v>36462</v>
      </c>
      <c r="M28" s="460">
        <f t="shared" si="24"/>
        <v>36221</v>
      </c>
      <c r="N28" s="462">
        <f t="shared" si="24"/>
        <v>36221</v>
      </c>
      <c r="O28" s="463">
        <f t="shared" si="24"/>
        <v>36461</v>
      </c>
      <c r="P28" s="460">
        <f t="shared" si="24"/>
        <v>20332</v>
      </c>
      <c r="Q28" s="464">
        <f t="shared" si="24"/>
        <v>20332</v>
      </c>
      <c r="R28" s="460">
        <f t="shared" si="24"/>
        <v>36461</v>
      </c>
      <c r="S28" s="460">
        <f t="shared" si="24"/>
        <v>18793</v>
      </c>
      <c r="T28" s="462">
        <f t="shared" si="24"/>
        <v>18793</v>
      </c>
      <c r="U28" s="463">
        <f t="shared" si="24"/>
        <v>50000</v>
      </c>
      <c r="V28" s="460">
        <f t="shared" si="24"/>
        <v>41684</v>
      </c>
      <c r="W28" s="464">
        <f t="shared" si="24"/>
        <v>41684</v>
      </c>
      <c r="X28" s="460">
        <f t="shared" si="24"/>
        <v>36461</v>
      </c>
      <c r="Y28" s="460">
        <f t="shared" si="24"/>
        <v>18224</v>
      </c>
      <c r="Z28" s="462">
        <f t="shared" si="24"/>
        <v>0</v>
      </c>
      <c r="AA28" s="463">
        <f t="shared" si="24"/>
        <v>36461</v>
      </c>
      <c r="AB28" s="460">
        <f t="shared" si="24"/>
        <v>32536</v>
      </c>
      <c r="AC28" s="464">
        <f t="shared" si="24"/>
        <v>0</v>
      </c>
      <c r="AD28" s="460">
        <f t="shared" si="24"/>
        <v>36462</v>
      </c>
      <c r="AE28" s="460">
        <f t="shared" si="24"/>
        <v>34645</v>
      </c>
      <c r="AF28" s="462">
        <f t="shared" si="24"/>
        <v>0</v>
      </c>
      <c r="AG28" s="463">
        <f t="shared" si="24"/>
        <v>36461</v>
      </c>
      <c r="AH28" s="460">
        <f t="shared" si="24"/>
        <v>34646</v>
      </c>
      <c r="AI28" s="464">
        <f t="shared" si="24"/>
        <v>0</v>
      </c>
      <c r="AJ28" s="460">
        <f t="shared" si="24"/>
        <v>36461</v>
      </c>
      <c r="AK28" s="460">
        <f t="shared" si="24"/>
        <v>34145</v>
      </c>
      <c r="AL28" s="462">
        <f t="shared" si="24"/>
        <v>0</v>
      </c>
      <c r="AM28" s="463">
        <f t="shared" si="24"/>
        <v>50000</v>
      </c>
      <c r="AN28" s="460">
        <f t="shared" si="24"/>
        <v>34081</v>
      </c>
      <c r="AO28" s="461">
        <f t="shared" si="24"/>
        <v>0</v>
      </c>
    </row>
    <row r="29" spans="1:42" s="490" customFormat="1" ht="13.5" customHeight="1" x14ac:dyDescent="0.2">
      <c r="A29" s="481"/>
      <c r="B29" s="482" t="s">
        <v>685</v>
      </c>
      <c r="C29" s="483">
        <f t="shared" si="19"/>
        <v>86589</v>
      </c>
      <c r="D29" s="484">
        <f t="shared" si="19"/>
        <v>0</v>
      </c>
      <c r="E29" s="485">
        <f t="shared" si="19"/>
        <v>0</v>
      </c>
      <c r="F29" s="500">
        <f t="shared" ref="F29:AO29" si="25">SUM(F75,F120,F165,F210,F255,F300,F345,F390,F435)</f>
        <v>8659</v>
      </c>
      <c r="G29" s="500">
        <f t="shared" si="25"/>
        <v>0</v>
      </c>
      <c r="H29" s="501">
        <f t="shared" si="25"/>
        <v>0</v>
      </c>
      <c r="I29" s="502">
        <f t="shared" si="25"/>
        <v>8659</v>
      </c>
      <c r="J29" s="500">
        <f t="shared" si="25"/>
        <v>0</v>
      </c>
      <c r="K29" s="503">
        <f t="shared" si="25"/>
        <v>0</v>
      </c>
      <c r="L29" s="500">
        <f t="shared" si="25"/>
        <v>8659</v>
      </c>
      <c r="M29" s="500">
        <f t="shared" si="25"/>
        <v>0</v>
      </c>
      <c r="N29" s="501">
        <f t="shared" si="25"/>
        <v>0</v>
      </c>
      <c r="O29" s="502">
        <f t="shared" si="25"/>
        <v>8659</v>
      </c>
      <c r="P29" s="500">
        <f t="shared" si="25"/>
        <v>0</v>
      </c>
      <c r="Q29" s="503">
        <f t="shared" si="25"/>
        <v>0</v>
      </c>
      <c r="R29" s="500">
        <f t="shared" si="25"/>
        <v>8659</v>
      </c>
      <c r="S29" s="500">
        <f t="shared" si="25"/>
        <v>0</v>
      </c>
      <c r="T29" s="501">
        <f t="shared" si="25"/>
        <v>0</v>
      </c>
      <c r="U29" s="502">
        <f t="shared" si="25"/>
        <v>0</v>
      </c>
      <c r="V29" s="500">
        <f t="shared" si="25"/>
        <v>0</v>
      </c>
      <c r="W29" s="503">
        <f t="shared" si="25"/>
        <v>0</v>
      </c>
      <c r="X29" s="500">
        <f t="shared" si="25"/>
        <v>8659</v>
      </c>
      <c r="Y29" s="500">
        <f t="shared" si="25"/>
        <v>0</v>
      </c>
      <c r="Z29" s="501">
        <f t="shared" si="25"/>
        <v>0</v>
      </c>
      <c r="AA29" s="502">
        <f t="shared" si="25"/>
        <v>8659</v>
      </c>
      <c r="AB29" s="500">
        <f t="shared" si="25"/>
        <v>0</v>
      </c>
      <c r="AC29" s="503">
        <f t="shared" si="25"/>
        <v>0</v>
      </c>
      <c r="AD29" s="500">
        <f t="shared" si="25"/>
        <v>8659</v>
      </c>
      <c r="AE29" s="500">
        <f t="shared" si="25"/>
        <v>0</v>
      </c>
      <c r="AF29" s="501">
        <f t="shared" si="25"/>
        <v>0</v>
      </c>
      <c r="AG29" s="502">
        <f t="shared" si="25"/>
        <v>8659</v>
      </c>
      <c r="AH29" s="500">
        <f t="shared" si="25"/>
        <v>0</v>
      </c>
      <c r="AI29" s="503">
        <f t="shared" si="25"/>
        <v>0</v>
      </c>
      <c r="AJ29" s="500">
        <f t="shared" si="25"/>
        <v>8658</v>
      </c>
      <c r="AK29" s="500">
        <f t="shared" si="25"/>
        <v>0</v>
      </c>
      <c r="AL29" s="501">
        <f t="shared" si="25"/>
        <v>0</v>
      </c>
      <c r="AM29" s="502">
        <f t="shared" si="25"/>
        <v>0</v>
      </c>
      <c r="AN29" s="500">
        <f t="shared" si="25"/>
        <v>0</v>
      </c>
      <c r="AO29" s="504">
        <f t="shared" si="25"/>
        <v>0</v>
      </c>
      <c r="AP29" s="489"/>
    </row>
    <row r="30" spans="1:42" s="490" customFormat="1" ht="13.5" customHeight="1" x14ac:dyDescent="0.2">
      <c r="A30" s="544"/>
      <c r="B30" s="545" t="s">
        <v>686</v>
      </c>
      <c r="C30" s="483">
        <f t="shared" si="19"/>
        <v>100000</v>
      </c>
      <c r="D30" s="484">
        <f t="shared" si="19"/>
        <v>57228</v>
      </c>
      <c r="E30" s="485">
        <f t="shared" si="19"/>
        <v>0</v>
      </c>
      <c r="F30" s="500">
        <f t="shared" ref="F30:AO30" si="26">SUM(F76,F121,F166,F211,F256,F301,F346,F391,F436)</f>
        <v>0</v>
      </c>
      <c r="G30" s="500">
        <f t="shared" si="26"/>
        <v>0</v>
      </c>
      <c r="H30" s="501">
        <f t="shared" si="26"/>
        <v>0</v>
      </c>
      <c r="I30" s="502">
        <f t="shared" si="26"/>
        <v>0</v>
      </c>
      <c r="J30" s="500">
        <f t="shared" si="26"/>
        <v>0</v>
      </c>
      <c r="K30" s="503">
        <f t="shared" si="26"/>
        <v>0</v>
      </c>
      <c r="L30" s="500">
        <f t="shared" si="26"/>
        <v>0</v>
      </c>
      <c r="M30" s="500">
        <f t="shared" si="26"/>
        <v>0</v>
      </c>
      <c r="N30" s="501">
        <f t="shared" si="26"/>
        <v>0</v>
      </c>
      <c r="O30" s="502">
        <f t="shared" si="26"/>
        <v>0</v>
      </c>
      <c r="P30" s="500">
        <f t="shared" si="26"/>
        <v>0</v>
      </c>
      <c r="Q30" s="503">
        <f t="shared" si="26"/>
        <v>0</v>
      </c>
      <c r="R30" s="500">
        <f t="shared" si="26"/>
        <v>0</v>
      </c>
      <c r="S30" s="500">
        <f t="shared" si="26"/>
        <v>0</v>
      </c>
      <c r="T30" s="501">
        <f t="shared" si="26"/>
        <v>0</v>
      </c>
      <c r="U30" s="502">
        <f t="shared" si="26"/>
        <v>50000</v>
      </c>
      <c r="V30" s="500">
        <f t="shared" si="26"/>
        <v>0</v>
      </c>
      <c r="W30" s="503">
        <f t="shared" si="26"/>
        <v>0</v>
      </c>
      <c r="X30" s="500">
        <f t="shared" si="26"/>
        <v>0</v>
      </c>
      <c r="Y30" s="500">
        <f t="shared" si="26"/>
        <v>9538</v>
      </c>
      <c r="Z30" s="501">
        <f t="shared" si="26"/>
        <v>0</v>
      </c>
      <c r="AA30" s="502">
        <f t="shared" si="26"/>
        <v>0</v>
      </c>
      <c r="AB30" s="500">
        <f t="shared" si="26"/>
        <v>9538</v>
      </c>
      <c r="AC30" s="503">
        <f t="shared" si="26"/>
        <v>0</v>
      </c>
      <c r="AD30" s="500">
        <f t="shared" si="26"/>
        <v>0</v>
      </c>
      <c r="AE30" s="500">
        <f t="shared" si="26"/>
        <v>9538</v>
      </c>
      <c r="AF30" s="501">
        <f t="shared" si="26"/>
        <v>0</v>
      </c>
      <c r="AG30" s="502">
        <f t="shared" si="26"/>
        <v>0</v>
      </c>
      <c r="AH30" s="500">
        <f t="shared" si="26"/>
        <v>9538</v>
      </c>
      <c r="AI30" s="503">
        <f t="shared" si="26"/>
        <v>0</v>
      </c>
      <c r="AJ30" s="500">
        <f t="shared" si="26"/>
        <v>0</v>
      </c>
      <c r="AK30" s="500">
        <f t="shared" si="26"/>
        <v>9538</v>
      </c>
      <c r="AL30" s="501">
        <f t="shared" si="26"/>
        <v>0</v>
      </c>
      <c r="AM30" s="502">
        <f t="shared" si="26"/>
        <v>50000</v>
      </c>
      <c r="AN30" s="500">
        <f t="shared" si="26"/>
        <v>9538</v>
      </c>
      <c r="AO30" s="504">
        <f t="shared" si="26"/>
        <v>0</v>
      </c>
      <c r="AP30" s="489"/>
    </row>
    <row r="31" spans="1:42" s="480" customFormat="1" ht="13.5" customHeight="1" x14ac:dyDescent="0.2">
      <c r="A31" s="471" t="s">
        <v>654</v>
      </c>
      <c r="B31" s="472" t="s">
        <v>687</v>
      </c>
      <c r="C31" s="473">
        <f t="shared" si="19"/>
        <v>4264164.58</v>
      </c>
      <c r="D31" s="474">
        <f t="shared" si="19"/>
        <v>4303051</v>
      </c>
      <c r="E31" s="475">
        <f t="shared" si="19"/>
        <v>1983257</v>
      </c>
      <c r="F31" s="476">
        <f>SUM(F24:F28)</f>
        <v>357920</v>
      </c>
      <c r="G31" s="476">
        <f>SUM(G24:G28)</f>
        <v>271233</v>
      </c>
      <c r="H31" s="476">
        <f>SUM(H24:H28)</f>
        <v>316480</v>
      </c>
      <c r="I31" s="546">
        <f t="shared" ref="I31:AM31" si="27">SUM(I24:I28)</f>
        <v>361579</v>
      </c>
      <c r="J31" s="476">
        <f>SUM(J24:J28)</f>
        <v>318180</v>
      </c>
      <c r="K31" s="478">
        <f>SUM(K24:K28)</f>
        <v>296557</v>
      </c>
      <c r="L31" s="476">
        <f t="shared" si="27"/>
        <v>360925</v>
      </c>
      <c r="M31" s="476">
        <f>SUM(M24:M28)</f>
        <v>393262</v>
      </c>
      <c r="N31" s="476">
        <f>SUM(N24:N28)</f>
        <v>375769</v>
      </c>
      <c r="O31" s="546">
        <f t="shared" si="27"/>
        <v>354243</v>
      </c>
      <c r="P31" s="476">
        <f>SUM(P24:P28)</f>
        <v>307695</v>
      </c>
      <c r="Q31" s="478">
        <f>SUM(Q24:Q28)</f>
        <v>322253</v>
      </c>
      <c r="R31" s="476">
        <f t="shared" si="27"/>
        <v>355010.94</v>
      </c>
      <c r="S31" s="476">
        <f>SUM(S24:S28)</f>
        <v>306319</v>
      </c>
      <c r="T31" s="476">
        <f>SUM(T24:T28)</f>
        <v>311295</v>
      </c>
      <c r="U31" s="546">
        <f t="shared" si="27"/>
        <v>364338.01</v>
      </c>
      <c r="V31" s="476">
        <f>SUM(V24:V28)</f>
        <v>418346</v>
      </c>
      <c r="W31" s="478">
        <f>SUM(W24:W28)</f>
        <v>360903</v>
      </c>
      <c r="X31" s="476">
        <f t="shared" si="27"/>
        <v>347081.81</v>
      </c>
      <c r="Y31" s="476">
        <f>SUM(Y24:Y28)</f>
        <v>369838</v>
      </c>
      <c r="Z31" s="476">
        <f>SUM(Z24:Z28)</f>
        <v>0</v>
      </c>
      <c r="AA31" s="546">
        <f t="shared" si="27"/>
        <v>348608.81</v>
      </c>
      <c r="AB31" s="476">
        <f>SUM(AB24:AB28)</f>
        <v>373444</v>
      </c>
      <c r="AC31" s="478">
        <f>SUM(AC24:AC28)</f>
        <v>0</v>
      </c>
      <c r="AD31" s="476">
        <f t="shared" si="27"/>
        <v>349737.01</v>
      </c>
      <c r="AE31" s="476">
        <f>SUM(AE24:AE28)</f>
        <v>380219</v>
      </c>
      <c r="AF31" s="476">
        <f>SUM(AF24:AF28)</f>
        <v>0</v>
      </c>
      <c r="AG31" s="546">
        <f t="shared" si="27"/>
        <v>355170</v>
      </c>
      <c r="AH31" s="476">
        <f>SUM(AH24:AH28)</f>
        <v>385552</v>
      </c>
      <c r="AI31" s="478">
        <f>SUM(AI24:AI28)</f>
        <v>0</v>
      </c>
      <c r="AJ31" s="476">
        <f t="shared" si="27"/>
        <v>349109</v>
      </c>
      <c r="AK31" s="476">
        <f>SUM(AK24:AK28)</f>
        <v>380574</v>
      </c>
      <c r="AL31" s="476">
        <f>SUM(AL24:AL28)</f>
        <v>0</v>
      </c>
      <c r="AM31" s="477">
        <f t="shared" si="27"/>
        <v>360442</v>
      </c>
      <c r="AN31" s="476">
        <f>SUM(AN24:AN28)</f>
        <v>398389</v>
      </c>
      <c r="AO31" s="547">
        <f>SUM(AO24:AO28)</f>
        <v>0</v>
      </c>
      <c r="AP31" s="479"/>
    </row>
    <row r="32" spans="1:42" s="480" customFormat="1" ht="13.5" customHeight="1" x14ac:dyDescent="0.2">
      <c r="A32" s="471" t="s">
        <v>688</v>
      </c>
      <c r="B32" s="472" t="s">
        <v>689</v>
      </c>
      <c r="C32" s="473">
        <f t="shared" si="19"/>
        <v>3491458</v>
      </c>
      <c r="D32" s="474">
        <f t="shared" si="19"/>
        <v>3791458</v>
      </c>
      <c r="E32" s="475">
        <f t="shared" si="19"/>
        <v>781458</v>
      </c>
      <c r="F32" s="469">
        <f t="shared" ref="F32:AO32" si="28">SUM(F78,F123,F168,F213,F258,F303,F348,F400,F438,-F101,F102,-F146,F147,-F191,F192,-F236,F237,-F281,F282,-F326,F327,-F371,F372,-F416,F417)</f>
        <v>781458</v>
      </c>
      <c r="G32" s="469">
        <f t="shared" si="28"/>
        <v>781458</v>
      </c>
      <c r="H32" s="548">
        <f t="shared" si="28"/>
        <v>781458</v>
      </c>
      <c r="I32" s="549">
        <f t="shared" si="28"/>
        <v>0</v>
      </c>
      <c r="J32" s="469">
        <f t="shared" si="28"/>
        <v>0</v>
      </c>
      <c r="K32" s="550">
        <f t="shared" si="28"/>
        <v>0</v>
      </c>
      <c r="L32" s="469">
        <f t="shared" si="28"/>
        <v>1110000</v>
      </c>
      <c r="M32" s="469">
        <f t="shared" si="28"/>
        <v>1205626</v>
      </c>
      <c r="N32" s="548">
        <f t="shared" si="28"/>
        <v>0</v>
      </c>
      <c r="O32" s="549">
        <f t="shared" si="28"/>
        <v>0</v>
      </c>
      <c r="P32" s="469">
        <f t="shared" si="28"/>
        <v>47987</v>
      </c>
      <c r="Q32" s="550">
        <f t="shared" si="28"/>
        <v>0</v>
      </c>
      <c r="R32" s="469">
        <f t="shared" si="28"/>
        <v>0</v>
      </c>
      <c r="S32" s="469">
        <f t="shared" si="28"/>
        <v>0</v>
      </c>
      <c r="T32" s="548">
        <f t="shared" si="28"/>
        <v>0</v>
      </c>
      <c r="U32" s="549">
        <f t="shared" si="28"/>
        <v>0</v>
      </c>
      <c r="V32" s="469">
        <f t="shared" si="28"/>
        <v>316231</v>
      </c>
      <c r="W32" s="550">
        <f t="shared" si="28"/>
        <v>0</v>
      </c>
      <c r="X32" s="469">
        <f t="shared" si="28"/>
        <v>0</v>
      </c>
      <c r="Y32" s="469">
        <f t="shared" si="28"/>
        <v>0</v>
      </c>
      <c r="Z32" s="548">
        <f t="shared" si="28"/>
        <v>0</v>
      </c>
      <c r="AA32" s="549">
        <f t="shared" si="28"/>
        <v>0</v>
      </c>
      <c r="AB32" s="469">
        <f t="shared" si="28"/>
        <v>12545</v>
      </c>
      <c r="AC32" s="550">
        <f t="shared" si="28"/>
        <v>0</v>
      </c>
      <c r="AD32" s="469">
        <f t="shared" si="28"/>
        <v>1600000</v>
      </c>
      <c r="AE32" s="469">
        <f t="shared" si="28"/>
        <v>1338058</v>
      </c>
      <c r="AF32" s="548">
        <f t="shared" si="28"/>
        <v>0</v>
      </c>
      <c r="AG32" s="549">
        <f t="shared" si="28"/>
        <v>0</v>
      </c>
      <c r="AH32" s="469">
        <f t="shared" si="28"/>
        <v>10095</v>
      </c>
      <c r="AI32" s="550">
        <f t="shared" si="28"/>
        <v>0</v>
      </c>
      <c r="AJ32" s="469">
        <f t="shared" si="28"/>
        <v>0</v>
      </c>
      <c r="AK32" s="469">
        <f t="shared" si="28"/>
        <v>22201</v>
      </c>
      <c r="AL32" s="548">
        <f t="shared" si="28"/>
        <v>0</v>
      </c>
      <c r="AM32" s="549">
        <f t="shared" si="28"/>
        <v>0</v>
      </c>
      <c r="AN32" s="469">
        <f t="shared" si="28"/>
        <v>57257</v>
      </c>
      <c r="AO32" s="551">
        <f t="shared" si="28"/>
        <v>0</v>
      </c>
      <c r="AP32" s="479"/>
    </row>
    <row r="33" spans="1:42" s="480" customFormat="1" ht="13.5" customHeight="1" x14ac:dyDescent="0.2">
      <c r="A33" s="493" t="s">
        <v>660</v>
      </c>
      <c r="B33" s="494" t="s">
        <v>690</v>
      </c>
      <c r="C33" s="473">
        <f t="shared" si="19"/>
        <v>7755622.5799999991</v>
      </c>
      <c r="D33" s="474">
        <f t="shared" si="19"/>
        <v>8094509</v>
      </c>
      <c r="E33" s="475">
        <f t="shared" si="19"/>
        <v>2764715</v>
      </c>
      <c r="F33" s="495">
        <f>SUM(F31,F32)</f>
        <v>1139378</v>
      </c>
      <c r="G33" s="495">
        <f>SUM(G31,G32)</f>
        <v>1052691</v>
      </c>
      <c r="H33" s="496">
        <f>SUM(H31,H32)</f>
        <v>1097938</v>
      </c>
      <c r="I33" s="497">
        <f t="shared" ref="I33:AM33" si="29">SUM(I31,I32)</f>
        <v>361579</v>
      </c>
      <c r="J33" s="495">
        <f>SUM(J31,J32)</f>
        <v>318180</v>
      </c>
      <c r="K33" s="498">
        <f>SUM(K31,K32)</f>
        <v>296557</v>
      </c>
      <c r="L33" s="495">
        <f t="shared" si="29"/>
        <v>1470925</v>
      </c>
      <c r="M33" s="495">
        <f>SUM(M31,M32)</f>
        <v>1598888</v>
      </c>
      <c r="N33" s="496">
        <f>SUM(N31,N32)</f>
        <v>375769</v>
      </c>
      <c r="O33" s="497">
        <f t="shared" si="29"/>
        <v>354243</v>
      </c>
      <c r="P33" s="495">
        <f>SUM(P31,P32)</f>
        <v>355682</v>
      </c>
      <c r="Q33" s="498">
        <f>SUM(Q31,Q32)</f>
        <v>322253</v>
      </c>
      <c r="R33" s="495">
        <f t="shared" si="29"/>
        <v>355010.94</v>
      </c>
      <c r="S33" s="495">
        <f>SUM(S31,S32)</f>
        <v>306319</v>
      </c>
      <c r="T33" s="496">
        <f>SUM(T31,T32)</f>
        <v>311295</v>
      </c>
      <c r="U33" s="497">
        <f t="shared" si="29"/>
        <v>364338.01</v>
      </c>
      <c r="V33" s="495">
        <f>SUM(V31,V32)</f>
        <v>734577</v>
      </c>
      <c r="W33" s="498">
        <f>SUM(W31,W32)</f>
        <v>360903</v>
      </c>
      <c r="X33" s="495">
        <f t="shared" si="29"/>
        <v>347081.81</v>
      </c>
      <c r="Y33" s="495">
        <f>SUM(Y31,Y32)</f>
        <v>369838</v>
      </c>
      <c r="Z33" s="496">
        <f>SUM(Z31,Z32)</f>
        <v>0</v>
      </c>
      <c r="AA33" s="497">
        <f t="shared" si="29"/>
        <v>348608.81</v>
      </c>
      <c r="AB33" s="495">
        <f>SUM(AB31,AB32)</f>
        <v>385989</v>
      </c>
      <c r="AC33" s="498">
        <f>SUM(AC31,AC32)</f>
        <v>0</v>
      </c>
      <c r="AD33" s="495">
        <f t="shared" si="29"/>
        <v>1949737.01</v>
      </c>
      <c r="AE33" s="495">
        <f>SUM(AE31,AE32)</f>
        <v>1718277</v>
      </c>
      <c r="AF33" s="496">
        <f>SUM(AF31,AF32)</f>
        <v>0</v>
      </c>
      <c r="AG33" s="497">
        <f t="shared" si="29"/>
        <v>355170</v>
      </c>
      <c r="AH33" s="495">
        <f>SUM(AH31,AH32)</f>
        <v>395647</v>
      </c>
      <c r="AI33" s="498">
        <f>SUM(AI31,AI32)</f>
        <v>0</v>
      </c>
      <c r="AJ33" s="495">
        <f t="shared" si="29"/>
        <v>349109</v>
      </c>
      <c r="AK33" s="495">
        <f>SUM(AK31,AK32)</f>
        <v>402775</v>
      </c>
      <c r="AL33" s="496">
        <f>SUM(AL31,AL32)</f>
        <v>0</v>
      </c>
      <c r="AM33" s="497">
        <f t="shared" si="29"/>
        <v>360442</v>
      </c>
      <c r="AN33" s="495">
        <f>SUM(AN31,AN32)</f>
        <v>455646</v>
      </c>
      <c r="AO33" s="552">
        <f>SUM(AO31,AO32)</f>
        <v>0</v>
      </c>
      <c r="AP33" s="479"/>
    </row>
    <row r="34" spans="1:42" ht="13.5" customHeight="1" x14ac:dyDescent="0.2">
      <c r="A34" s="466" t="s">
        <v>691</v>
      </c>
      <c r="B34" s="467" t="s">
        <v>692</v>
      </c>
      <c r="C34" s="468">
        <f t="shared" si="19"/>
        <v>2441291</v>
      </c>
      <c r="D34" s="469">
        <f t="shared" si="19"/>
        <v>3360391</v>
      </c>
      <c r="E34" s="470">
        <f t="shared" si="19"/>
        <v>1396561</v>
      </c>
      <c r="F34" s="460">
        <f t="shared" ref="F34:AO34" si="30">SUM(F80,F125,F170,F215,F260,F305,F350,F395,F440)</f>
        <v>203442</v>
      </c>
      <c r="G34" s="460">
        <f t="shared" si="30"/>
        <v>198165</v>
      </c>
      <c r="H34" s="462">
        <f t="shared" si="30"/>
        <v>198165</v>
      </c>
      <c r="I34" s="463">
        <f t="shared" si="30"/>
        <v>201323</v>
      </c>
      <c r="J34" s="460">
        <f t="shared" si="30"/>
        <v>138699</v>
      </c>
      <c r="K34" s="464">
        <f t="shared" si="30"/>
        <v>138699</v>
      </c>
      <c r="L34" s="460">
        <f t="shared" si="30"/>
        <v>205880</v>
      </c>
      <c r="M34" s="460">
        <f t="shared" si="30"/>
        <v>239543</v>
      </c>
      <c r="N34" s="462">
        <f t="shared" si="30"/>
        <v>239543</v>
      </c>
      <c r="O34" s="463">
        <f t="shared" si="30"/>
        <v>203428</v>
      </c>
      <c r="P34" s="460">
        <f t="shared" si="30"/>
        <v>300351</v>
      </c>
      <c r="Q34" s="464">
        <f t="shared" si="30"/>
        <v>300351</v>
      </c>
      <c r="R34" s="460">
        <f t="shared" si="30"/>
        <v>203651</v>
      </c>
      <c r="S34" s="460">
        <f t="shared" si="30"/>
        <v>390013</v>
      </c>
      <c r="T34" s="462">
        <f t="shared" si="30"/>
        <v>390013</v>
      </c>
      <c r="U34" s="463">
        <f t="shared" si="30"/>
        <v>204202</v>
      </c>
      <c r="V34" s="460">
        <f t="shared" si="30"/>
        <v>129790</v>
      </c>
      <c r="W34" s="464">
        <f t="shared" si="30"/>
        <v>129790</v>
      </c>
      <c r="X34" s="460">
        <f t="shared" si="30"/>
        <v>208309</v>
      </c>
      <c r="Y34" s="460">
        <f t="shared" si="30"/>
        <v>329960</v>
      </c>
      <c r="Z34" s="462">
        <f t="shared" si="30"/>
        <v>0</v>
      </c>
      <c r="AA34" s="463">
        <f t="shared" si="30"/>
        <v>209883</v>
      </c>
      <c r="AB34" s="460">
        <f t="shared" si="30"/>
        <v>329198</v>
      </c>
      <c r="AC34" s="464">
        <f t="shared" si="30"/>
        <v>0</v>
      </c>
      <c r="AD34" s="460">
        <f t="shared" si="30"/>
        <v>201669</v>
      </c>
      <c r="AE34" s="460">
        <f t="shared" si="30"/>
        <v>328799</v>
      </c>
      <c r="AF34" s="462">
        <f t="shared" si="30"/>
        <v>0</v>
      </c>
      <c r="AG34" s="463">
        <f t="shared" si="30"/>
        <v>200384</v>
      </c>
      <c r="AH34" s="460">
        <f t="shared" si="30"/>
        <v>327096</v>
      </c>
      <c r="AI34" s="464">
        <f t="shared" si="30"/>
        <v>0</v>
      </c>
      <c r="AJ34" s="460">
        <f t="shared" si="30"/>
        <v>199828</v>
      </c>
      <c r="AK34" s="460">
        <f t="shared" si="30"/>
        <v>324728</v>
      </c>
      <c r="AL34" s="462">
        <f t="shared" si="30"/>
        <v>0</v>
      </c>
      <c r="AM34" s="463">
        <f t="shared" si="30"/>
        <v>199292</v>
      </c>
      <c r="AN34" s="460">
        <f t="shared" si="30"/>
        <v>324049</v>
      </c>
      <c r="AO34" s="461">
        <f t="shared" si="30"/>
        <v>0</v>
      </c>
    </row>
    <row r="35" spans="1:42" ht="13.5" customHeight="1" x14ac:dyDescent="0.2">
      <c r="A35" s="466" t="s">
        <v>693</v>
      </c>
      <c r="B35" s="467" t="s">
        <v>694</v>
      </c>
      <c r="C35" s="468">
        <f t="shared" si="19"/>
        <v>196404</v>
      </c>
      <c r="D35" s="469">
        <f t="shared" si="19"/>
        <v>200196</v>
      </c>
      <c r="E35" s="470">
        <f t="shared" si="19"/>
        <v>21842</v>
      </c>
      <c r="F35" s="460">
        <f t="shared" ref="F35:AO35" si="31">SUM(F81,F126,F171,F216,F261,F306,F351,F396,F441)</f>
        <v>27140</v>
      </c>
      <c r="G35" s="460">
        <f t="shared" si="31"/>
        <v>658</v>
      </c>
      <c r="H35" s="462">
        <f t="shared" si="31"/>
        <v>658</v>
      </c>
      <c r="I35" s="463">
        <f t="shared" si="31"/>
        <v>16408</v>
      </c>
      <c r="J35" s="460">
        <f t="shared" si="31"/>
        <v>1914</v>
      </c>
      <c r="K35" s="464">
        <f t="shared" si="31"/>
        <v>1914</v>
      </c>
      <c r="L35" s="460">
        <f t="shared" si="31"/>
        <v>14836</v>
      </c>
      <c r="M35" s="460">
        <f t="shared" si="31"/>
        <v>5106</v>
      </c>
      <c r="N35" s="462">
        <f t="shared" si="31"/>
        <v>5106</v>
      </c>
      <c r="O35" s="463">
        <f t="shared" si="31"/>
        <v>18360</v>
      </c>
      <c r="P35" s="460">
        <f t="shared" si="31"/>
        <v>1042</v>
      </c>
      <c r="Q35" s="464">
        <f t="shared" si="31"/>
        <v>1042</v>
      </c>
      <c r="R35" s="460">
        <f t="shared" si="31"/>
        <v>14709</v>
      </c>
      <c r="S35" s="460">
        <f t="shared" si="31"/>
        <v>0</v>
      </c>
      <c r="T35" s="462">
        <f t="shared" si="31"/>
        <v>0</v>
      </c>
      <c r="U35" s="463">
        <f t="shared" si="31"/>
        <v>14709</v>
      </c>
      <c r="V35" s="460">
        <f t="shared" si="31"/>
        <v>13122</v>
      </c>
      <c r="W35" s="464">
        <f t="shared" si="31"/>
        <v>13122</v>
      </c>
      <c r="X35" s="460">
        <f t="shared" si="31"/>
        <v>15979</v>
      </c>
      <c r="Y35" s="460">
        <f t="shared" si="31"/>
        <v>36083</v>
      </c>
      <c r="Z35" s="462">
        <f t="shared" si="31"/>
        <v>0</v>
      </c>
      <c r="AA35" s="463">
        <f t="shared" si="31"/>
        <v>15427</v>
      </c>
      <c r="AB35" s="460">
        <f t="shared" si="31"/>
        <v>28280</v>
      </c>
      <c r="AC35" s="464">
        <f t="shared" si="31"/>
        <v>0</v>
      </c>
      <c r="AD35" s="460">
        <f t="shared" si="31"/>
        <v>14709</v>
      </c>
      <c r="AE35" s="460">
        <f t="shared" si="31"/>
        <v>30704</v>
      </c>
      <c r="AF35" s="462">
        <f t="shared" si="31"/>
        <v>0</v>
      </c>
      <c r="AG35" s="463">
        <f t="shared" si="31"/>
        <v>14709</v>
      </c>
      <c r="AH35" s="460">
        <f t="shared" si="31"/>
        <v>27762</v>
      </c>
      <c r="AI35" s="464">
        <f t="shared" si="31"/>
        <v>0</v>
      </c>
      <c r="AJ35" s="460">
        <f t="shared" si="31"/>
        <v>14709</v>
      </c>
      <c r="AK35" s="460">
        <f t="shared" si="31"/>
        <v>27762</v>
      </c>
      <c r="AL35" s="462">
        <f t="shared" si="31"/>
        <v>0</v>
      </c>
      <c r="AM35" s="463">
        <f t="shared" si="31"/>
        <v>14709</v>
      </c>
      <c r="AN35" s="460">
        <f t="shared" si="31"/>
        <v>27763</v>
      </c>
      <c r="AO35" s="461">
        <f t="shared" si="31"/>
        <v>0</v>
      </c>
    </row>
    <row r="36" spans="1:42" ht="13.5" customHeight="1" x14ac:dyDescent="0.2">
      <c r="A36" s="553" t="s">
        <v>695</v>
      </c>
      <c r="B36" s="554" t="s">
        <v>696</v>
      </c>
      <c r="C36" s="468">
        <f t="shared" si="19"/>
        <v>160924</v>
      </c>
      <c r="D36" s="469">
        <f t="shared" si="19"/>
        <v>160924</v>
      </c>
      <c r="E36" s="470">
        <f t="shared" si="19"/>
        <v>2000</v>
      </c>
      <c r="F36" s="460">
        <f t="shared" ref="F36:AO36" si="32">SUM(F82,F127,F172,F217,F262,F307,F352,F397,F442)</f>
        <v>13410</v>
      </c>
      <c r="G36" s="460">
        <f t="shared" si="32"/>
        <v>0</v>
      </c>
      <c r="H36" s="462">
        <f t="shared" si="32"/>
        <v>0</v>
      </c>
      <c r="I36" s="463">
        <f t="shared" si="32"/>
        <v>13410</v>
      </c>
      <c r="J36" s="460">
        <f t="shared" si="32"/>
        <v>0</v>
      </c>
      <c r="K36" s="464">
        <f t="shared" si="32"/>
        <v>0</v>
      </c>
      <c r="L36" s="460">
        <f t="shared" si="32"/>
        <v>13411</v>
      </c>
      <c r="M36" s="460">
        <f t="shared" si="32"/>
        <v>0</v>
      </c>
      <c r="N36" s="462">
        <f t="shared" si="32"/>
        <v>0</v>
      </c>
      <c r="O36" s="463">
        <f t="shared" si="32"/>
        <v>13410</v>
      </c>
      <c r="P36" s="460">
        <f t="shared" si="32"/>
        <v>0</v>
      </c>
      <c r="Q36" s="464">
        <f t="shared" si="32"/>
        <v>0</v>
      </c>
      <c r="R36" s="460">
        <f t="shared" si="32"/>
        <v>13410</v>
      </c>
      <c r="S36" s="460">
        <f t="shared" si="32"/>
        <v>0</v>
      </c>
      <c r="T36" s="462">
        <f t="shared" si="32"/>
        <v>0</v>
      </c>
      <c r="U36" s="463">
        <f t="shared" si="32"/>
        <v>13411</v>
      </c>
      <c r="V36" s="460">
        <f t="shared" si="32"/>
        <v>2000</v>
      </c>
      <c r="W36" s="464">
        <f t="shared" si="32"/>
        <v>2000</v>
      </c>
      <c r="X36" s="460">
        <f t="shared" si="32"/>
        <v>13410</v>
      </c>
      <c r="Y36" s="460">
        <f t="shared" si="32"/>
        <v>22017</v>
      </c>
      <c r="Z36" s="462">
        <f t="shared" si="32"/>
        <v>0</v>
      </c>
      <c r="AA36" s="463">
        <f t="shared" si="32"/>
        <v>13410</v>
      </c>
      <c r="AB36" s="460">
        <f t="shared" si="32"/>
        <v>22017</v>
      </c>
      <c r="AC36" s="464">
        <f t="shared" si="32"/>
        <v>0</v>
      </c>
      <c r="AD36" s="460">
        <f t="shared" si="32"/>
        <v>13411</v>
      </c>
      <c r="AE36" s="460">
        <f t="shared" si="32"/>
        <v>22017</v>
      </c>
      <c r="AF36" s="462">
        <f t="shared" si="32"/>
        <v>0</v>
      </c>
      <c r="AG36" s="463">
        <f t="shared" si="32"/>
        <v>13410</v>
      </c>
      <c r="AH36" s="460">
        <f t="shared" si="32"/>
        <v>22018</v>
      </c>
      <c r="AI36" s="464">
        <f t="shared" si="32"/>
        <v>0</v>
      </c>
      <c r="AJ36" s="460">
        <f t="shared" si="32"/>
        <v>13410</v>
      </c>
      <c r="AK36" s="460">
        <f t="shared" si="32"/>
        <v>22017</v>
      </c>
      <c r="AL36" s="462">
        <f t="shared" si="32"/>
        <v>0</v>
      </c>
      <c r="AM36" s="463">
        <f t="shared" si="32"/>
        <v>13411</v>
      </c>
      <c r="AN36" s="460">
        <f t="shared" si="32"/>
        <v>48838</v>
      </c>
      <c r="AO36" s="461">
        <f t="shared" si="32"/>
        <v>0</v>
      </c>
    </row>
    <row r="37" spans="1:42" s="480" customFormat="1" ht="13.5" customHeight="1" x14ac:dyDescent="0.2">
      <c r="A37" s="471" t="s">
        <v>667</v>
      </c>
      <c r="B37" s="472" t="s">
        <v>697</v>
      </c>
      <c r="C37" s="473">
        <f t="shared" si="19"/>
        <v>2798619</v>
      </c>
      <c r="D37" s="474">
        <f t="shared" si="19"/>
        <v>3721511</v>
      </c>
      <c r="E37" s="475">
        <f t="shared" si="19"/>
        <v>1420403</v>
      </c>
      <c r="F37" s="474">
        <f>SUM(F34:F36)</f>
        <v>243992</v>
      </c>
      <c r="G37" s="474">
        <f>SUM(G34:G36)</f>
        <v>198823</v>
      </c>
      <c r="H37" s="476">
        <f>SUM(H34:H36)</f>
        <v>198823</v>
      </c>
      <c r="I37" s="477">
        <f t="shared" ref="I37:AM37" si="33">SUM(I34:I36)</f>
        <v>231141</v>
      </c>
      <c r="J37" s="474">
        <f>SUM(J34:J36)</f>
        <v>140613</v>
      </c>
      <c r="K37" s="478">
        <f>SUM(K34:K36)</f>
        <v>140613</v>
      </c>
      <c r="L37" s="474">
        <f t="shared" si="33"/>
        <v>234127</v>
      </c>
      <c r="M37" s="474">
        <f>SUM(M34:M36)</f>
        <v>244649</v>
      </c>
      <c r="N37" s="476">
        <f>SUM(N34:N36)</f>
        <v>244649</v>
      </c>
      <c r="O37" s="477">
        <f t="shared" si="33"/>
        <v>235198</v>
      </c>
      <c r="P37" s="474">
        <f>SUM(P34:P36)</f>
        <v>301393</v>
      </c>
      <c r="Q37" s="478">
        <f>SUM(Q34:Q36)</f>
        <v>301393</v>
      </c>
      <c r="R37" s="474">
        <f t="shared" si="33"/>
        <v>231770</v>
      </c>
      <c r="S37" s="474">
        <f>SUM(S34:S36)</f>
        <v>390013</v>
      </c>
      <c r="T37" s="476">
        <f>SUM(T34:T36)</f>
        <v>390013</v>
      </c>
      <c r="U37" s="477">
        <f t="shared" si="33"/>
        <v>232322</v>
      </c>
      <c r="V37" s="474">
        <f>SUM(V34:V36)</f>
        <v>144912</v>
      </c>
      <c r="W37" s="478">
        <f>SUM(W34:W36)</f>
        <v>144912</v>
      </c>
      <c r="X37" s="474">
        <f t="shared" si="33"/>
        <v>237698</v>
      </c>
      <c r="Y37" s="474">
        <f>SUM(Y34:Y36)</f>
        <v>388060</v>
      </c>
      <c r="Z37" s="476">
        <f>SUM(Z34:Z36)</f>
        <v>0</v>
      </c>
      <c r="AA37" s="477">
        <f t="shared" si="33"/>
        <v>238720</v>
      </c>
      <c r="AB37" s="474">
        <f>SUM(AB34:AB36)</f>
        <v>379495</v>
      </c>
      <c r="AC37" s="478">
        <f>SUM(AC34:AC36)</f>
        <v>0</v>
      </c>
      <c r="AD37" s="474">
        <f t="shared" si="33"/>
        <v>229789</v>
      </c>
      <c r="AE37" s="474">
        <f>SUM(AE34:AE36)</f>
        <v>381520</v>
      </c>
      <c r="AF37" s="476">
        <f>SUM(AF34:AF36)</f>
        <v>0</v>
      </c>
      <c r="AG37" s="477">
        <f t="shared" si="33"/>
        <v>228503</v>
      </c>
      <c r="AH37" s="474">
        <f>SUM(AH34:AH36)</f>
        <v>376876</v>
      </c>
      <c r="AI37" s="478">
        <f>SUM(AI34:AI36)</f>
        <v>0</v>
      </c>
      <c r="AJ37" s="474">
        <f t="shared" si="33"/>
        <v>227947</v>
      </c>
      <c r="AK37" s="474">
        <f>SUM(AK34:AK36)</f>
        <v>374507</v>
      </c>
      <c r="AL37" s="476">
        <f>SUM(AL34:AL36)</f>
        <v>0</v>
      </c>
      <c r="AM37" s="477">
        <f t="shared" si="33"/>
        <v>227412</v>
      </c>
      <c r="AN37" s="474">
        <f>SUM(AN34:AN36)</f>
        <v>400650</v>
      </c>
      <c r="AO37" s="547">
        <f>SUM(AO34:AO36)</f>
        <v>0</v>
      </c>
      <c r="AP37" s="479"/>
    </row>
    <row r="38" spans="1:42" s="480" customFormat="1" ht="13.5" customHeight="1" x14ac:dyDescent="0.2">
      <c r="A38" s="505" t="s">
        <v>698</v>
      </c>
      <c r="B38" s="506" t="s">
        <v>699</v>
      </c>
      <c r="C38" s="473">
        <f t="shared" si="19"/>
        <v>263205</v>
      </c>
      <c r="D38" s="474">
        <f t="shared" si="19"/>
        <v>32525</v>
      </c>
      <c r="E38" s="475">
        <f t="shared" si="19"/>
        <v>0</v>
      </c>
      <c r="F38" s="495">
        <f t="shared" ref="F38:AO38" si="34">SUM(F84,F129,F174,F219,F264,F309,F354,F399,F444)</f>
        <v>21934</v>
      </c>
      <c r="G38" s="495">
        <f t="shared" si="34"/>
        <v>0</v>
      </c>
      <c r="H38" s="496">
        <f t="shared" si="34"/>
        <v>0</v>
      </c>
      <c r="I38" s="497">
        <f t="shared" si="34"/>
        <v>21934</v>
      </c>
      <c r="J38" s="495">
        <f t="shared" si="34"/>
        <v>0</v>
      </c>
      <c r="K38" s="498">
        <f t="shared" si="34"/>
        <v>0</v>
      </c>
      <c r="L38" s="495">
        <f t="shared" si="34"/>
        <v>21933</v>
      </c>
      <c r="M38" s="495">
        <f t="shared" si="34"/>
        <v>0</v>
      </c>
      <c r="N38" s="496">
        <f t="shared" si="34"/>
        <v>0</v>
      </c>
      <c r="O38" s="497">
        <f t="shared" si="34"/>
        <v>21934</v>
      </c>
      <c r="P38" s="495">
        <f t="shared" si="34"/>
        <v>0</v>
      </c>
      <c r="Q38" s="498">
        <f t="shared" si="34"/>
        <v>0</v>
      </c>
      <c r="R38" s="495">
        <f t="shared" si="34"/>
        <v>21934</v>
      </c>
      <c r="S38" s="495">
        <f t="shared" si="34"/>
        <v>0</v>
      </c>
      <c r="T38" s="496">
        <f t="shared" si="34"/>
        <v>0</v>
      </c>
      <c r="U38" s="497">
        <f t="shared" si="34"/>
        <v>21933</v>
      </c>
      <c r="V38" s="495">
        <f t="shared" si="34"/>
        <v>0</v>
      </c>
      <c r="W38" s="498">
        <f t="shared" si="34"/>
        <v>0</v>
      </c>
      <c r="X38" s="495">
        <f t="shared" si="34"/>
        <v>21934</v>
      </c>
      <c r="Y38" s="495">
        <f t="shared" si="34"/>
        <v>0</v>
      </c>
      <c r="Z38" s="496">
        <f t="shared" si="34"/>
        <v>0</v>
      </c>
      <c r="AA38" s="497">
        <f t="shared" si="34"/>
        <v>21934</v>
      </c>
      <c r="AB38" s="495">
        <f t="shared" si="34"/>
        <v>5421</v>
      </c>
      <c r="AC38" s="498">
        <f t="shared" si="34"/>
        <v>0</v>
      </c>
      <c r="AD38" s="495">
        <f t="shared" si="34"/>
        <v>21934</v>
      </c>
      <c r="AE38" s="495">
        <f t="shared" si="34"/>
        <v>5421</v>
      </c>
      <c r="AF38" s="496">
        <f t="shared" si="34"/>
        <v>0</v>
      </c>
      <c r="AG38" s="497">
        <f t="shared" si="34"/>
        <v>21934</v>
      </c>
      <c r="AH38" s="495">
        <f t="shared" si="34"/>
        <v>10841</v>
      </c>
      <c r="AI38" s="498">
        <f t="shared" si="34"/>
        <v>0</v>
      </c>
      <c r="AJ38" s="495">
        <f t="shared" si="34"/>
        <v>21934</v>
      </c>
      <c r="AK38" s="495">
        <f t="shared" si="34"/>
        <v>5421</v>
      </c>
      <c r="AL38" s="496">
        <f t="shared" si="34"/>
        <v>0</v>
      </c>
      <c r="AM38" s="497">
        <f t="shared" si="34"/>
        <v>21933</v>
      </c>
      <c r="AN38" s="495">
        <f t="shared" si="34"/>
        <v>5421</v>
      </c>
      <c r="AO38" s="499">
        <f t="shared" si="34"/>
        <v>0</v>
      </c>
      <c r="AP38" s="479"/>
    </row>
    <row r="39" spans="1:42" s="480" customFormat="1" ht="13.5" customHeight="1" x14ac:dyDescent="0.2">
      <c r="A39" s="471" t="s">
        <v>700</v>
      </c>
      <c r="B39" s="472" t="s">
        <v>689</v>
      </c>
      <c r="C39" s="473">
        <f t="shared" si="19"/>
        <v>0</v>
      </c>
      <c r="D39" s="474">
        <f t="shared" si="19"/>
        <v>0</v>
      </c>
      <c r="E39" s="475">
        <f t="shared" si="19"/>
        <v>0</v>
      </c>
      <c r="F39" s="474">
        <f t="shared" ref="F39:AO39" si="35">SUM(F85,F130,F175,F220,F265,F310,F355,F400,F445,-F108,-F153,-F198,-F243,-F288,-F333,-F378,-F423,F424)</f>
        <v>0</v>
      </c>
      <c r="G39" s="474">
        <f t="shared" si="35"/>
        <v>0</v>
      </c>
      <c r="H39" s="476">
        <f t="shared" si="35"/>
        <v>0</v>
      </c>
      <c r="I39" s="477">
        <f t="shared" si="35"/>
        <v>0</v>
      </c>
      <c r="J39" s="474">
        <f t="shared" si="35"/>
        <v>0</v>
      </c>
      <c r="K39" s="478">
        <f t="shared" si="35"/>
        <v>0</v>
      </c>
      <c r="L39" s="474">
        <f t="shared" si="35"/>
        <v>0</v>
      </c>
      <c r="M39" s="474">
        <f t="shared" si="35"/>
        <v>0</v>
      </c>
      <c r="N39" s="476">
        <f t="shared" si="35"/>
        <v>0</v>
      </c>
      <c r="O39" s="477">
        <f t="shared" si="35"/>
        <v>0</v>
      </c>
      <c r="P39" s="474">
        <f t="shared" si="35"/>
        <v>0</v>
      </c>
      <c r="Q39" s="478">
        <f t="shared" si="35"/>
        <v>0</v>
      </c>
      <c r="R39" s="474">
        <f t="shared" si="35"/>
        <v>0</v>
      </c>
      <c r="S39" s="474">
        <f t="shared" si="35"/>
        <v>0</v>
      </c>
      <c r="T39" s="476">
        <f t="shared" si="35"/>
        <v>0</v>
      </c>
      <c r="U39" s="477">
        <f t="shared" si="35"/>
        <v>0</v>
      </c>
      <c r="V39" s="474">
        <f t="shared" si="35"/>
        <v>0</v>
      </c>
      <c r="W39" s="478">
        <f t="shared" si="35"/>
        <v>0</v>
      </c>
      <c r="X39" s="474">
        <f t="shared" si="35"/>
        <v>0</v>
      </c>
      <c r="Y39" s="474">
        <f t="shared" si="35"/>
        <v>0</v>
      </c>
      <c r="Z39" s="476">
        <f t="shared" si="35"/>
        <v>0</v>
      </c>
      <c r="AA39" s="477">
        <f t="shared" si="35"/>
        <v>0</v>
      </c>
      <c r="AB39" s="474">
        <f t="shared" si="35"/>
        <v>0</v>
      </c>
      <c r="AC39" s="478">
        <f t="shared" si="35"/>
        <v>0</v>
      </c>
      <c r="AD39" s="474">
        <f t="shared" si="35"/>
        <v>0</v>
      </c>
      <c r="AE39" s="474">
        <f t="shared" si="35"/>
        <v>0</v>
      </c>
      <c r="AF39" s="476">
        <f t="shared" si="35"/>
        <v>0</v>
      </c>
      <c r="AG39" s="477">
        <f t="shared" si="35"/>
        <v>0</v>
      </c>
      <c r="AH39" s="474">
        <f t="shared" si="35"/>
        <v>0</v>
      </c>
      <c r="AI39" s="478">
        <f t="shared" si="35"/>
        <v>0</v>
      </c>
      <c r="AJ39" s="474">
        <f t="shared" si="35"/>
        <v>0</v>
      </c>
      <c r="AK39" s="474">
        <f t="shared" si="35"/>
        <v>0</v>
      </c>
      <c r="AL39" s="476">
        <f t="shared" si="35"/>
        <v>0</v>
      </c>
      <c r="AM39" s="477">
        <f t="shared" si="35"/>
        <v>0</v>
      </c>
      <c r="AN39" s="474">
        <f t="shared" si="35"/>
        <v>0</v>
      </c>
      <c r="AO39" s="547">
        <f t="shared" si="35"/>
        <v>0</v>
      </c>
      <c r="AP39" s="479"/>
    </row>
    <row r="40" spans="1:42" s="480" customFormat="1" ht="15.75" thickBot="1" x14ac:dyDescent="0.25">
      <c r="A40" s="555" t="s">
        <v>672</v>
      </c>
      <c r="B40" s="556" t="s">
        <v>701</v>
      </c>
      <c r="C40" s="557">
        <f t="shared" si="19"/>
        <v>3061824</v>
      </c>
      <c r="D40" s="510">
        <f t="shared" si="19"/>
        <v>3754036</v>
      </c>
      <c r="E40" s="558">
        <f t="shared" si="19"/>
        <v>1420403</v>
      </c>
      <c r="F40" s="510">
        <f>SUM(F37,F38,F39)</f>
        <v>265926</v>
      </c>
      <c r="G40" s="510">
        <f>SUM(G37,G38,G39)</f>
        <v>198823</v>
      </c>
      <c r="H40" s="511">
        <f>SUM(H37,H38,H39)</f>
        <v>198823</v>
      </c>
      <c r="I40" s="512">
        <f t="shared" ref="I40:AM40" si="36">SUM(I37,I38,I39)</f>
        <v>253075</v>
      </c>
      <c r="J40" s="510">
        <f>SUM(J37,J38,J39)</f>
        <v>140613</v>
      </c>
      <c r="K40" s="513">
        <f>SUM(K37,K38,K39)</f>
        <v>140613</v>
      </c>
      <c r="L40" s="510">
        <f t="shared" si="36"/>
        <v>256060</v>
      </c>
      <c r="M40" s="510">
        <f>SUM(M37,M38,M39)</f>
        <v>244649</v>
      </c>
      <c r="N40" s="511">
        <f>SUM(N37,N38,N39)</f>
        <v>244649</v>
      </c>
      <c r="O40" s="512">
        <f t="shared" si="36"/>
        <v>257132</v>
      </c>
      <c r="P40" s="510">
        <f>SUM(P37,P38,P39)</f>
        <v>301393</v>
      </c>
      <c r="Q40" s="513">
        <f>SUM(Q37,Q38,Q39)</f>
        <v>301393</v>
      </c>
      <c r="R40" s="510">
        <f t="shared" si="36"/>
        <v>253704</v>
      </c>
      <c r="S40" s="510">
        <f>SUM(S37,S38,S39)</f>
        <v>390013</v>
      </c>
      <c r="T40" s="511">
        <f>SUM(T37,T38,T39)</f>
        <v>390013</v>
      </c>
      <c r="U40" s="512">
        <f t="shared" si="36"/>
        <v>254255</v>
      </c>
      <c r="V40" s="510">
        <f>SUM(V37,V38,V39)</f>
        <v>144912</v>
      </c>
      <c r="W40" s="513">
        <f>SUM(W37,W38,W39)</f>
        <v>144912</v>
      </c>
      <c r="X40" s="510">
        <f t="shared" si="36"/>
        <v>259632</v>
      </c>
      <c r="Y40" s="510">
        <f>SUM(Y37,Y38,Y39)</f>
        <v>388060</v>
      </c>
      <c r="Z40" s="511">
        <f>SUM(Z37,Z38,Z39)</f>
        <v>0</v>
      </c>
      <c r="AA40" s="512">
        <f t="shared" si="36"/>
        <v>260654</v>
      </c>
      <c r="AB40" s="510">
        <f>SUM(AB37,AB38,AB39)</f>
        <v>384916</v>
      </c>
      <c r="AC40" s="513">
        <f>SUM(AC37,AC38,AC39)</f>
        <v>0</v>
      </c>
      <c r="AD40" s="510">
        <f t="shared" si="36"/>
        <v>251723</v>
      </c>
      <c r="AE40" s="510">
        <f>SUM(AE37,AE38,AE39)</f>
        <v>386941</v>
      </c>
      <c r="AF40" s="511">
        <f>SUM(AF37,AF38,AF39)</f>
        <v>0</v>
      </c>
      <c r="AG40" s="512">
        <f t="shared" si="36"/>
        <v>250437</v>
      </c>
      <c r="AH40" s="510">
        <f>SUM(AH37,AH38,AH39)</f>
        <v>387717</v>
      </c>
      <c r="AI40" s="513">
        <f>SUM(AI37,AI38,AI39)</f>
        <v>0</v>
      </c>
      <c r="AJ40" s="510">
        <f t="shared" si="36"/>
        <v>249881</v>
      </c>
      <c r="AK40" s="510">
        <f>SUM(AK37,AK38,AK39)</f>
        <v>379928</v>
      </c>
      <c r="AL40" s="511">
        <f>SUM(AL37,AL38,AL39)</f>
        <v>0</v>
      </c>
      <c r="AM40" s="514">
        <f t="shared" si="36"/>
        <v>249345</v>
      </c>
      <c r="AN40" s="510">
        <f>SUM(AN37,AN38,AN39)</f>
        <v>406071</v>
      </c>
      <c r="AO40" s="559">
        <f>SUM(AO37,AO38,AO39)</f>
        <v>0</v>
      </c>
      <c r="AP40" s="479"/>
    </row>
    <row r="41" spans="1:42" s="525" customFormat="1" ht="12" thickBot="1" x14ac:dyDescent="0.25">
      <c r="A41" s="560" t="s">
        <v>702</v>
      </c>
      <c r="B41" s="561" t="s">
        <v>703</v>
      </c>
      <c r="C41" s="562">
        <f>SUM(F41,I41,L41,O41,R41,U41,X41,AA41,AD41,AG41,AJ41,AM41)</f>
        <v>10817446.58</v>
      </c>
      <c r="D41" s="520">
        <f t="shared" ref="D41:E43" si="37">SUM(G41,J41,M41,P41,S41,V41,Y41,AB41,AE41,AH41,AK41,AN41)</f>
        <v>11848545</v>
      </c>
      <c r="E41" s="563">
        <f t="shared" si="37"/>
        <v>4185118</v>
      </c>
      <c r="F41" s="564">
        <f>SUM(F33,F40)</f>
        <v>1405304</v>
      </c>
      <c r="G41" s="564">
        <f>SUM(G33,G40)</f>
        <v>1251514</v>
      </c>
      <c r="H41" s="565">
        <f>SUM(H33,H40)</f>
        <v>1296761</v>
      </c>
      <c r="I41" s="566">
        <f t="shared" ref="I41:AM41" si="38">SUM(I33,I40)</f>
        <v>614654</v>
      </c>
      <c r="J41" s="564">
        <f>SUM(J33,J40)</f>
        <v>458793</v>
      </c>
      <c r="K41" s="567">
        <f>SUM(K33,K40)</f>
        <v>437170</v>
      </c>
      <c r="L41" s="564">
        <f t="shared" si="38"/>
        <v>1726985</v>
      </c>
      <c r="M41" s="564">
        <f>SUM(M33,M40)</f>
        <v>1843537</v>
      </c>
      <c r="N41" s="565">
        <f>SUM(N33,N40)</f>
        <v>620418</v>
      </c>
      <c r="O41" s="566">
        <f t="shared" si="38"/>
        <v>611375</v>
      </c>
      <c r="P41" s="564">
        <f>SUM(P33,P40)</f>
        <v>657075</v>
      </c>
      <c r="Q41" s="567">
        <f>SUM(Q33,Q40)</f>
        <v>623646</v>
      </c>
      <c r="R41" s="564">
        <f t="shared" si="38"/>
        <v>608714.93999999994</v>
      </c>
      <c r="S41" s="564">
        <f>SUM(S33,S40)</f>
        <v>696332</v>
      </c>
      <c r="T41" s="565">
        <f>SUM(T33,T40)</f>
        <v>701308</v>
      </c>
      <c r="U41" s="566">
        <f t="shared" si="38"/>
        <v>618593.01</v>
      </c>
      <c r="V41" s="564">
        <f>SUM(V33,V40)</f>
        <v>879489</v>
      </c>
      <c r="W41" s="567">
        <f>SUM(W33,W40)</f>
        <v>505815</v>
      </c>
      <c r="X41" s="564">
        <f t="shared" si="38"/>
        <v>606713.81000000006</v>
      </c>
      <c r="Y41" s="564">
        <f>SUM(Y33,Y40)</f>
        <v>757898</v>
      </c>
      <c r="Z41" s="565">
        <f>SUM(Z33,Z40)</f>
        <v>0</v>
      </c>
      <c r="AA41" s="566">
        <f t="shared" si="38"/>
        <v>609262.81000000006</v>
      </c>
      <c r="AB41" s="564">
        <f>SUM(AB33,AB40)</f>
        <v>770905</v>
      </c>
      <c r="AC41" s="567">
        <f>SUM(AC33,AC40)</f>
        <v>0</v>
      </c>
      <c r="AD41" s="564">
        <f t="shared" si="38"/>
        <v>2201460.0099999998</v>
      </c>
      <c r="AE41" s="564">
        <f>SUM(AE33,AE40)</f>
        <v>2105218</v>
      </c>
      <c r="AF41" s="565">
        <f>SUM(AF33,AF40)</f>
        <v>0</v>
      </c>
      <c r="AG41" s="566">
        <f t="shared" si="38"/>
        <v>605607</v>
      </c>
      <c r="AH41" s="564">
        <f>SUM(AH33,AH40)</f>
        <v>783364</v>
      </c>
      <c r="AI41" s="567">
        <f>SUM(AI33,AI40)</f>
        <v>0</v>
      </c>
      <c r="AJ41" s="564">
        <f t="shared" si="38"/>
        <v>598990</v>
      </c>
      <c r="AK41" s="564">
        <f>SUM(AK33,AK40)</f>
        <v>782703</v>
      </c>
      <c r="AL41" s="565">
        <f>SUM(AL33,AL40)</f>
        <v>0</v>
      </c>
      <c r="AM41" s="566">
        <f t="shared" si="38"/>
        <v>609787</v>
      </c>
      <c r="AN41" s="564">
        <f>SUM(AN33,AN40)</f>
        <v>861717</v>
      </c>
      <c r="AO41" s="568">
        <f>SUM(AO33,AO40)</f>
        <v>0</v>
      </c>
      <c r="AP41" s="479"/>
    </row>
    <row r="42" spans="1:42" ht="15" thickBot="1" x14ac:dyDescent="0.25">
      <c r="A42" s="569"/>
      <c r="B42" s="570" t="s">
        <v>1334</v>
      </c>
      <c r="C42" s="571"/>
      <c r="D42" s="572"/>
      <c r="E42" s="573">
        <f t="shared" si="37"/>
        <v>157492</v>
      </c>
      <c r="F42" s="571"/>
      <c r="G42" s="572"/>
      <c r="H42" s="476">
        <f>SUM(H88,H133,H178,H223,H268,H313,H358,H448)</f>
        <v>-4785</v>
      </c>
      <c r="I42" s="531"/>
      <c r="J42" s="572"/>
      <c r="K42" s="478">
        <f>SUM(K88,K133,K178,K223,K268,K313,K358,K448)</f>
        <v>-9295</v>
      </c>
      <c r="L42" s="530"/>
      <c r="M42" s="572"/>
      <c r="N42" s="476">
        <f>SUM(N88,N133,N178,N223,N268,N313,N358,N448)</f>
        <v>1158</v>
      </c>
      <c r="O42" s="531"/>
      <c r="P42" s="572"/>
      <c r="Q42" s="478">
        <f>SUM(Q88,Q133,Q178,Q223,Q268,Q313,Q358,Q448)</f>
        <v>2187</v>
      </c>
      <c r="R42" s="530"/>
      <c r="S42" s="572"/>
      <c r="T42" s="476">
        <f>SUM(T88,T133,T178,T223,T268,T313,T358,T448)</f>
        <v>126284</v>
      </c>
      <c r="U42" s="531"/>
      <c r="V42" s="572"/>
      <c r="W42" s="478">
        <f>SUM(W88,W133,W178,W223,W268,W313,W358,W448)</f>
        <v>41943</v>
      </c>
      <c r="X42" s="530"/>
      <c r="Y42" s="572"/>
      <c r="Z42" s="476">
        <f>SUM(Z88,Z133,Z178,Z223,Z268,Z313,Z358,Z448)</f>
        <v>0</v>
      </c>
      <c r="AA42" s="531"/>
      <c r="AB42" s="572"/>
      <c r="AC42" s="478">
        <f>SUM(AC88,AC133,AC178,AC223,AC268,AC313,AC358,AC448)</f>
        <v>0</v>
      </c>
      <c r="AD42" s="530"/>
      <c r="AE42" s="572"/>
      <c r="AF42" s="476">
        <f>SUM(AF88,AF133,AF178,AF223,AF268,AF313,AF358,AF448)</f>
        <v>0</v>
      </c>
      <c r="AG42" s="531"/>
      <c r="AH42" s="572"/>
      <c r="AI42" s="478">
        <f>SUM(AI88,AI133,AI178,AI223,AI268,AI313,AI358,AI448)</f>
        <v>0</v>
      </c>
      <c r="AJ42" s="530"/>
      <c r="AK42" s="572"/>
      <c r="AL42" s="476">
        <f>SUM(AL88,AL133,AL178,AL223,AL268,AL313,AL358,AL448)</f>
        <v>0</v>
      </c>
      <c r="AM42" s="531"/>
      <c r="AN42" s="572"/>
      <c r="AO42" s="574">
        <f>SUM(AO88,AO133,AO178,AO223,AO268,AO313,AO358,AO448)</f>
        <v>0</v>
      </c>
    </row>
    <row r="43" spans="1:42" ht="15" thickBot="1" x14ac:dyDescent="0.25">
      <c r="A43" s="575"/>
      <c r="B43" s="576" t="s">
        <v>1335</v>
      </c>
      <c r="C43" s="528"/>
      <c r="D43" s="577"/>
      <c r="E43" s="563">
        <f t="shared" si="37"/>
        <v>4342610</v>
      </c>
      <c r="F43" s="528"/>
      <c r="G43" s="577"/>
      <c r="H43" s="578">
        <f>SUM(H41:H42)</f>
        <v>1291976</v>
      </c>
      <c r="I43" s="579"/>
      <c r="J43" s="577"/>
      <c r="K43" s="580">
        <f>SUM(K41:K42)</f>
        <v>427875</v>
      </c>
      <c r="L43" s="529"/>
      <c r="M43" s="577"/>
      <c r="N43" s="578">
        <f>SUM(N41:N42)</f>
        <v>621576</v>
      </c>
      <c r="O43" s="579"/>
      <c r="P43" s="577"/>
      <c r="Q43" s="580">
        <f>SUM(Q41:Q42)</f>
        <v>625833</v>
      </c>
      <c r="R43" s="529"/>
      <c r="S43" s="577"/>
      <c r="T43" s="578">
        <f>SUM(T41:T42)</f>
        <v>827592</v>
      </c>
      <c r="U43" s="579"/>
      <c r="V43" s="577"/>
      <c r="W43" s="580">
        <f>SUM(W41:W42)</f>
        <v>547758</v>
      </c>
      <c r="X43" s="529"/>
      <c r="Y43" s="577"/>
      <c r="Z43" s="578">
        <f>SUM(Z41:Z42)</f>
        <v>0</v>
      </c>
      <c r="AA43" s="579"/>
      <c r="AB43" s="577"/>
      <c r="AC43" s="580">
        <f>SUM(AC41:AC42)</f>
        <v>0</v>
      </c>
      <c r="AD43" s="529"/>
      <c r="AE43" s="577"/>
      <c r="AF43" s="578">
        <f>SUM(AF41:AF42)</f>
        <v>0</v>
      </c>
      <c r="AG43" s="579"/>
      <c r="AH43" s="577"/>
      <c r="AI43" s="580">
        <f>SUM(AI41:AI42)</f>
        <v>0</v>
      </c>
      <c r="AJ43" s="529"/>
      <c r="AK43" s="577"/>
      <c r="AL43" s="578">
        <f>SUM(AL41:AL42)</f>
        <v>0</v>
      </c>
      <c r="AM43" s="579"/>
      <c r="AN43" s="577"/>
      <c r="AO43" s="563">
        <f>SUM(AO41:AO42)</f>
        <v>0</v>
      </c>
    </row>
    <row r="44" spans="1:42" s="525" customFormat="1" ht="15" customHeight="1" thickBot="1" x14ac:dyDescent="0.25">
      <c r="A44" s="581"/>
      <c r="B44" s="582" t="s">
        <v>1336</v>
      </c>
      <c r="C44" s="583"/>
      <c r="D44" s="584"/>
      <c r="E44" s="563">
        <f>SUM(H44,K44,N44,Q44,T44,W44,Z44,AC44,AF44,AI44,AL44,AO44)</f>
        <v>154943</v>
      </c>
      <c r="F44" s="583"/>
      <c r="G44" s="584"/>
      <c r="H44" s="585">
        <f>SUM(H22-H43)</f>
        <v>-555334</v>
      </c>
      <c r="I44" s="586"/>
      <c r="J44" s="584"/>
      <c r="K44" s="587">
        <f>SUM(K22-K43)</f>
        <v>28910</v>
      </c>
      <c r="L44" s="588"/>
      <c r="M44" s="584"/>
      <c r="N44" s="585">
        <f>SUM(N22-N43)</f>
        <v>1242210</v>
      </c>
      <c r="O44" s="586"/>
      <c r="P44" s="584"/>
      <c r="Q44" s="587">
        <f>SUM(Q22-Q43)</f>
        <v>-399868</v>
      </c>
      <c r="R44" s="588"/>
      <c r="S44" s="584"/>
      <c r="T44" s="585">
        <f>SUM(T22-T43)</f>
        <v>-543513</v>
      </c>
      <c r="U44" s="586"/>
      <c r="V44" s="584"/>
      <c r="W44" s="587">
        <f>SUM(W22-W43)</f>
        <v>382538</v>
      </c>
      <c r="X44" s="588"/>
      <c r="Y44" s="584"/>
      <c r="Z44" s="585">
        <f>SUM(Z22-Z43)</f>
        <v>0</v>
      </c>
      <c r="AA44" s="586"/>
      <c r="AB44" s="584"/>
      <c r="AC44" s="587">
        <f>SUM(AC22-AC43)</f>
        <v>0</v>
      </c>
      <c r="AD44" s="588"/>
      <c r="AE44" s="584"/>
      <c r="AF44" s="585">
        <f>SUM(AF22-AF43)</f>
        <v>0</v>
      </c>
      <c r="AG44" s="586"/>
      <c r="AH44" s="584"/>
      <c r="AI44" s="587">
        <f>SUM(AI22-AI43)</f>
        <v>0</v>
      </c>
      <c r="AJ44" s="588"/>
      <c r="AK44" s="584"/>
      <c r="AL44" s="585">
        <f>SUM(AL22-AL43)</f>
        <v>0</v>
      </c>
      <c r="AM44" s="586"/>
      <c r="AN44" s="589"/>
      <c r="AO44" s="590">
        <f>SUM(AO22-AO43)</f>
        <v>0</v>
      </c>
      <c r="AP44" s="479"/>
    </row>
    <row r="45" spans="1:42" s="449" customFormat="1" ht="11.25" x14ac:dyDescent="0.2">
      <c r="AN45" s="446"/>
      <c r="AO45" s="446"/>
      <c r="AP45" s="446"/>
    </row>
    <row r="46" spans="1:42" s="449" customFormat="1" ht="11.25" x14ac:dyDescent="0.2">
      <c r="F46" s="446"/>
      <c r="G46" s="446"/>
      <c r="H46" s="446"/>
      <c r="AN46" s="446"/>
      <c r="AO46" s="446"/>
      <c r="AP46" s="446"/>
    </row>
    <row r="47" spans="1:42" s="444" customFormat="1" ht="12.75" x14ac:dyDescent="0.2">
      <c r="A47" s="440" t="s">
        <v>704</v>
      </c>
      <c r="B47" s="440"/>
      <c r="C47" s="440"/>
      <c r="D47" s="440"/>
      <c r="E47" s="440"/>
      <c r="F47" s="440"/>
      <c r="G47" s="440"/>
      <c r="H47" s="440"/>
      <c r="I47" s="440"/>
      <c r="J47" s="1058" t="s">
        <v>630</v>
      </c>
      <c r="K47" s="1058"/>
      <c r="L47" s="1058"/>
      <c r="M47" s="1058"/>
      <c r="N47" s="1058"/>
      <c r="O47" s="1058"/>
      <c r="P47" s="1058"/>
      <c r="Q47" s="1058"/>
      <c r="R47" s="1058"/>
      <c r="S47" s="1058"/>
      <c r="T47" s="1058"/>
      <c r="U47" s="1058"/>
      <c r="V47" s="1058"/>
      <c r="W47" s="1058"/>
      <c r="X47" s="1058"/>
      <c r="Y47" s="1058"/>
      <c r="Z47" s="1058"/>
      <c r="AA47" s="1058"/>
      <c r="AB47" s="1058"/>
      <c r="AC47" s="1058"/>
      <c r="AD47" s="441"/>
      <c r="AE47" s="441"/>
      <c r="AF47" s="441"/>
      <c r="AG47" s="441"/>
      <c r="AH47" s="441"/>
      <c r="AI47" s="441"/>
      <c r="AJ47" s="441"/>
      <c r="AK47" s="441"/>
      <c r="AL47" s="441"/>
      <c r="AM47" s="441"/>
      <c r="AN47" s="442"/>
      <c r="AO47" s="443" t="s">
        <v>705</v>
      </c>
      <c r="AP47" s="442"/>
    </row>
    <row r="48" spans="1:42" s="449" customFormat="1" ht="12" thickBot="1" x14ac:dyDescent="0.25">
      <c r="AN48" s="446"/>
      <c r="AO48" s="447" t="s">
        <v>1338</v>
      </c>
      <c r="AP48" s="446"/>
    </row>
    <row r="49" spans="1:41" x14ac:dyDescent="0.2">
      <c r="A49" s="1046"/>
      <c r="B49" s="1048" t="s">
        <v>632</v>
      </c>
      <c r="C49" s="1050" t="s">
        <v>633</v>
      </c>
      <c r="D49" s="1052" t="s">
        <v>1326</v>
      </c>
      <c r="E49" s="1054" t="s">
        <v>1327</v>
      </c>
      <c r="F49" s="1044" t="s">
        <v>634</v>
      </c>
      <c r="G49" s="1044"/>
      <c r="H49" s="1044"/>
      <c r="I49" s="1043" t="s">
        <v>635</v>
      </c>
      <c r="J49" s="1044"/>
      <c r="K49" s="1045"/>
      <c r="L49" s="1044" t="s">
        <v>636</v>
      </c>
      <c r="M49" s="1044"/>
      <c r="N49" s="1044"/>
      <c r="O49" s="1043" t="s">
        <v>637</v>
      </c>
      <c r="P49" s="1044"/>
      <c r="Q49" s="1045"/>
      <c r="R49" s="1044" t="s">
        <v>638</v>
      </c>
      <c r="S49" s="1044"/>
      <c r="T49" s="1044"/>
      <c r="U49" s="1043" t="s">
        <v>639</v>
      </c>
      <c r="V49" s="1044"/>
      <c r="W49" s="1045"/>
      <c r="X49" s="1044" t="s">
        <v>640</v>
      </c>
      <c r="Y49" s="1044"/>
      <c r="Z49" s="1044"/>
      <c r="AA49" s="1043" t="s">
        <v>641</v>
      </c>
      <c r="AB49" s="1044"/>
      <c r="AC49" s="1045"/>
      <c r="AD49" s="1044" t="s">
        <v>642</v>
      </c>
      <c r="AE49" s="1044"/>
      <c r="AF49" s="1044"/>
      <c r="AG49" s="1043" t="s">
        <v>643</v>
      </c>
      <c r="AH49" s="1044"/>
      <c r="AI49" s="1045"/>
      <c r="AJ49" s="1044" t="s">
        <v>644</v>
      </c>
      <c r="AK49" s="1044"/>
      <c r="AL49" s="1044"/>
      <c r="AM49" s="1043" t="s">
        <v>645</v>
      </c>
      <c r="AN49" s="1044"/>
      <c r="AO49" s="1056"/>
    </row>
    <row r="50" spans="1:41" x14ac:dyDescent="0.2">
      <c r="A50" s="1047"/>
      <c r="B50" s="1049"/>
      <c r="C50" s="1051"/>
      <c r="D50" s="1053"/>
      <c r="E50" s="1055"/>
      <c r="F50" s="450" t="s">
        <v>1328</v>
      </c>
      <c r="G50" s="451" t="s">
        <v>1329</v>
      </c>
      <c r="H50" s="452" t="s">
        <v>1330</v>
      </c>
      <c r="I50" s="453" t="s">
        <v>1328</v>
      </c>
      <c r="J50" s="451" t="s">
        <v>1329</v>
      </c>
      <c r="K50" s="454" t="s">
        <v>1330</v>
      </c>
      <c r="L50" s="455" t="s">
        <v>1328</v>
      </c>
      <c r="M50" s="451" t="s">
        <v>1329</v>
      </c>
      <c r="N50" s="452" t="s">
        <v>1330</v>
      </c>
      <c r="O50" s="453" t="s">
        <v>1328</v>
      </c>
      <c r="P50" s="451" t="s">
        <v>1329</v>
      </c>
      <c r="Q50" s="454" t="s">
        <v>1330</v>
      </c>
      <c r="R50" s="455" t="s">
        <v>1328</v>
      </c>
      <c r="S50" s="451" t="s">
        <v>1329</v>
      </c>
      <c r="T50" s="452" t="s">
        <v>1330</v>
      </c>
      <c r="U50" s="453" t="s">
        <v>1328</v>
      </c>
      <c r="V50" s="451" t="s">
        <v>1329</v>
      </c>
      <c r="W50" s="454" t="s">
        <v>1330</v>
      </c>
      <c r="X50" s="455" t="s">
        <v>1328</v>
      </c>
      <c r="Y50" s="451" t="s">
        <v>1329</v>
      </c>
      <c r="Z50" s="452" t="s">
        <v>1330</v>
      </c>
      <c r="AA50" s="453" t="s">
        <v>1328</v>
      </c>
      <c r="AB50" s="451" t="s">
        <v>1329</v>
      </c>
      <c r="AC50" s="454" t="s">
        <v>1330</v>
      </c>
      <c r="AD50" s="455" t="s">
        <v>1328</v>
      </c>
      <c r="AE50" s="451" t="s">
        <v>1329</v>
      </c>
      <c r="AF50" s="452" t="s">
        <v>1330</v>
      </c>
      <c r="AG50" s="453" t="s">
        <v>1328</v>
      </c>
      <c r="AH50" s="451" t="s">
        <v>1329</v>
      </c>
      <c r="AI50" s="454" t="s">
        <v>1330</v>
      </c>
      <c r="AJ50" s="455" t="s">
        <v>1328</v>
      </c>
      <c r="AK50" s="451" t="s">
        <v>1329</v>
      </c>
      <c r="AL50" s="452" t="s">
        <v>1330</v>
      </c>
      <c r="AM50" s="453" t="s">
        <v>1328</v>
      </c>
      <c r="AN50" s="451" t="s">
        <v>1329</v>
      </c>
      <c r="AO50" s="456" t="s">
        <v>1330</v>
      </c>
    </row>
    <row r="51" spans="1:41" x14ac:dyDescent="0.2">
      <c r="A51" s="466" t="s">
        <v>646</v>
      </c>
      <c r="B51" s="467" t="s">
        <v>647</v>
      </c>
      <c r="C51" s="591">
        <f>SUM(F51,I51,L51,O51,R51,U51,X51,AA51,AD51,AG51,AJ51,AM51)</f>
        <v>792895</v>
      </c>
      <c r="D51" s="543">
        <f>SUM(G51,J51,M51,P51,S51,V51,Y51,AB51,AE51,AH51,AK51,AN51)</f>
        <v>825297</v>
      </c>
      <c r="E51" s="465">
        <f t="shared" ref="E51:E68" si="39">SUM(H51,K51,N51,Q51,T51,W51,Z51,AC51,AF51,AI51,AL51,AO51)</f>
        <v>372533</v>
      </c>
      <c r="F51" s="592">
        <v>66075</v>
      </c>
      <c r="G51" s="592">
        <v>92934</v>
      </c>
      <c r="H51" s="593">
        <v>92934</v>
      </c>
      <c r="I51" s="594">
        <v>66074</v>
      </c>
      <c r="J51" s="592">
        <v>68480</v>
      </c>
      <c r="K51" s="595">
        <v>68480</v>
      </c>
      <c r="L51" s="543">
        <v>66075</v>
      </c>
      <c r="M51" s="592">
        <v>68719</v>
      </c>
      <c r="N51" s="593">
        <v>68719</v>
      </c>
      <c r="O51" s="594">
        <v>66074</v>
      </c>
      <c r="P51" s="592">
        <v>9076</v>
      </c>
      <c r="Q51" s="595">
        <v>9076</v>
      </c>
      <c r="R51" s="543">
        <v>66075</v>
      </c>
      <c r="S51" s="592">
        <v>137482</v>
      </c>
      <c r="T51" s="593">
        <v>137482</v>
      </c>
      <c r="U51" s="594">
        <v>66074</v>
      </c>
      <c r="V51" s="592">
        <v>-4158</v>
      </c>
      <c r="W51" s="595">
        <v>-4158</v>
      </c>
      <c r="X51" s="543">
        <v>66075</v>
      </c>
      <c r="Y51" s="592">
        <v>75461</v>
      </c>
      <c r="Z51" s="593"/>
      <c r="AA51" s="594">
        <v>66074</v>
      </c>
      <c r="AB51" s="592">
        <v>75460</v>
      </c>
      <c r="AC51" s="595"/>
      <c r="AD51" s="543">
        <v>66075</v>
      </c>
      <c r="AE51" s="592">
        <v>75461</v>
      </c>
      <c r="AF51" s="593"/>
      <c r="AG51" s="594">
        <v>66075</v>
      </c>
      <c r="AH51" s="592">
        <v>75460</v>
      </c>
      <c r="AI51" s="595"/>
      <c r="AJ51" s="543">
        <v>66075</v>
      </c>
      <c r="AK51" s="592">
        <v>75461</v>
      </c>
      <c r="AL51" s="593"/>
      <c r="AM51" s="594">
        <v>66074</v>
      </c>
      <c r="AN51" s="596">
        <v>75461</v>
      </c>
      <c r="AO51" s="597"/>
    </row>
    <row r="52" spans="1:41" x14ac:dyDescent="0.2">
      <c r="A52" s="466" t="s">
        <v>650</v>
      </c>
      <c r="B52" s="467" t="s">
        <v>649</v>
      </c>
      <c r="C52" s="468">
        <f t="shared" ref="C52:D66" si="40">SUM(F52,I52,L52,O52,R52,U52,X52,AA52,AD52,AG52,AJ52,AM52)</f>
        <v>4048500</v>
      </c>
      <c r="D52" s="469">
        <f t="shared" si="40"/>
        <v>4448500</v>
      </c>
      <c r="E52" s="470">
        <f t="shared" si="39"/>
        <v>1999706</v>
      </c>
      <c r="F52" s="598">
        <v>33284</v>
      </c>
      <c r="G52" s="598">
        <v>19317</v>
      </c>
      <c r="H52" s="599">
        <v>19317</v>
      </c>
      <c r="I52" s="549">
        <v>33281</v>
      </c>
      <c r="J52" s="598">
        <v>9697</v>
      </c>
      <c r="K52" s="600">
        <v>9697</v>
      </c>
      <c r="L52" s="469">
        <v>1506591</v>
      </c>
      <c r="M52" s="598">
        <v>1612772</v>
      </c>
      <c r="N52" s="599">
        <v>1612772</v>
      </c>
      <c r="O52" s="549">
        <v>393491</v>
      </c>
      <c r="P52" s="598">
        <v>507887</v>
      </c>
      <c r="Q52" s="600">
        <v>53072</v>
      </c>
      <c r="R52" s="469">
        <v>289901</v>
      </c>
      <c r="S52" s="598">
        <v>222812</v>
      </c>
      <c r="T52" s="599">
        <v>100812</v>
      </c>
      <c r="U52" s="549">
        <v>68062</v>
      </c>
      <c r="V52" s="598">
        <v>204036</v>
      </c>
      <c r="W52" s="600">
        <v>204036</v>
      </c>
      <c r="X52" s="469">
        <v>6227</v>
      </c>
      <c r="Y52" s="598">
        <v>78625</v>
      </c>
      <c r="Z52" s="599"/>
      <c r="AA52" s="549">
        <v>936</v>
      </c>
      <c r="AB52" s="598">
        <v>25110</v>
      </c>
      <c r="AC52" s="600"/>
      <c r="AD52" s="469">
        <v>1382485</v>
      </c>
      <c r="AE52" s="598">
        <v>1271700</v>
      </c>
      <c r="AF52" s="599"/>
      <c r="AG52" s="549">
        <v>58176</v>
      </c>
      <c r="AH52" s="598">
        <v>105560</v>
      </c>
      <c r="AI52" s="600"/>
      <c r="AJ52" s="469">
        <v>1260</v>
      </c>
      <c r="AK52" s="598">
        <v>90125</v>
      </c>
      <c r="AL52" s="599"/>
      <c r="AM52" s="549">
        <v>274806</v>
      </c>
      <c r="AN52" s="601">
        <v>300859</v>
      </c>
      <c r="AO52" s="602"/>
    </row>
    <row r="53" spans="1:41" x14ac:dyDescent="0.2">
      <c r="A53" s="466" t="s">
        <v>652</v>
      </c>
      <c r="B53" s="467" t="s">
        <v>651</v>
      </c>
      <c r="C53" s="468">
        <f t="shared" si="40"/>
        <v>319890</v>
      </c>
      <c r="D53" s="469">
        <f t="shared" si="40"/>
        <v>351780</v>
      </c>
      <c r="E53" s="470">
        <f t="shared" si="39"/>
        <v>200992</v>
      </c>
      <c r="F53" s="598">
        <v>26657</v>
      </c>
      <c r="G53" s="598">
        <v>14620</v>
      </c>
      <c r="H53" s="599">
        <v>14620</v>
      </c>
      <c r="I53" s="549">
        <v>26658</v>
      </c>
      <c r="J53" s="598">
        <v>15642</v>
      </c>
      <c r="K53" s="600">
        <v>15642</v>
      </c>
      <c r="L53" s="469">
        <v>26658</v>
      </c>
      <c r="M53" s="598">
        <v>74271</v>
      </c>
      <c r="N53" s="599">
        <v>74271</v>
      </c>
      <c r="O53" s="549">
        <v>26658</v>
      </c>
      <c r="P53" s="598">
        <v>21130</v>
      </c>
      <c r="Q53" s="600">
        <v>21130</v>
      </c>
      <c r="R53" s="469">
        <v>26657</v>
      </c>
      <c r="S53" s="598">
        <v>39275</v>
      </c>
      <c r="T53" s="599">
        <v>39275</v>
      </c>
      <c r="U53" s="549">
        <v>26658</v>
      </c>
      <c r="V53" s="598">
        <v>36054</v>
      </c>
      <c r="W53" s="600">
        <v>36054</v>
      </c>
      <c r="X53" s="469">
        <v>26657</v>
      </c>
      <c r="Y53" s="598">
        <v>25131</v>
      </c>
      <c r="Z53" s="599"/>
      <c r="AA53" s="549">
        <v>26658</v>
      </c>
      <c r="AB53" s="598">
        <v>25131</v>
      </c>
      <c r="AC53" s="600"/>
      <c r="AD53" s="469">
        <v>26657</v>
      </c>
      <c r="AE53" s="598">
        <v>25132</v>
      </c>
      <c r="AF53" s="599"/>
      <c r="AG53" s="549">
        <v>26658</v>
      </c>
      <c r="AH53" s="598">
        <v>25131</v>
      </c>
      <c r="AI53" s="600"/>
      <c r="AJ53" s="469">
        <v>26657</v>
      </c>
      <c r="AK53" s="598">
        <v>25131</v>
      </c>
      <c r="AL53" s="599"/>
      <c r="AM53" s="549">
        <v>26657</v>
      </c>
      <c r="AN53" s="601">
        <v>25132</v>
      </c>
      <c r="AO53" s="602"/>
    </row>
    <row r="54" spans="1:41" x14ac:dyDescent="0.2">
      <c r="A54" s="466" t="s">
        <v>1331</v>
      </c>
      <c r="B54" s="467" t="s">
        <v>653</v>
      </c>
      <c r="C54" s="468">
        <f t="shared" si="40"/>
        <v>58063</v>
      </c>
      <c r="D54" s="469">
        <f t="shared" si="40"/>
        <v>58063</v>
      </c>
      <c r="E54" s="470">
        <f t="shared" si="39"/>
        <v>29383</v>
      </c>
      <c r="F54" s="598">
        <v>4838</v>
      </c>
      <c r="G54" s="598">
        <v>10</v>
      </c>
      <c r="H54" s="599">
        <v>10</v>
      </c>
      <c r="I54" s="549">
        <v>4840</v>
      </c>
      <c r="J54" s="598">
        <v>105</v>
      </c>
      <c r="K54" s="600">
        <v>105</v>
      </c>
      <c r="L54" s="469">
        <v>4838</v>
      </c>
      <c r="M54" s="598">
        <v>0</v>
      </c>
      <c r="N54" s="599">
        <v>0</v>
      </c>
      <c r="O54" s="549">
        <v>4839</v>
      </c>
      <c r="P54" s="598">
        <v>28707</v>
      </c>
      <c r="Q54" s="600">
        <v>28707</v>
      </c>
      <c r="R54" s="469">
        <v>4838</v>
      </c>
      <c r="S54" s="598">
        <v>200</v>
      </c>
      <c r="T54" s="599">
        <v>200</v>
      </c>
      <c r="U54" s="549">
        <v>4839</v>
      </c>
      <c r="V54" s="598">
        <v>361</v>
      </c>
      <c r="W54" s="600">
        <v>361</v>
      </c>
      <c r="X54" s="469">
        <v>4838</v>
      </c>
      <c r="Y54" s="598">
        <v>4780</v>
      </c>
      <c r="Z54" s="599"/>
      <c r="AA54" s="549">
        <v>4839</v>
      </c>
      <c r="AB54" s="598">
        <v>4780</v>
      </c>
      <c r="AC54" s="600"/>
      <c r="AD54" s="469">
        <v>4838</v>
      </c>
      <c r="AE54" s="598">
        <v>4780</v>
      </c>
      <c r="AF54" s="599"/>
      <c r="AG54" s="549">
        <v>4839</v>
      </c>
      <c r="AH54" s="598">
        <v>4780</v>
      </c>
      <c r="AI54" s="600"/>
      <c r="AJ54" s="469">
        <v>4838</v>
      </c>
      <c r="AK54" s="598">
        <v>4780</v>
      </c>
      <c r="AL54" s="599"/>
      <c r="AM54" s="549">
        <v>4839</v>
      </c>
      <c r="AN54" s="601">
        <v>4780</v>
      </c>
      <c r="AO54" s="602"/>
    </row>
    <row r="55" spans="1:41" x14ac:dyDescent="0.2">
      <c r="A55" s="471" t="s">
        <v>654</v>
      </c>
      <c r="B55" s="472" t="s">
        <v>655</v>
      </c>
      <c r="C55" s="473">
        <f t="shared" si="40"/>
        <v>5219348</v>
      </c>
      <c r="D55" s="474">
        <f t="shared" si="40"/>
        <v>5683640</v>
      </c>
      <c r="E55" s="475">
        <f t="shared" si="39"/>
        <v>2602614</v>
      </c>
      <c r="F55" s="603">
        <f>SUM(F51:F54)</f>
        <v>130854</v>
      </c>
      <c r="G55" s="603">
        <f t="shared" ref="G55:AO55" si="41">SUM(G51:G54)</f>
        <v>126881</v>
      </c>
      <c r="H55" s="604">
        <f t="shared" si="41"/>
        <v>126881</v>
      </c>
      <c r="I55" s="477">
        <f t="shared" si="41"/>
        <v>130853</v>
      </c>
      <c r="J55" s="603">
        <f t="shared" si="41"/>
        <v>93924</v>
      </c>
      <c r="K55" s="605">
        <f t="shared" si="41"/>
        <v>93924</v>
      </c>
      <c r="L55" s="474">
        <f t="shared" si="41"/>
        <v>1604162</v>
      </c>
      <c r="M55" s="603">
        <f t="shared" si="41"/>
        <v>1755762</v>
      </c>
      <c r="N55" s="604">
        <f t="shared" si="41"/>
        <v>1755762</v>
      </c>
      <c r="O55" s="477">
        <f t="shared" si="41"/>
        <v>491062</v>
      </c>
      <c r="P55" s="603">
        <f t="shared" si="41"/>
        <v>566800</v>
      </c>
      <c r="Q55" s="605">
        <f t="shared" si="41"/>
        <v>111985</v>
      </c>
      <c r="R55" s="474">
        <f t="shared" si="41"/>
        <v>387471</v>
      </c>
      <c r="S55" s="603">
        <f t="shared" si="41"/>
        <v>399769</v>
      </c>
      <c r="T55" s="604">
        <f t="shared" si="41"/>
        <v>277769</v>
      </c>
      <c r="U55" s="477">
        <f t="shared" si="41"/>
        <v>165633</v>
      </c>
      <c r="V55" s="603">
        <f t="shared" si="41"/>
        <v>236293</v>
      </c>
      <c r="W55" s="605">
        <f t="shared" si="41"/>
        <v>236293</v>
      </c>
      <c r="X55" s="474">
        <f t="shared" si="41"/>
        <v>103797</v>
      </c>
      <c r="Y55" s="603">
        <f t="shared" si="41"/>
        <v>183997</v>
      </c>
      <c r="Z55" s="604">
        <f t="shared" si="41"/>
        <v>0</v>
      </c>
      <c r="AA55" s="477">
        <f t="shared" si="41"/>
        <v>98507</v>
      </c>
      <c r="AB55" s="603">
        <f t="shared" si="41"/>
        <v>130481</v>
      </c>
      <c r="AC55" s="605">
        <f t="shared" si="41"/>
        <v>0</v>
      </c>
      <c r="AD55" s="474">
        <f t="shared" si="41"/>
        <v>1480055</v>
      </c>
      <c r="AE55" s="603">
        <f t="shared" si="41"/>
        <v>1377073</v>
      </c>
      <c r="AF55" s="604">
        <f t="shared" si="41"/>
        <v>0</v>
      </c>
      <c r="AG55" s="477">
        <f t="shared" si="41"/>
        <v>155748</v>
      </c>
      <c r="AH55" s="603">
        <f t="shared" si="41"/>
        <v>210931</v>
      </c>
      <c r="AI55" s="605">
        <f t="shared" si="41"/>
        <v>0</v>
      </c>
      <c r="AJ55" s="474">
        <f t="shared" si="41"/>
        <v>98830</v>
      </c>
      <c r="AK55" s="603">
        <f t="shared" si="41"/>
        <v>195497</v>
      </c>
      <c r="AL55" s="604">
        <f t="shared" si="41"/>
        <v>0</v>
      </c>
      <c r="AM55" s="477">
        <f t="shared" si="41"/>
        <v>372376</v>
      </c>
      <c r="AN55" s="603">
        <f t="shared" si="41"/>
        <v>406232</v>
      </c>
      <c r="AO55" s="475">
        <f t="shared" si="41"/>
        <v>0</v>
      </c>
    </row>
    <row r="56" spans="1:41" x14ac:dyDescent="0.2">
      <c r="A56" s="471" t="s">
        <v>656</v>
      </c>
      <c r="B56" s="472" t="s">
        <v>657</v>
      </c>
      <c r="C56" s="473">
        <f t="shared" si="40"/>
        <v>1633514</v>
      </c>
      <c r="D56" s="474">
        <f t="shared" si="40"/>
        <v>1933514</v>
      </c>
      <c r="E56" s="475">
        <f t="shared" si="39"/>
        <v>1363677</v>
      </c>
      <c r="F56" s="603">
        <f>33514+1095375</f>
        <v>1128889</v>
      </c>
      <c r="G56" s="603">
        <f>481212+33514+534298</f>
        <v>1049024</v>
      </c>
      <c r="H56" s="604">
        <f>481212+33514</f>
        <v>514726</v>
      </c>
      <c r="I56" s="477">
        <v>360803</v>
      </c>
      <c r="J56" s="603">
        <v>300000</v>
      </c>
      <c r="K56" s="605">
        <v>300000</v>
      </c>
      <c r="L56" s="474"/>
      <c r="M56" s="603">
        <v>0</v>
      </c>
      <c r="N56" s="604">
        <v>0</v>
      </c>
      <c r="O56" s="477"/>
      <c r="P56" s="603">
        <v>0</v>
      </c>
      <c r="Q56" s="605">
        <v>0</v>
      </c>
      <c r="R56" s="474"/>
      <c r="S56" s="603">
        <v>0</v>
      </c>
      <c r="T56" s="604">
        <v>0</v>
      </c>
      <c r="U56" s="477">
        <v>143822</v>
      </c>
      <c r="V56" s="603">
        <v>548951</v>
      </c>
      <c r="W56" s="605">
        <v>548951</v>
      </c>
      <c r="X56" s="474"/>
      <c r="Y56" s="603">
        <v>10340</v>
      </c>
      <c r="Z56" s="604"/>
      <c r="AA56" s="477"/>
      <c r="AB56" s="603"/>
      <c r="AC56" s="605"/>
      <c r="AD56" s="474"/>
      <c r="AE56" s="603">
        <v>25199</v>
      </c>
      <c r="AF56" s="604"/>
      <c r="AG56" s="477"/>
      <c r="AH56" s="603"/>
      <c r="AI56" s="605"/>
      <c r="AJ56" s="474"/>
      <c r="AK56" s="603"/>
      <c r="AL56" s="604"/>
      <c r="AM56" s="477"/>
      <c r="AN56" s="601"/>
      <c r="AO56" s="602"/>
    </row>
    <row r="57" spans="1:41" x14ac:dyDescent="0.2">
      <c r="A57" s="481" t="s">
        <v>658</v>
      </c>
      <c r="B57" s="482" t="s">
        <v>659</v>
      </c>
      <c r="C57" s="483">
        <f>SUM(F57,I57,L57,O57,R57,U57,X57,AA57,AD57,AG57,AJ57,AM57)</f>
        <v>33514</v>
      </c>
      <c r="D57" s="484">
        <f t="shared" si="40"/>
        <v>33514</v>
      </c>
      <c r="E57" s="485">
        <f t="shared" si="39"/>
        <v>33514</v>
      </c>
      <c r="F57" s="606">
        <v>33514</v>
      </c>
      <c r="G57" s="606">
        <v>33514</v>
      </c>
      <c r="H57" s="607">
        <v>33514</v>
      </c>
      <c r="I57" s="487"/>
      <c r="J57" s="606"/>
      <c r="K57" s="608"/>
      <c r="L57" s="484"/>
      <c r="M57" s="606"/>
      <c r="N57" s="607"/>
      <c r="O57" s="487"/>
      <c r="P57" s="606"/>
      <c r="Q57" s="608"/>
      <c r="R57" s="484"/>
      <c r="S57" s="606"/>
      <c r="T57" s="607"/>
      <c r="U57" s="487"/>
      <c r="V57" s="606"/>
      <c r="W57" s="608"/>
      <c r="X57" s="484"/>
      <c r="Y57" s="606"/>
      <c r="Z57" s="607"/>
      <c r="AA57" s="487"/>
      <c r="AB57" s="606"/>
      <c r="AC57" s="608"/>
      <c r="AD57" s="484"/>
      <c r="AE57" s="606"/>
      <c r="AF57" s="607"/>
      <c r="AG57" s="487"/>
      <c r="AH57" s="606"/>
      <c r="AI57" s="608"/>
      <c r="AJ57" s="484"/>
      <c r="AK57" s="606"/>
      <c r="AL57" s="607"/>
      <c r="AM57" s="487"/>
      <c r="AN57" s="601"/>
      <c r="AO57" s="602"/>
    </row>
    <row r="58" spans="1:41" x14ac:dyDescent="0.2">
      <c r="A58" s="471" t="s">
        <v>660</v>
      </c>
      <c r="B58" s="472" t="s">
        <v>661</v>
      </c>
      <c r="C58" s="473">
        <f>SUM(F58,I58,L58,O58,R58,U58,X58,AA58,AD58,AG58,AJ58,AM58)</f>
        <v>6852862</v>
      </c>
      <c r="D58" s="474">
        <f t="shared" si="40"/>
        <v>7617154</v>
      </c>
      <c r="E58" s="475">
        <f t="shared" si="39"/>
        <v>3966291</v>
      </c>
      <c r="F58" s="603">
        <f>SUM(F55,F56)</f>
        <v>1259743</v>
      </c>
      <c r="G58" s="603">
        <f t="shared" ref="G58:H58" si="42">SUM(G55,G56)</f>
        <v>1175905</v>
      </c>
      <c r="H58" s="604">
        <f t="shared" si="42"/>
        <v>641607</v>
      </c>
      <c r="I58" s="477">
        <f>SUM(I55,I56)</f>
        <v>491656</v>
      </c>
      <c r="J58" s="603">
        <f t="shared" ref="J58:AO58" si="43">SUM(J55,J56)</f>
        <v>393924</v>
      </c>
      <c r="K58" s="605">
        <f t="shared" si="43"/>
        <v>393924</v>
      </c>
      <c r="L58" s="474">
        <f t="shared" si="43"/>
        <v>1604162</v>
      </c>
      <c r="M58" s="603">
        <f t="shared" si="43"/>
        <v>1755762</v>
      </c>
      <c r="N58" s="604">
        <f t="shared" si="43"/>
        <v>1755762</v>
      </c>
      <c r="O58" s="477">
        <f t="shared" si="43"/>
        <v>491062</v>
      </c>
      <c r="P58" s="603">
        <f t="shared" si="43"/>
        <v>566800</v>
      </c>
      <c r="Q58" s="605">
        <f t="shared" si="43"/>
        <v>111985</v>
      </c>
      <c r="R58" s="474">
        <f t="shared" si="43"/>
        <v>387471</v>
      </c>
      <c r="S58" s="603">
        <f t="shared" si="43"/>
        <v>399769</v>
      </c>
      <c r="T58" s="604">
        <f t="shared" si="43"/>
        <v>277769</v>
      </c>
      <c r="U58" s="477">
        <f t="shared" si="43"/>
        <v>309455</v>
      </c>
      <c r="V58" s="603">
        <f t="shared" si="43"/>
        <v>785244</v>
      </c>
      <c r="W58" s="605">
        <f t="shared" si="43"/>
        <v>785244</v>
      </c>
      <c r="X58" s="474">
        <f t="shared" si="43"/>
        <v>103797</v>
      </c>
      <c r="Y58" s="603">
        <f t="shared" si="43"/>
        <v>194337</v>
      </c>
      <c r="Z58" s="604">
        <f t="shared" si="43"/>
        <v>0</v>
      </c>
      <c r="AA58" s="477">
        <f t="shared" si="43"/>
        <v>98507</v>
      </c>
      <c r="AB58" s="603">
        <f t="shared" si="43"/>
        <v>130481</v>
      </c>
      <c r="AC58" s="605">
        <f t="shared" si="43"/>
        <v>0</v>
      </c>
      <c r="AD58" s="474">
        <f t="shared" si="43"/>
        <v>1480055</v>
      </c>
      <c r="AE58" s="603">
        <f t="shared" si="43"/>
        <v>1402272</v>
      </c>
      <c r="AF58" s="604">
        <f t="shared" si="43"/>
        <v>0</v>
      </c>
      <c r="AG58" s="477">
        <f t="shared" si="43"/>
        <v>155748</v>
      </c>
      <c r="AH58" s="603">
        <f t="shared" si="43"/>
        <v>210931</v>
      </c>
      <c r="AI58" s="605">
        <f t="shared" si="43"/>
        <v>0</v>
      </c>
      <c r="AJ58" s="474">
        <f t="shared" si="43"/>
        <v>98830</v>
      </c>
      <c r="AK58" s="603">
        <f t="shared" si="43"/>
        <v>195497</v>
      </c>
      <c r="AL58" s="604">
        <f t="shared" si="43"/>
        <v>0</v>
      </c>
      <c r="AM58" s="477">
        <f t="shared" si="43"/>
        <v>372376</v>
      </c>
      <c r="AN58" s="603">
        <f t="shared" si="43"/>
        <v>406232</v>
      </c>
      <c r="AO58" s="475">
        <f t="shared" si="43"/>
        <v>0</v>
      </c>
    </row>
    <row r="59" spans="1:41" x14ac:dyDescent="0.2">
      <c r="A59" s="466" t="s">
        <v>648</v>
      </c>
      <c r="B59" s="467" t="s">
        <v>662</v>
      </c>
      <c r="C59" s="468">
        <f t="shared" ref="C59:C63" si="44">SUM(F59,I59,L59,O59,R59,U59,X59,AA59,AD59,AG59,AJ59,AM59)</f>
        <v>111425</v>
      </c>
      <c r="D59" s="469">
        <f t="shared" si="40"/>
        <v>237405</v>
      </c>
      <c r="E59" s="470">
        <f t="shared" si="39"/>
        <v>0</v>
      </c>
      <c r="F59" s="598">
        <v>9285</v>
      </c>
      <c r="G59" s="598">
        <v>0</v>
      </c>
      <c r="H59" s="599">
        <v>0</v>
      </c>
      <c r="I59" s="549">
        <v>9285</v>
      </c>
      <c r="J59" s="598">
        <v>0</v>
      </c>
      <c r="K59" s="600">
        <v>0</v>
      </c>
      <c r="L59" s="469">
        <v>9286</v>
      </c>
      <c r="M59" s="598">
        <v>0</v>
      </c>
      <c r="N59" s="599">
        <v>0</v>
      </c>
      <c r="O59" s="549">
        <v>9285</v>
      </c>
      <c r="P59" s="598">
        <v>0</v>
      </c>
      <c r="Q59" s="600">
        <v>0</v>
      </c>
      <c r="R59" s="469">
        <v>9285</v>
      </c>
      <c r="S59" s="598">
        <v>46430</v>
      </c>
      <c r="T59" s="599">
        <v>0</v>
      </c>
      <c r="U59" s="549">
        <v>9286</v>
      </c>
      <c r="V59" s="598">
        <v>0</v>
      </c>
      <c r="W59" s="600">
        <v>0</v>
      </c>
      <c r="X59" s="469">
        <v>9285</v>
      </c>
      <c r="Y59" s="598">
        <v>0</v>
      </c>
      <c r="Z59" s="599"/>
      <c r="AA59" s="549">
        <v>9286</v>
      </c>
      <c r="AB59" s="598">
        <v>32705</v>
      </c>
      <c r="AC59" s="600"/>
      <c r="AD59" s="469">
        <v>9286</v>
      </c>
      <c r="AE59" s="598">
        <v>39567</v>
      </c>
      <c r="AF59" s="599"/>
      <c r="AG59" s="549">
        <v>9285</v>
      </c>
      <c r="AH59" s="598">
        <v>39568</v>
      </c>
      <c r="AI59" s="600"/>
      <c r="AJ59" s="469">
        <v>9285</v>
      </c>
      <c r="AK59" s="598">
        <v>39567</v>
      </c>
      <c r="AL59" s="599"/>
      <c r="AM59" s="549">
        <v>9286</v>
      </c>
      <c r="AN59" s="601">
        <v>39568</v>
      </c>
      <c r="AO59" s="602"/>
    </row>
    <row r="60" spans="1:41" x14ac:dyDescent="0.2">
      <c r="A60" s="491" t="s">
        <v>663</v>
      </c>
      <c r="B60" s="492" t="s">
        <v>664</v>
      </c>
      <c r="C60" s="468">
        <f t="shared" si="44"/>
        <v>402001</v>
      </c>
      <c r="D60" s="469">
        <f t="shared" si="40"/>
        <v>520111</v>
      </c>
      <c r="E60" s="470">
        <f t="shared" si="39"/>
        <v>70347</v>
      </c>
      <c r="F60" s="598">
        <v>33500</v>
      </c>
      <c r="G60" s="598">
        <v>11154</v>
      </c>
      <c r="H60" s="599">
        <v>11154</v>
      </c>
      <c r="I60" s="549">
        <v>33500</v>
      </c>
      <c r="J60" s="598">
        <v>4090</v>
      </c>
      <c r="K60" s="600">
        <v>4090</v>
      </c>
      <c r="L60" s="469">
        <v>33501</v>
      </c>
      <c r="M60" s="598">
        <v>2503</v>
      </c>
      <c r="N60" s="599">
        <v>2503</v>
      </c>
      <c r="O60" s="549">
        <v>33500</v>
      </c>
      <c r="P60" s="598">
        <v>22793</v>
      </c>
      <c r="Q60" s="600">
        <v>22793</v>
      </c>
      <c r="R60" s="469">
        <v>33500</v>
      </c>
      <c r="S60" s="598">
        <v>22722</v>
      </c>
      <c r="T60" s="599">
        <v>22722</v>
      </c>
      <c r="U60" s="549">
        <v>33500</v>
      </c>
      <c r="V60" s="598">
        <v>7085</v>
      </c>
      <c r="W60" s="600">
        <v>7085</v>
      </c>
      <c r="X60" s="469">
        <v>33500</v>
      </c>
      <c r="Y60" s="598">
        <v>74961</v>
      </c>
      <c r="Z60" s="599"/>
      <c r="AA60" s="549">
        <v>33500</v>
      </c>
      <c r="AB60" s="598">
        <v>74961</v>
      </c>
      <c r="AC60" s="600"/>
      <c r="AD60" s="469">
        <v>33500</v>
      </c>
      <c r="AE60" s="598">
        <v>74961</v>
      </c>
      <c r="AF60" s="599"/>
      <c r="AG60" s="549">
        <v>33500</v>
      </c>
      <c r="AH60" s="598">
        <v>74960</v>
      </c>
      <c r="AI60" s="600"/>
      <c r="AJ60" s="469">
        <v>33500</v>
      </c>
      <c r="AK60" s="598">
        <v>74961</v>
      </c>
      <c r="AL60" s="599"/>
      <c r="AM60" s="549">
        <v>33500</v>
      </c>
      <c r="AN60" s="601">
        <v>74960</v>
      </c>
      <c r="AO60" s="602"/>
    </row>
    <row r="61" spans="1:41" x14ac:dyDescent="0.2">
      <c r="A61" s="491" t="s">
        <v>665</v>
      </c>
      <c r="B61" s="492" t="s">
        <v>666</v>
      </c>
      <c r="C61" s="468">
        <f t="shared" si="44"/>
        <v>39624</v>
      </c>
      <c r="D61" s="469">
        <f t="shared" si="40"/>
        <v>39624</v>
      </c>
      <c r="E61" s="470">
        <f t="shared" si="39"/>
        <v>24615</v>
      </c>
      <c r="F61" s="598">
        <v>3302</v>
      </c>
      <c r="G61" s="598">
        <v>2354</v>
      </c>
      <c r="H61" s="599">
        <v>2354</v>
      </c>
      <c r="I61" s="549">
        <v>3302</v>
      </c>
      <c r="J61" s="598">
        <v>2778</v>
      </c>
      <c r="K61" s="600">
        <v>2778</v>
      </c>
      <c r="L61" s="469">
        <v>3302</v>
      </c>
      <c r="M61" s="598">
        <v>5210</v>
      </c>
      <c r="N61" s="599">
        <v>5210</v>
      </c>
      <c r="O61" s="549">
        <v>3302</v>
      </c>
      <c r="P61" s="598">
        <v>4221</v>
      </c>
      <c r="Q61" s="600">
        <v>4221</v>
      </c>
      <c r="R61" s="469">
        <v>3302</v>
      </c>
      <c r="S61" s="598">
        <v>5008</v>
      </c>
      <c r="T61" s="599">
        <v>5008</v>
      </c>
      <c r="U61" s="549">
        <v>3302</v>
      </c>
      <c r="V61" s="598">
        <v>5044</v>
      </c>
      <c r="W61" s="600">
        <v>5044</v>
      </c>
      <c r="X61" s="469">
        <v>3302</v>
      </c>
      <c r="Y61" s="598">
        <v>2501</v>
      </c>
      <c r="Z61" s="599"/>
      <c r="AA61" s="549">
        <v>3302</v>
      </c>
      <c r="AB61" s="598">
        <v>2502</v>
      </c>
      <c r="AC61" s="600"/>
      <c r="AD61" s="469">
        <v>3302</v>
      </c>
      <c r="AE61" s="598">
        <v>2501</v>
      </c>
      <c r="AF61" s="599"/>
      <c r="AG61" s="549">
        <v>3302</v>
      </c>
      <c r="AH61" s="598">
        <v>2502</v>
      </c>
      <c r="AI61" s="600"/>
      <c r="AJ61" s="469">
        <v>3302</v>
      </c>
      <c r="AK61" s="598">
        <v>2501</v>
      </c>
      <c r="AL61" s="599"/>
      <c r="AM61" s="549">
        <v>3302</v>
      </c>
      <c r="AN61" s="601">
        <v>2502</v>
      </c>
      <c r="AO61" s="602"/>
    </row>
    <row r="62" spans="1:41" x14ac:dyDescent="0.2">
      <c r="A62" s="471" t="s">
        <v>667</v>
      </c>
      <c r="B62" s="472" t="s">
        <v>668</v>
      </c>
      <c r="C62" s="473">
        <f t="shared" si="44"/>
        <v>553050</v>
      </c>
      <c r="D62" s="474">
        <f t="shared" si="40"/>
        <v>797140</v>
      </c>
      <c r="E62" s="475">
        <f t="shared" si="39"/>
        <v>94962</v>
      </c>
      <c r="F62" s="603">
        <f>SUM(F59:F61)</f>
        <v>46087</v>
      </c>
      <c r="G62" s="603">
        <f t="shared" ref="G62:AO62" si="45">SUM(G59:G61)</f>
        <v>13508</v>
      </c>
      <c r="H62" s="604">
        <f t="shared" si="45"/>
        <v>13508</v>
      </c>
      <c r="I62" s="477">
        <f t="shared" si="45"/>
        <v>46087</v>
      </c>
      <c r="J62" s="603">
        <f t="shared" si="45"/>
        <v>6868</v>
      </c>
      <c r="K62" s="605">
        <f t="shared" si="45"/>
        <v>6868</v>
      </c>
      <c r="L62" s="474">
        <f t="shared" si="45"/>
        <v>46089</v>
      </c>
      <c r="M62" s="603">
        <f t="shared" si="45"/>
        <v>7713</v>
      </c>
      <c r="N62" s="604">
        <f t="shared" si="45"/>
        <v>7713</v>
      </c>
      <c r="O62" s="477">
        <f t="shared" si="45"/>
        <v>46087</v>
      </c>
      <c r="P62" s="603">
        <f t="shared" si="45"/>
        <v>27014</v>
      </c>
      <c r="Q62" s="605">
        <f t="shared" si="45"/>
        <v>27014</v>
      </c>
      <c r="R62" s="474">
        <f t="shared" si="45"/>
        <v>46087</v>
      </c>
      <c r="S62" s="603">
        <f t="shared" si="45"/>
        <v>74160</v>
      </c>
      <c r="T62" s="604">
        <f t="shared" si="45"/>
        <v>27730</v>
      </c>
      <c r="U62" s="477">
        <f t="shared" si="45"/>
        <v>46088</v>
      </c>
      <c r="V62" s="603">
        <f t="shared" si="45"/>
        <v>12129</v>
      </c>
      <c r="W62" s="605">
        <f t="shared" si="45"/>
        <v>12129</v>
      </c>
      <c r="X62" s="474">
        <f t="shared" si="45"/>
        <v>46087</v>
      </c>
      <c r="Y62" s="603">
        <f t="shared" si="45"/>
        <v>77462</v>
      </c>
      <c r="Z62" s="604">
        <f t="shared" si="45"/>
        <v>0</v>
      </c>
      <c r="AA62" s="477">
        <f t="shared" si="45"/>
        <v>46088</v>
      </c>
      <c r="AB62" s="603">
        <f t="shared" si="45"/>
        <v>110168</v>
      </c>
      <c r="AC62" s="605">
        <f t="shared" si="45"/>
        <v>0</v>
      </c>
      <c r="AD62" s="474">
        <f t="shared" si="45"/>
        <v>46088</v>
      </c>
      <c r="AE62" s="603">
        <f t="shared" si="45"/>
        <v>117029</v>
      </c>
      <c r="AF62" s="604">
        <f t="shared" si="45"/>
        <v>0</v>
      </c>
      <c r="AG62" s="477">
        <f t="shared" si="45"/>
        <v>46087</v>
      </c>
      <c r="AH62" s="603">
        <f t="shared" si="45"/>
        <v>117030</v>
      </c>
      <c r="AI62" s="605">
        <f t="shared" si="45"/>
        <v>0</v>
      </c>
      <c r="AJ62" s="474">
        <f t="shared" si="45"/>
        <v>46087</v>
      </c>
      <c r="AK62" s="603">
        <f t="shared" si="45"/>
        <v>117029</v>
      </c>
      <c r="AL62" s="604">
        <f t="shared" si="45"/>
        <v>0</v>
      </c>
      <c r="AM62" s="477">
        <f t="shared" si="45"/>
        <v>46088</v>
      </c>
      <c r="AN62" s="603">
        <f t="shared" si="45"/>
        <v>117030</v>
      </c>
      <c r="AO62" s="475">
        <f t="shared" si="45"/>
        <v>0</v>
      </c>
    </row>
    <row r="63" spans="1:41" x14ac:dyDescent="0.2">
      <c r="A63" s="493" t="s">
        <v>669</v>
      </c>
      <c r="B63" s="494" t="s">
        <v>657</v>
      </c>
      <c r="C63" s="473">
        <f t="shared" si="44"/>
        <v>2500000</v>
      </c>
      <c r="D63" s="474">
        <f t="shared" si="40"/>
        <v>2500000</v>
      </c>
      <c r="E63" s="475">
        <f t="shared" si="39"/>
        <v>0</v>
      </c>
      <c r="F63" s="603"/>
      <c r="G63" s="603"/>
      <c r="H63" s="604"/>
      <c r="I63" s="477"/>
      <c r="J63" s="603"/>
      <c r="K63" s="605"/>
      <c r="L63" s="474"/>
      <c r="M63" s="603"/>
      <c r="N63" s="604"/>
      <c r="O63" s="477"/>
      <c r="P63" s="603"/>
      <c r="Q63" s="605"/>
      <c r="R63" s="474">
        <v>100000</v>
      </c>
      <c r="S63" s="603">
        <v>148884</v>
      </c>
      <c r="T63" s="604"/>
      <c r="U63" s="477">
        <v>200000</v>
      </c>
      <c r="V63" s="603"/>
      <c r="W63" s="605"/>
      <c r="X63" s="474">
        <v>400000</v>
      </c>
      <c r="Y63" s="603">
        <v>387762</v>
      </c>
      <c r="Z63" s="604"/>
      <c r="AA63" s="477">
        <v>400000</v>
      </c>
      <c r="AB63" s="603">
        <v>456692</v>
      </c>
      <c r="AC63" s="605"/>
      <c r="AD63" s="474">
        <v>600000</v>
      </c>
      <c r="AE63" s="603">
        <v>499300</v>
      </c>
      <c r="AF63" s="604"/>
      <c r="AG63" s="477">
        <v>320000</v>
      </c>
      <c r="AH63" s="603">
        <v>369383</v>
      </c>
      <c r="AI63" s="605"/>
      <c r="AJ63" s="474">
        <v>370000</v>
      </c>
      <c r="AK63" s="603">
        <v>384814</v>
      </c>
      <c r="AL63" s="604"/>
      <c r="AM63" s="477">
        <v>110000</v>
      </c>
      <c r="AN63" s="609">
        <v>253165</v>
      </c>
      <c r="AO63" s="602"/>
    </row>
    <row r="64" spans="1:41" x14ac:dyDescent="0.2">
      <c r="A64" s="481" t="s">
        <v>658</v>
      </c>
      <c r="B64" s="482" t="s">
        <v>659</v>
      </c>
      <c r="C64" s="483">
        <f>SUM(F64,I64,L64,O64,R64,U64,X64,AA64,AD64,AG64,AJ64,AM64)</f>
        <v>0</v>
      </c>
      <c r="D64" s="484">
        <f t="shared" si="40"/>
        <v>0</v>
      </c>
      <c r="E64" s="485">
        <f t="shared" si="39"/>
        <v>0</v>
      </c>
      <c r="F64" s="598"/>
      <c r="G64" s="598"/>
      <c r="H64" s="599"/>
      <c r="I64" s="549"/>
      <c r="J64" s="598"/>
      <c r="K64" s="600"/>
      <c r="L64" s="469"/>
      <c r="M64" s="598"/>
      <c r="N64" s="599"/>
      <c r="O64" s="549"/>
      <c r="P64" s="598"/>
      <c r="Q64" s="600"/>
      <c r="R64" s="469"/>
      <c r="S64" s="598"/>
      <c r="T64" s="599"/>
      <c r="U64" s="549"/>
      <c r="V64" s="598"/>
      <c r="W64" s="600"/>
      <c r="X64" s="469"/>
      <c r="Y64" s="598"/>
      <c r="Z64" s="599"/>
      <c r="AA64" s="549"/>
      <c r="AB64" s="598"/>
      <c r="AC64" s="600"/>
      <c r="AD64" s="469"/>
      <c r="AE64" s="598"/>
      <c r="AF64" s="599"/>
      <c r="AG64" s="549"/>
      <c r="AH64" s="598"/>
      <c r="AI64" s="600"/>
      <c r="AJ64" s="469"/>
      <c r="AK64" s="598"/>
      <c r="AL64" s="599"/>
      <c r="AM64" s="549"/>
      <c r="AN64" s="601"/>
      <c r="AO64" s="602"/>
    </row>
    <row r="65" spans="1:42" s="480" customFormat="1" ht="15.75" thickBot="1" x14ac:dyDescent="0.25">
      <c r="A65" s="505" t="s">
        <v>670</v>
      </c>
      <c r="B65" s="506" t="s">
        <v>671</v>
      </c>
      <c r="C65" s="507">
        <f>SUM(F65,I65,L65,O65,R65,U65,X65,AA65,AD65,AG65,AJ65,AM65)</f>
        <v>3053050</v>
      </c>
      <c r="D65" s="508">
        <f t="shared" si="40"/>
        <v>3297140</v>
      </c>
      <c r="E65" s="509">
        <f t="shared" si="39"/>
        <v>94962</v>
      </c>
      <c r="F65" s="610">
        <f>SUM(F62,F63)</f>
        <v>46087</v>
      </c>
      <c r="G65" s="610">
        <f t="shared" ref="G65:H65" si="46">SUM(G62,G63)</f>
        <v>13508</v>
      </c>
      <c r="H65" s="611">
        <f t="shared" si="46"/>
        <v>13508</v>
      </c>
      <c r="I65" s="514">
        <f>SUM(I62,I63)</f>
        <v>46087</v>
      </c>
      <c r="J65" s="610">
        <f t="shared" ref="J65:AO65" si="47">SUM(J62,J63)</f>
        <v>6868</v>
      </c>
      <c r="K65" s="612">
        <f t="shared" si="47"/>
        <v>6868</v>
      </c>
      <c r="L65" s="508">
        <f t="shared" si="47"/>
        <v>46089</v>
      </c>
      <c r="M65" s="610">
        <f t="shared" si="47"/>
        <v>7713</v>
      </c>
      <c r="N65" s="611">
        <f t="shared" si="47"/>
        <v>7713</v>
      </c>
      <c r="O65" s="514">
        <f t="shared" si="47"/>
        <v>46087</v>
      </c>
      <c r="P65" s="610">
        <f t="shared" si="47"/>
        <v>27014</v>
      </c>
      <c r="Q65" s="612">
        <f t="shared" si="47"/>
        <v>27014</v>
      </c>
      <c r="R65" s="508">
        <f t="shared" si="47"/>
        <v>146087</v>
      </c>
      <c r="S65" s="610">
        <f t="shared" si="47"/>
        <v>223044</v>
      </c>
      <c r="T65" s="611">
        <f t="shared" si="47"/>
        <v>27730</v>
      </c>
      <c r="U65" s="514">
        <f t="shared" si="47"/>
        <v>246088</v>
      </c>
      <c r="V65" s="610">
        <f t="shared" si="47"/>
        <v>12129</v>
      </c>
      <c r="W65" s="612">
        <f t="shared" si="47"/>
        <v>12129</v>
      </c>
      <c r="X65" s="508">
        <f t="shared" si="47"/>
        <v>446087</v>
      </c>
      <c r="Y65" s="610">
        <f t="shared" si="47"/>
        <v>465224</v>
      </c>
      <c r="Z65" s="611">
        <f t="shared" si="47"/>
        <v>0</v>
      </c>
      <c r="AA65" s="514">
        <f t="shared" si="47"/>
        <v>446088</v>
      </c>
      <c r="AB65" s="610">
        <f t="shared" si="47"/>
        <v>566860</v>
      </c>
      <c r="AC65" s="612">
        <f t="shared" si="47"/>
        <v>0</v>
      </c>
      <c r="AD65" s="508">
        <f t="shared" si="47"/>
        <v>646088</v>
      </c>
      <c r="AE65" s="610">
        <f t="shared" si="47"/>
        <v>616329</v>
      </c>
      <c r="AF65" s="611">
        <f t="shared" si="47"/>
        <v>0</v>
      </c>
      <c r="AG65" s="514">
        <f t="shared" si="47"/>
        <v>366087</v>
      </c>
      <c r="AH65" s="610">
        <f t="shared" si="47"/>
        <v>486413</v>
      </c>
      <c r="AI65" s="612">
        <f t="shared" si="47"/>
        <v>0</v>
      </c>
      <c r="AJ65" s="508">
        <f t="shared" si="47"/>
        <v>416087</v>
      </c>
      <c r="AK65" s="610">
        <f t="shared" si="47"/>
        <v>501843</v>
      </c>
      <c r="AL65" s="611">
        <f t="shared" si="47"/>
        <v>0</v>
      </c>
      <c r="AM65" s="514">
        <f t="shared" si="47"/>
        <v>156088</v>
      </c>
      <c r="AN65" s="610">
        <f t="shared" si="47"/>
        <v>370195</v>
      </c>
      <c r="AO65" s="509">
        <f t="shared" si="47"/>
        <v>0</v>
      </c>
      <c r="AP65" s="479"/>
    </row>
    <row r="66" spans="1:42" ht="15" thickBot="1" x14ac:dyDescent="0.25">
      <c r="A66" s="515" t="s">
        <v>672</v>
      </c>
      <c r="B66" s="516" t="s">
        <v>673</v>
      </c>
      <c r="C66" s="562">
        <f>SUM(F66,I66,L66,O66,R66,U66,X66,AA66,AD66,AG66,AJ66,AM66)</f>
        <v>9905912</v>
      </c>
      <c r="D66" s="518">
        <f t="shared" si="40"/>
        <v>10914294</v>
      </c>
      <c r="E66" s="519">
        <f t="shared" si="39"/>
        <v>4061253</v>
      </c>
      <c r="F66" s="520">
        <f>SUM(F65,F58)</f>
        <v>1305830</v>
      </c>
      <c r="G66" s="520">
        <f t="shared" ref="G66:H66" si="48">SUM(G65,G58)</f>
        <v>1189413</v>
      </c>
      <c r="H66" s="521">
        <f t="shared" si="48"/>
        <v>655115</v>
      </c>
      <c r="I66" s="522">
        <f t="shared" ref="I66:AM66" si="49">SUM(I58,I65)</f>
        <v>537743</v>
      </c>
      <c r="J66" s="520">
        <f t="shared" ref="J66:K66" si="50">SUM(J65,J58)</f>
        <v>400792</v>
      </c>
      <c r="K66" s="523">
        <f t="shared" si="50"/>
        <v>400792</v>
      </c>
      <c r="L66" s="520">
        <f t="shared" si="49"/>
        <v>1650251</v>
      </c>
      <c r="M66" s="520">
        <f t="shared" ref="M66:N66" si="51">SUM(M65,M58)</f>
        <v>1763475</v>
      </c>
      <c r="N66" s="521">
        <f t="shared" si="51"/>
        <v>1763475</v>
      </c>
      <c r="O66" s="522">
        <f t="shared" si="49"/>
        <v>537149</v>
      </c>
      <c r="P66" s="520">
        <f t="shared" ref="P66:Q66" si="52">SUM(P65,P58)</f>
        <v>593814</v>
      </c>
      <c r="Q66" s="523">
        <f t="shared" si="52"/>
        <v>138999</v>
      </c>
      <c r="R66" s="520">
        <f t="shared" si="49"/>
        <v>533558</v>
      </c>
      <c r="S66" s="520">
        <f t="shared" ref="S66:T66" si="53">SUM(S65,S58)</f>
        <v>622813</v>
      </c>
      <c r="T66" s="521">
        <f t="shared" si="53"/>
        <v>305499</v>
      </c>
      <c r="U66" s="522">
        <f t="shared" si="49"/>
        <v>555543</v>
      </c>
      <c r="V66" s="520">
        <f t="shared" ref="V66:W66" si="54">SUM(V65,V58)</f>
        <v>797373</v>
      </c>
      <c r="W66" s="523">
        <f t="shared" si="54"/>
        <v>797373</v>
      </c>
      <c r="X66" s="520">
        <f t="shared" si="49"/>
        <v>549884</v>
      </c>
      <c r="Y66" s="520">
        <f t="shared" ref="Y66:Z66" si="55">SUM(Y65,Y58)</f>
        <v>659561</v>
      </c>
      <c r="Z66" s="521">
        <f t="shared" si="55"/>
        <v>0</v>
      </c>
      <c r="AA66" s="522">
        <f t="shared" si="49"/>
        <v>544595</v>
      </c>
      <c r="AB66" s="520">
        <f t="shared" ref="AB66:AC66" si="56">SUM(AB65,AB58)</f>
        <v>697341</v>
      </c>
      <c r="AC66" s="523">
        <f t="shared" si="56"/>
        <v>0</v>
      </c>
      <c r="AD66" s="520">
        <f t="shared" si="49"/>
        <v>2126143</v>
      </c>
      <c r="AE66" s="520">
        <f t="shared" ref="AE66:AF66" si="57">SUM(AE65,AE58)</f>
        <v>2018601</v>
      </c>
      <c r="AF66" s="521">
        <f t="shared" si="57"/>
        <v>0</v>
      </c>
      <c r="AG66" s="522">
        <f t="shared" si="49"/>
        <v>521835</v>
      </c>
      <c r="AH66" s="520">
        <f t="shared" ref="AH66:AI66" si="58">SUM(AH65,AH58)</f>
        <v>697344</v>
      </c>
      <c r="AI66" s="523">
        <f t="shared" si="58"/>
        <v>0</v>
      </c>
      <c r="AJ66" s="520">
        <f t="shared" si="49"/>
        <v>514917</v>
      </c>
      <c r="AK66" s="520">
        <f t="shared" ref="AK66:AL66" si="59">SUM(AK65,AK58)</f>
        <v>697340</v>
      </c>
      <c r="AL66" s="521">
        <f t="shared" si="59"/>
        <v>0</v>
      </c>
      <c r="AM66" s="522">
        <f t="shared" si="49"/>
        <v>528464</v>
      </c>
      <c r="AN66" s="520">
        <f t="shared" ref="AN66:AO66" si="60">SUM(AN65,AN58)</f>
        <v>776427</v>
      </c>
      <c r="AO66" s="524">
        <f t="shared" si="60"/>
        <v>0</v>
      </c>
    </row>
    <row r="67" spans="1:42" ht="15" thickBot="1" x14ac:dyDescent="0.25">
      <c r="A67" s="526"/>
      <c r="B67" s="527" t="s">
        <v>1332</v>
      </c>
      <c r="C67" s="528"/>
      <c r="D67" s="529"/>
      <c r="E67" s="519">
        <f t="shared" si="39"/>
        <v>-43098</v>
      </c>
      <c r="F67" s="530"/>
      <c r="G67" s="530"/>
      <c r="H67" s="536">
        <f>-89860+71509+4005</f>
        <v>-14346</v>
      </c>
      <c r="I67" s="531"/>
      <c r="J67" s="530"/>
      <c r="K67" s="537">
        <v>-2769</v>
      </c>
      <c r="L67" s="530"/>
      <c r="M67" s="530"/>
      <c r="N67" s="536">
        <v>18527</v>
      </c>
      <c r="O67" s="531"/>
      <c r="P67" s="530"/>
      <c r="Q67" s="537">
        <v>16201</v>
      </c>
      <c r="R67" s="530"/>
      <c r="S67" s="530"/>
      <c r="T67" s="536">
        <v>-91256</v>
      </c>
      <c r="U67" s="531"/>
      <c r="V67" s="530"/>
      <c r="W67" s="537">
        <f>29328+1217</f>
        <v>30545</v>
      </c>
      <c r="X67" s="530"/>
      <c r="Y67" s="530"/>
      <c r="Z67" s="536"/>
      <c r="AA67" s="531"/>
      <c r="AB67" s="530"/>
      <c r="AC67" s="537"/>
      <c r="AD67" s="530"/>
      <c r="AE67" s="530"/>
      <c r="AF67" s="536"/>
      <c r="AG67" s="531"/>
      <c r="AH67" s="530"/>
      <c r="AI67" s="537"/>
      <c r="AJ67" s="530"/>
      <c r="AK67" s="532"/>
      <c r="AL67" s="536"/>
      <c r="AM67" s="531"/>
      <c r="AN67" s="532"/>
      <c r="AO67" s="613"/>
    </row>
    <row r="68" spans="1:42" ht="15" thickBot="1" x14ac:dyDescent="0.25">
      <c r="A68" s="526"/>
      <c r="B68" s="527" t="s">
        <v>1333</v>
      </c>
      <c r="C68" s="534"/>
      <c r="D68" s="535"/>
      <c r="E68" s="519">
        <f t="shared" si="39"/>
        <v>4018155</v>
      </c>
      <c r="F68" s="530"/>
      <c r="G68" s="530"/>
      <c r="H68" s="536">
        <f>SUM(H66:H67)</f>
        <v>640769</v>
      </c>
      <c r="I68" s="531"/>
      <c r="J68" s="530"/>
      <c r="K68" s="537">
        <f>SUM(K66:K67)</f>
        <v>398023</v>
      </c>
      <c r="L68" s="530"/>
      <c r="M68" s="530"/>
      <c r="N68" s="536">
        <f>SUM(N66:N67)</f>
        <v>1782002</v>
      </c>
      <c r="O68" s="531"/>
      <c r="P68" s="530"/>
      <c r="Q68" s="537">
        <f>SUM(Q66:Q67)</f>
        <v>155200</v>
      </c>
      <c r="R68" s="530"/>
      <c r="S68" s="530"/>
      <c r="T68" s="536">
        <f>SUM(T66:T67)</f>
        <v>214243</v>
      </c>
      <c r="U68" s="531"/>
      <c r="V68" s="530"/>
      <c r="W68" s="537">
        <f>SUM(W66:W67)</f>
        <v>827918</v>
      </c>
      <c r="X68" s="530"/>
      <c r="Y68" s="530"/>
      <c r="Z68" s="536">
        <f>SUM(Z66:Z67)</f>
        <v>0</v>
      </c>
      <c r="AA68" s="531"/>
      <c r="AB68" s="530"/>
      <c r="AC68" s="537">
        <f>SUM(AC66:AC67)</f>
        <v>0</v>
      </c>
      <c r="AD68" s="530"/>
      <c r="AE68" s="530"/>
      <c r="AF68" s="536">
        <f>SUM(AF66:AF67)</f>
        <v>0</v>
      </c>
      <c r="AG68" s="531"/>
      <c r="AH68" s="530"/>
      <c r="AI68" s="537">
        <f>SUM(AI66:AI67)</f>
        <v>0</v>
      </c>
      <c r="AJ68" s="530"/>
      <c r="AK68" s="532"/>
      <c r="AL68" s="536">
        <f>SUM(AL66:AL67)</f>
        <v>0</v>
      </c>
      <c r="AM68" s="531"/>
      <c r="AN68" s="532"/>
      <c r="AO68" s="524">
        <f>SUM(AO66:AO67)</f>
        <v>0</v>
      </c>
    </row>
    <row r="69" spans="1:42" x14ac:dyDescent="0.2">
      <c r="A69" s="538"/>
      <c r="B69" s="539" t="s">
        <v>674</v>
      </c>
      <c r="C69" s="614" t="s">
        <v>633</v>
      </c>
      <c r="D69" s="615" t="s">
        <v>1326</v>
      </c>
      <c r="E69" s="616" t="s">
        <v>1327</v>
      </c>
      <c r="F69" s="617"/>
      <c r="G69" s="617"/>
      <c r="H69" s="618"/>
      <c r="I69" s="619"/>
      <c r="J69" s="620"/>
      <c r="K69" s="621"/>
      <c r="L69" s="617"/>
      <c r="M69" s="620"/>
      <c r="N69" s="622"/>
      <c r="O69" s="619"/>
      <c r="P69" s="620"/>
      <c r="Q69" s="621"/>
      <c r="R69" s="617"/>
      <c r="S69" s="620"/>
      <c r="T69" s="622"/>
      <c r="U69" s="619"/>
      <c r="V69" s="620"/>
      <c r="W69" s="621"/>
      <c r="X69" s="617"/>
      <c r="Y69" s="620"/>
      <c r="Z69" s="622"/>
      <c r="AA69" s="619"/>
      <c r="AB69" s="620"/>
      <c r="AC69" s="621"/>
      <c r="AD69" s="617"/>
      <c r="AE69" s="620"/>
      <c r="AF69" s="622"/>
      <c r="AG69" s="619"/>
      <c r="AH69" s="620"/>
      <c r="AI69" s="621"/>
      <c r="AJ69" s="617"/>
      <c r="AK69" s="622"/>
      <c r="AL69" s="622"/>
      <c r="AM69" s="619"/>
      <c r="AN69" s="623"/>
      <c r="AO69" s="624"/>
    </row>
    <row r="70" spans="1:42" x14ac:dyDescent="0.2">
      <c r="A70" s="457" t="s">
        <v>675</v>
      </c>
      <c r="B70" s="458" t="s">
        <v>676</v>
      </c>
      <c r="C70" s="468">
        <f t="shared" ref="C70:E86" si="61">SUM(F70,I70,L70,O70,R70,U70,X70,AA70,AD70,AG70,AJ70,AM70)</f>
        <v>57418</v>
      </c>
      <c r="D70" s="543">
        <f t="shared" si="61"/>
        <v>57418</v>
      </c>
      <c r="E70" s="465">
        <f t="shared" si="61"/>
        <v>24707</v>
      </c>
      <c r="F70" s="592">
        <v>4785</v>
      </c>
      <c r="G70" s="592">
        <v>5096</v>
      </c>
      <c r="H70" s="593">
        <v>5096</v>
      </c>
      <c r="I70" s="594">
        <v>4785</v>
      </c>
      <c r="J70" s="592">
        <v>1977</v>
      </c>
      <c r="K70" s="595">
        <v>1977</v>
      </c>
      <c r="L70" s="543">
        <v>4785</v>
      </c>
      <c r="M70" s="592">
        <v>5542</v>
      </c>
      <c r="N70" s="593">
        <v>5542</v>
      </c>
      <c r="O70" s="594">
        <v>4784</v>
      </c>
      <c r="P70" s="592">
        <v>4489</v>
      </c>
      <c r="Q70" s="595">
        <v>4489</v>
      </c>
      <c r="R70" s="543">
        <v>4785</v>
      </c>
      <c r="S70" s="592">
        <v>5927</v>
      </c>
      <c r="T70" s="593">
        <v>5927</v>
      </c>
      <c r="U70" s="594">
        <v>4785</v>
      </c>
      <c r="V70" s="592">
        <v>1676</v>
      </c>
      <c r="W70" s="595">
        <v>1676</v>
      </c>
      <c r="X70" s="543">
        <v>4785</v>
      </c>
      <c r="Y70" s="592">
        <v>5452</v>
      </c>
      <c r="Z70" s="593"/>
      <c r="AA70" s="594">
        <v>4785</v>
      </c>
      <c r="AB70" s="592">
        <v>5452</v>
      </c>
      <c r="AC70" s="595"/>
      <c r="AD70" s="543">
        <v>4785</v>
      </c>
      <c r="AE70" s="592">
        <v>5452</v>
      </c>
      <c r="AF70" s="593"/>
      <c r="AG70" s="594">
        <v>4785</v>
      </c>
      <c r="AH70" s="592">
        <v>5452</v>
      </c>
      <c r="AI70" s="595"/>
      <c r="AJ70" s="543">
        <v>4784</v>
      </c>
      <c r="AK70" s="592">
        <v>5452</v>
      </c>
      <c r="AL70" s="593"/>
      <c r="AM70" s="594">
        <v>4785</v>
      </c>
      <c r="AN70" s="596">
        <v>5451</v>
      </c>
      <c r="AO70" s="597"/>
    </row>
    <row r="71" spans="1:42" x14ac:dyDescent="0.2">
      <c r="A71" s="466" t="s">
        <v>677</v>
      </c>
      <c r="B71" s="467" t="s">
        <v>678</v>
      </c>
      <c r="C71" s="468">
        <f t="shared" si="61"/>
        <v>13760</v>
      </c>
      <c r="D71" s="469">
        <f t="shared" si="61"/>
        <v>13760</v>
      </c>
      <c r="E71" s="470">
        <f t="shared" si="61"/>
        <v>5896</v>
      </c>
      <c r="F71" s="598">
        <v>1147</v>
      </c>
      <c r="G71" s="598">
        <v>1298</v>
      </c>
      <c r="H71" s="599">
        <v>1298</v>
      </c>
      <c r="I71" s="549">
        <v>1147</v>
      </c>
      <c r="J71" s="598">
        <v>506</v>
      </c>
      <c r="K71" s="600">
        <v>506</v>
      </c>
      <c r="L71" s="469">
        <v>1146</v>
      </c>
      <c r="M71" s="598">
        <v>1349</v>
      </c>
      <c r="N71" s="599">
        <v>1349</v>
      </c>
      <c r="O71" s="549">
        <v>1147</v>
      </c>
      <c r="P71" s="598">
        <v>1072</v>
      </c>
      <c r="Q71" s="600">
        <v>1072</v>
      </c>
      <c r="R71" s="469">
        <v>1147</v>
      </c>
      <c r="S71" s="598">
        <v>1243</v>
      </c>
      <c r="T71" s="599">
        <v>1243</v>
      </c>
      <c r="U71" s="549">
        <v>1146</v>
      </c>
      <c r="V71" s="598">
        <v>428</v>
      </c>
      <c r="W71" s="600">
        <v>428</v>
      </c>
      <c r="X71" s="469">
        <v>1147</v>
      </c>
      <c r="Y71" s="598">
        <v>1311</v>
      </c>
      <c r="Z71" s="599"/>
      <c r="AA71" s="549">
        <v>1147</v>
      </c>
      <c r="AB71" s="598">
        <v>1311</v>
      </c>
      <c r="AC71" s="600"/>
      <c r="AD71" s="469">
        <v>1146</v>
      </c>
      <c r="AE71" s="598">
        <v>1311</v>
      </c>
      <c r="AF71" s="599"/>
      <c r="AG71" s="549">
        <v>1147</v>
      </c>
      <c r="AH71" s="598">
        <v>1310</v>
      </c>
      <c r="AI71" s="600"/>
      <c r="AJ71" s="469">
        <v>1147</v>
      </c>
      <c r="AK71" s="598">
        <v>1311</v>
      </c>
      <c r="AL71" s="599"/>
      <c r="AM71" s="549">
        <v>1146</v>
      </c>
      <c r="AN71" s="601">
        <v>1310</v>
      </c>
      <c r="AO71" s="602"/>
    </row>
    <row r="72" spans="1:42" x14ac:dyDescent="0.2">
      <c r="A72" s="466" t="s">
        <v>679</v>
      </c>
      <c r="B72" s="467" t="s">
        <v>680</v>
      </c>
      <c r="C72" s="468">
        <f t="shared" si="61"/>
        <v>1082021</v>
      </c>
      <c r="D72" s="469">
        <f t="shared" si="61"/>
        <v>1151828</v>
      </c>
      <c r="E72" s="470">
        <f t="shared" si="61"/>
        <v>510410</v>
      </c>
      <c r="F72" s="598">
        <v>90168</v>
      </c>
      <c r="G72" s="598">
        <v>86005</v>
      </c>
      <c r="H72" s="599">
        <v>86005</v>
      </c>
      <c r="I72" s="549">
        <v>90168</v>
      </c>
      <c r="J72" s="598">
        <v>90022</v>
      </c>
      <c r="K72" s="600">
        <v>90022</v>
      </c>
      <c r="L72" s="469">
        <v>90169</v>
      </c>
      <c r="M72" s="598">
        <v>105359</v>
      </c>
      <c r="N72" s="599">
        <v>105359</v>
      </c>
      <c r="O72" s="549">
        <v>90168</v>
      </c>
      <c r="P72" s="598">
        <v>69023</v>
      </c>
      <c r="Q72" s="600">
        <v>69023</v>
      </c>
      <c r="R72" s="469">
        <v>90168</v>
      </c>
      <c r="S72" s="598">
        <v>64827</v>
      </c>
      <c r="T72" s="599">
        <v>64827</v>
      </c>
      <c r="U72" s="549">
        <v>90169</v>
      </c>
      <c r="V72" s="598">
        <v>95174</v>
      </c>
      <c r="W72" s="600">
        <v>95174</v>
      </c>
      <c r="X72" s="469">
        <v>90168</v>
      </c>
      <c r="Y72" s="598">
        <v>106903</v>
      </c>
      <c r="Z72" s="599"/>
      <c r="AA72" s="549">
        <v>90168</v>
      </c>
      <c r="AB72" s="598">
        <v>106903</v>
      </c>
      <c r="AC72" s="600"/>
      <c r="AD72" s="469">
        <v>90169</v>
      </c>
      <c r="AE72" s="598">
        <v>106903</v>
      </c>
      <c r="AF72" s="599"/>
      <c r="AG72" s="549">
        <v>90169</v>
      </c>
      <c r="AH72" s="598">
        <v>106903</v>
      </c>
      <c r="AI72" s="600"/>
      <c r="AJ72" s="469">
        <v>90168</v>
      </c>
      <c r="AK72" s="598">
        <v>106903</v>
      </c>
      <c r="AL72" s="599"/>
      <c r="AM72" s="549">
        <v>90169</v>
      </c>
      <c r="AN72" s="601">
        <v>106903</v>
      </c>
      <c r="AO72" s="602"/>
    </row>
    <row r="73" spans="1:42" x14ac:dyDescent="0.2">
      <c r="A73" s="466" t="s">
        <v>681</v>
      </c>
      <c r="B73" s="467" t="s">
        <v>682</v>
      </c>
      <c r="C73" s="468">
        <f t="shared" si="61"/>
        <v>61300</v>
      </c>
      <c r="D73" s="469">
        <f t="shared" si="61"/>
        <v>62956</v>
      </c>
      <c r="E73" s="470">
        <f t="shared" si="61"/>
        <v>15082</v>
      </c>
      <c r="F73" s="598"/>
      <c r="G73" s="598">
        <v>1623</v>
      </c>
      <c r="H73" s="599">
        <v>1623</v>
      </c>
      <c r="I73" s="549"/>
      <c r="J73" s="598">
        <v>1960</v>
      </c>
      <c r="K73" s="600">
        <v>1960</v>
      </c>
      <c r="L73" s="469"/>
      <c r="M73" s="598">
        <v>4280</v>
      </c>
      <c r="N73" s="599">
        <v>4280</v>
      </c>
      <c r="O73" s="549">
        <v>6812</v>
      </c>
      <c r="P73" s="598">
        <v>1119</v>
      </c>
      <c r="Q73" s="600">
        <v>1119</v>
      </c>
      <c r="R73" s="469">
        <v>6811</v>
      </c>
      <c r="S73" s="598">
        <v>2001</v>
      </c>
      <c r="T73" s="599">
        <v>2001</v>
      </c>
      <c r="U73" s="549">
        <v>6811</v>
      </c>
      <c r="V73" s="598">
        <v>4099</v>
      </c>
      <c r="W73" s="600">
        <v>4099</v>
      </c>
      <c r="X73" s="469">
        <v>6811</v>
      </c>
      <c r="Y73" s="598">
        <v>7979</v>
      </c>
      <c r="Z73" s="599"/>
      <c r="AA73" s="549">
        <v>6811</v>
      </c>
      <c r="AB73" s="598">
        <v>7979</v>
      </c>
      <c r="AC73" s="600"/>
      <c r="AD73" s="469">
        <v>6811</v>
      </c>
      <c r="AE73" s="598">
        <v>7979</v>
      </c>
      <c r="AF73" s="599"/>
      <c r="AG73" s="549">
        <v>6811</v>
      </c>
      <c r="AH73" s="598">
        <v>7979</v>
      </c>
      <c r="AI73" s="600"/>
      <c r="AJ73" s="469">
        <v>6811</v>
      </c>
      <c r="AK73" s="598">
        <v>7979</v>
      </c>
      <c r="AL73" s="599"/>
      <c r="AM73" s="549">
        <v>6811</v>
      </c>
      <c r="AN73" s="601">
        <v>7979</v>
      </c>
      <c r="AO73" s="602"/>
    </row>
    <row r="74" spans="1:42" x14ac:dyDescent="0.2">
      <c r="A74" s="466" t="s">
        <v>683</v>
      </c>
      <c r="B74" s="467" t="s">
        <v>684</v>
      </c>
      <c r="C74" s="468">
        <f t="shared" si="61"/>
        <v>464612</v>
      </c>
      <c r="D74" s="469">
        <f t="shared" si="61"/>
        <v>335251</v>
      </c>
      <c r="E74" s="470">
        <f t="shared" si="61"/>
        <v>134847</v>
      </c>
      <c r="F74" s="598">
        <v>36461</v>
      </c>
      <c r="G74" s="598">
        <v>9566</v>
      </c>
      <c r="H74" s="599">
        <v>9566</v>
      </c>
      <c r="I74" s="549">
        <v>36461</v>
      </c>
      <c r="J74" s="598">
        <f>22926+18874</f>
        <v>41800</v>
      </c>
      <c r="K74" s="600">
        <v>8738</v>
      </c>
      <c r="L74" s="469">
        <v>36462</v>
      </c>
      <c r="M74" s="598">
        <v>36221</v>
      </c>
      <c r="N74" s="599">
        <v>36221</v>
      </c>
      <c r="O74" s="549">
        <v>36461</v>
      </c>
      <c r="P74" s="598">
        <v>20332</v>
      </c>
      <c r="Q74" s="600">
        <v>20332</v>
      </c>
      <c r="R74" s="469">
        <v>36461</v>
      </c>
      <c r="S74" s="598">
        <v>18793</v>
      </c>
      <c r="T74" s="599">
        <v>18793</v>
      </c>
      <c r="U74" s="549">
        <v>50000</v>
      </c>
      <c r="V74" s="598">
        <v>41197</v>
      </c>
      <c r="W74" s="600">
        <v>41197</v>
      </c>
      <c r="X74" s="469">
        <v>36461</v>
      </c>
      <c r="Y74" s="598">
        <v>18224</v>
      </c>
      <c r="Z74" s="599"/>
      <c r="AA74" s="549">
        <v>36461</v>
      </c>
      <c r="AB74" s="598">
        <v>32536</v>
      </c>
      <c r="AC74" s="600"/>
      <c r="AD74" s="469">
        <v>36462</v>
      </c>
      <c r="AE74" s="598">
        <v>29145</v>
      </c>
      <c r="AF74" s="599"/>
      <c r="AG74" s="549">
        <v>36461</v>
      </c>
      <c r="AH74" s="598">
        <v>29146</v>
      </c>
      <c r="AI74" s="600"/>
      <c r="AJ74" s="469">
        <v>36461</v>
      </c>
      <c r="AK74" s="598">
        <v>29145</v>
      </c>
      <c r="AL74" s="599"/>
      <c r="AM74" s="549">
        <v>50000</v>
      </c>
      <c r="AN74" s="601">
        <v>29146</v>
      </c>
      <c r="AO74" s="602"/>
    </row>
    <row r="75" spans="1:42" x14ac:dyDescent="0.2">
      <c r="A75" s="481"/>
      <c r="B75" s="482" t="s">
        <v>685</v>
      </c>
      <c r="C75" s="483">
        <f t="shared" si="61"/>
        <v>86589</v>
      </c>
      <c r="D75" s="484">
        <f t="shared" si="61"/>
        <v>0</v>
      </c>
      <c r="E75" s="485">
        <f t="shared" si="61"/>
        <v>0</v>
      </c>
      <c r="F75" s="606">
        <v>8659</v>
      </c>
      <c r="G75" s="606"/>
      <c r="H75" s="607"/>
      <c r="I75" s="487">
        <v>8659</v>
      </c>
      <c r="J75" s="606"/>
      <c r="K75" s="608"/>
      <c r="L75" s="484">
        <v>8659</v>
      </c>
      <c r="M75" s="606"/>
      <c r="N75" s="607"/>
      <c r="O75" s="487">
        <v>8659</v>
      </c>
      <c r="P75" s="606"/>
      <c r="Q75" s="608"/>
      <c r="R75" s="484">
        <v>8659</v>
      </c>
      <c r="S75" s="606"/>
      <c r="T75" s="607"/>
      <c r="U75" s="487"/>
      <c r="V75" s="606"/>
      <c r="W75" s="608"/>
      <c r="X75" s="484">
        <v>8659</v>
      </c>
      <c r="Y75" s="606"/>
      <c r="Z75" s="607"/>
      <c r="AA75" s="487">
        <v>8659</v>
      </c>
      <c r="AB75" s="606"/>
      <c r="AC75" s="608"/>
      <c r="AD75" s="484">
        <v>8659</v>
      </c>
      <c r="AE75" s="606"/>
      <c r="AF75" s="607"/>
      <c r="AG75" s="487">
        <v>8659</v>
      </c>
      <c r="AH75" s="606"/>
      <c r="AI75" s="608"/>
      <c r="AJ75" s="484">
        <v>8658</v>
      </c>
      <c r="AK75" s="606"/>
      <c r="AL75" s="607"/>
      <c r="AM75" s="487"/>
      <c r="AN75" s="601"/>
      <c r="AO75" s="602"/>
    </row>
    <row r="76" spans="1:42" x14ac:dyDescent="0.2">
      <c r="A76" s="544"/>
      <c r="B76" s="545" t="s">
        <v>686</v>
      </c>
      <c r="C76" s="483">
        <f t="shared" si="61"/>
        <v>100000</v>
      </c>
      <c r="D76" s="484">
        <f t="shared" si="61"/>
        <v>57228</v>
      </c>
      <c r="E76" s="485">
        <f t="shared" si="61"/>
        <v>0</v>
      </c>
      <c r="F76" s="606"/>
      <c r="G76" s="606"/>
      <c r="H76" s="607"/>
      <c r="I76" s="487"/>
      <c r="J76" s="606"/>
      <c r="K76" s="608"/>
      <c r="L76" s="484"/>
      <c r="M76" s="606"/>
      <c r="N76" s="607"/>
      <c r="O76" s="487"/>
      <c r="P76" s="606"/>
      <c r="Q76" s="608"/>
      <c r="R76" s="484"/>
      <c r="S76" s="606"/>
      <c r="T76" s="607"/>
      <c r="U76" s="487">
        <v>50000</v>
      </c>
      <c r="V76" s="606"/>
      <c r="W76" s="608"/>
      <c r="X76" s="484"/>
      <c r="Y76" s="606">
        <v>9538</v>
      </c>
      <c r="Z76" s="607"/>
      <c r="AA76" s="487"/>
      <c r="AB76" s="606">
        <v>9538</v>
      </c>
      <c r="AC76" s="608"/>
      <c r="AD76" s="484"/>
      <c r="AE76" s="606">
        <v>9538</v>
      </c>
      <c r="AF76" s="607"/>
      <c r="AG76" s="487"/>
      <c r="AH76" s="606">
        <v>9538</v>
      </c>
      <c r="AI76" s="608"/>
      <c r="AJ76" s="484"/>
      <c r="AK76" s="606">
        <v>9538</v>
      </c>
      <c r="AL76" s="607"/>
      <c r="AM76" s="487">
        <v>50000</v>
      </c>
      <c r="AN76" s="601">
        <v>9538</v>
      </c>
      <c r="AO76" s="602"/>
    </row>
    <row r="77" spans="1:42" x14ac:dyDescent="0.2">
      <c r="A77" s="471" t="s">
        <v>654</v>
      </c>
      <c r="B77" s="472" t="s">
        <v>687</v>
      </c>
      <c r="C77" s="473">
        <f t="shared" si="61"/>
        <v>1679111</v>
      </c>
      <c r="D77" s="474">
        <f t="shared" si="61"/>
        <v>1621213</v>
      </c>
      <c r="E77" s="475">
        <f t="shared" si="61"/>
        <v>690942</v>
      </c>
      <c r="F77" s="603">
        <f>SUM(F70:F74)</f>
        <v>132561</v>
      </c>
      <c r="G77" s="603">
        <f t="shared" ref="G77:AO77" si="62">SUM(G70:G74)</f>
        <v>103588</v>
      </c>
      <c r="H77" s="604">
        <f t="shared" si="62"/>
        <v>103588</v>
      </c>
      <c r="I77" s="477">
        <f t="shared" si="62"/>
        <v>132561</v>
      </c>
      <c r="J77" s="603">
        <f t="shared" si="62"/>
        <v>136265</v>
      </c>
      <c r="K77" s="605">
        <f t="shared" si="62"/>
        <v>103203</v>
      </c>
      <c r="L77" s="474">
        <f t="shared" si="62"/>
        <v>132562</v>
      </c>
      <c r="M77" s="603">
        <f t="shared" si="62"/>
        <v>152751</v>
      </c>
      <c r="N77" s="604">
        <f t="shared" si="62"/>
        <v>152751</v>
      </c>
      <c r="O77" s="477">
        <f t="shared" si="62"/>
        <v>139372</v>
      </c>
      <c r="P77" s="603">
        <f t="shared" si="62"/>
        <v>96035</v>
      </c>
      <c r="Q77" s="605">
        <f t="shared" si="62"/>
        <v>96035</v>
      </c>
      <c r="R77" s="474">
        <f t="shared" si="62"/>
        <v>139372</v>
      </c>
      <c r="S77" s="603">
        <f t="shared" si="62"/>
        <v>92791</v>
      </c>
      <c r="T77" s="604">
        <f t="shared" si="62"/>
        <v>92791</v>
      </c>
      <c r="U77" s="477">
        <f t="shared" si="62"/>
        <v>152911</v>
      </c>
      <c r="V77" s="603">
        <f t="shared" si="62"/>
        <v>142574</v>
      </c>
      <c r="W77" s="605">
        <f t="shared" si="62"/>
        <v>142574</v>
      </c>
      <c r="X77" s="474">
        <f t="shared" si="62"/>
        <v>139372</v>
      </c>
      <c r="Y77" s="603">
        <f>SUM(Y70:Y74)</f>
        <v>139869</v>
      </c>
      <c r="Z77" s="604">
        <f t="shared" si="62"/>
        <v>0</v>
      </c>
      <c r="AA77" s="477">
        <f t="shared" si="62"/>
        <v>139372</v>
      </c>
      <c r="AB77" s="603">
        <f t="shared" si="62"/>
        <v>154181</v>
      </c>
      <c r="AC77" s="605">
        <f t="shared" si="62"/>
        <v>0</v>
      </c>
      <c r="AD77" s="474">
        <f t="shared" si="62"/>
        <v>139373</v>
      </c>
      <c r="AE77" s="603">
        <f t="shared" si="62"/>
        <v>150790</v>
      </c>
      <c r="AF77" s="604">
        <f t="shared" si="62"/>
        <v>0</v>
      </c>
      <c r="AG77" s="477">
        <f t="shared" si="62"/>
        <v>139373</v>
      </c>
      <c r="AH77" s="603">
        <f t="shared" si="62"/>
        <v>150790</v>
      </c>
      <c r="AI77" s="605">
        <f t="shared" si="62"/>
        <v>0</v>
      </c>
      <c r="AJ77" s="474">
        <f t="shared" si="62"/>
        <v>139371</v>
      </c>
      <c r="AK77" s="603">
        <f t="shared" si="62"/>
        <v>150790</v>
      </c>
      <c r="AL77" s="604">
        <f t="shared" si="62"/>
        <v>0</v>
      </c>
      <c r="AM77" s="477">
        <f t="shared" si="62"/>
        <v>152911</v>
      </c>
      <c r="AN77" s="603">
        <f t="shared" si="62"/>
        <v>150789</v>
      </c>
      <c r="AO77" s="475">
        <f t="shared" si="62"/>
        <v>0</v>
      </c>
    </row>
    <row r="78" spans="1:42" x14ac:dyDescent="0.2">
      <c r="A78" s="471" t="s">
        <v>688</v>
      </c>
      <c r="B78" s="472" t="s">
        <v>689</v>
      </c>
      <c r="C78" s="473">
        <f t="shared" si="61"/>
        <v>5173751</v>
      </c>
      <c r="D78" s="474">
        <f t="shared" si="61"/>
        <v>5553363</v>
      </c>
      <c r="E78" s="475">
        <f t="shared" si="61"/>
        <v>1661531</v>
      </c>
      <c r="F78" s="603">
        <f>SUM(F101-F102+F146-F147+F191-F192+F236-F237+F281-F282+F326-F327+F371-F372+F416-F417+781458)</f>
        <v>916117</v>
      </c>
      <c r="G78" s="603">
        <f>SUM(G101-G102+G146-G147+G191-G192+G236-G237+G281-G282+G326-G327+G371-G372+G416-G417+781458)</f>
        <v>887522</v>
      </c>
      <c r="H78" s="604">
        <f>SUM(H101-H102+H146-H147+H191-H192+H236-H237+H281-H282+H326-H327+H371-H372+H416-H417+781458)</f>
        <v>889983</v>
      </c>
      <c r="I78" s="477">
        <f>SUM(I101-I102+I146-I147+I191-I192+I236-I237+I281-I282+I326-I327+I371-I372+I416-I417)</f>
        <v>152107</v>
      </c>
      <c r="J78" s="603">
        <f>SUM(J101-J102+J146-J147+J191-J192+J236-J237+J281-J282+J326-J327+J371-J372+J416-J417)</f>
        <v>124200</v>
      </c>
      <c r="K78" s="605">
        <f>SUM(K101-K102+K146-K147+K191-K192+K236-K237+K281-K282+K326-K327+K371-K372+K416-K417)</f>
        <v>124200</v>
      </c>
      <c r="L78" s="474">
        <f>SUM(L101-L102+L146-L147+L191-L192+L236-L237+L281-L282+L326-L327+L371-L372+L416-L417+1110000)</f>
        <v>1261629</v>
      </c>
      <c r="M78" s="603">
        <f>SUM(M101-M102+M146-M147+M191-M192+M236-M237+M281-M282+M326-M327+M371-M372+M416-M417+1205626)</f>
        <v>1366122</v>
      </c>
      <c r="N78" s="604">
        <f>SUM(N101-N102+N146-N147+N191-N192+N236-N237+N281-N282+N326-N327+N371-N372+N416-N417)</f>
        <v>160496</v>
      </c>
      <c r="O78" s="477">
        <f>SUM(O101-O102+O146-O147+O191-O192+O236-O237+O281-O282+O326-O327+O371-O372+O416-O417)</f>
        <v>140645</v>
      </c>
      <c r="P78" s="603">
        <f>SUM(P101-P102+P146-P147+P191-P192+P236-P237+P281-P282+P326-P327+P371-P372+P416-P417+47987)</f>
        <v>197395</v>
      </c>
      <c r="Q78" s="605">
        <f>SUM(Q101-Q102+Q146-Q147+Q191-Q192+Q236-Q237+Q281-Q282+Q326-Q327+Q371-Q372+Q416-Q417)</f>
        <v>149408</v>
      </c>
      <c r="R78" s="474">
        <f>SUM(R101-R102+R146-R147+R191-R192+R236-R237+R281-R282+R326-R327+R371-R372+R416-R417)</f>
        <v>140482</v>
      </c>
      <c r="S78" s="603">
        <f>SUM(S101-S102+S146-S147+S191-S192+S236-S237+S281-S282+S326-S327+S371-S372+S416-S417)</f>
        <v>141421</v>
      </c>
      <c r="T78" s="604">
        <f>SUM(T101-T102+T146-T147+T191-T192+T236-T237+T281-T282+T326-T327+T371-T372+T416-T417)</f>
        <v>141421</v>
      </c>
      <c r="U78" s="477">
        <f>SUM(U101-U102+U146-U147+U191-U192+U236-U237+U281-U282+U326-U327+U371-U372+U416-U417)</f>
        <v>148377</v>
      </c>
      <c r="V78" s="603">
        <f>SUM(V101-V102+V146-V147+V191-V192+V236-V237+V281-V282+V326-V327+V371-V372+V416-V417+316231)</f>
        <v>509909</v>
      </c>
      <c r="W78" s="605">
        <f>SUM(W101-W102+W146-W147+W191-W192+W236-W237+W281-W282+W326-W327+W371-W372+W416-W417)</f>
        <v>196023</v>
      </c>
      <c r="X78" s="474">
        <f>SUM(X101-X102+X146-X147+X191-X192+X236-X237+X281-X282+X326-X327+X371-X372+X416-X417)</f>
        <v>150880</v>
      </c>
      <c r="Y78" s="603">
        <f>SUM(Y101-Y102+Y146-Y147+Y191-Y192+Y236-Y237+Y281-Y282+Y326-Y327+Y371-Y372+Y416-Y417)</f>
        <v>142932</v>
      </c>
      <c r="Z78" s="604">
        <f>SUM(Z101-Z102+Z146-Z147+Z191-Z192+Z236-Z237+Z281-Z282+Z326-Z327+Z371-Z372+Z416-Z417)</f>
        <v>0</v>
      </c>
      <c r="AA78" s="477">
        <f>SUM(AA101-AA102+AA146-AA147+AA191-AA192+AA236-AA237+AA281-AA282+AA326-AA327+AA371-AA372+AA416-AA417)</f>
        <v>144569</v>
      </c>
      <c r="AB78" s="603">
        <f>SUM(AB101-AB102+AB146-AB147+AB191-AB192+AB236-AB237+AB281-AB282+AB326-AB327+AB371-AB372+AB416-AB417+12545)</f>
        <v>162038</v>
      </c>
      <c r="AC78" s="605">
        <f>SUM(AC101-AC102+AC146-AC147+AC191-AC192+AC236-AC237+AC281-AC282+AC326-AC327+AC371-AC372+AC416-AC417)</f>
        <v>0</v>
      </c>
      <c r="AD78" s="474">
        <f>SUM(AD101-AD102+AD146-AD147+AD191-AD192+AD236-AD237+AD281-AD282+AD326-AD327+AD371-AD372+AD416-AD417+1600000)</f>
        <v>1735047</v>
      </c>
      <c r="AE78" s="603">
        <f>SUM(AE101-AE102+AE146-AE147+AE191-AE192+AE236-AE237+AE281-AE282+AE326-AE327+AE371-AE372+AE416-AE417+1338058)</f>
        <v>1486524</v>
      </c>
      <c r="AF78" s="604">
        <f>SUM(AF101-AF102+AF146-AF147+AF191-AF192+AF236-AF237+AF281-AF282+AF326-AF327+AF371-AF372+AF416-AF417)</f>
        <v>0</v>
      </c>
      <c r="AG78" s="477">
        <f>SUM(AG101-AG102+AG146-AG147+AG191-AG192+AG236-AG237+AG281-AG282+AG326-AG327+AG371-AG372+AG416-AG417)</f>
        <v>132025</v>
      </c>
      <c r="AH78" s="603">
        <f>SUM(AH101-AH102+AH146-AH147+AH191-AH192+AH236-AH237+AH281-AH282+AH326-AH327+AH371-AH372+AH416-AH417+10095)</f>
        <v>161131</v>
      </c>
      <c r="AI78" s="605">
        <f>SUM(AI101-AI102+AI146-AI147+AI191-AI192+AI236-AI237+AI281-AI282+AI326-AI327+AI371-AI372+AI416-AI417)</f>
        <v>0</v>
      </c>
      <c r="AJ78" s="474">
        <f>SUM(AJ101-AJ102+AJ146-AJ147+AJ191-AJ192+AJ236-AJ237+AJ281-AJ282+AJ326-AJ327+AJ371-AJ372+AJ416-AJ417)</f>
        <v>125665</v>
      </c>
      <c r="AK78" s="603">
        <f>SUM(AK101-AK102+AK146-AK147+AK191-AK192+AK236-AK237+AK281-AK282+AK326-AK327+AK371-AK372+AK416-AK417+22201)</f>
        <v>168916</v>
      </c>
      <c r="AL78" s="604">
        <f>SUM(AL101-AL102+AL146-AL147+AL191-AL192+AL236-AL237+AL281-AL282+AL326-AL327+AL371-AL372+AL416-AL417)</f>
        <v>0</v>
      </c>
      <c r="AM78" s="477">
        <f>SUM(AM101-AM102+AM146-AM147+AM191-AM192+AM236-AM237+AM281-AM282+AM326-AM327+AM371-AM372+AM416-AM417)</f>
        <v>126208</v>
      </c>
      <c r="AN78" s="603">
        <f>SUM(AN101-AN102+AN146-AN147+AN191-AN192+AN236-AN237+AN281-AN282+AN326-AN327+AN371-AN372+AN416-AN417+57257)</f>
        <v>205253</v>
      </c>
      <c r="AO78" s="475">
        <f>SUM(AO101-AO102+AO146-AO147+AO191-AO192+AO236-AO237+AO281-AO282+AO326-AO327+AO371-AO372+AO416-AO417)</f>
        <v>0</v>
      </c>
    </row>
    <row r="79" spans="1:42" x14ac:dyDescent="0.2">
      <c r="A79" s="493" t="s">
        <v>660</v>
      </c>
      <c r="B79" s="494" t="s">
        <v>690</v>
      </c>
      <c r="C79" s="473">
        <f t="shared" si="61"/>
        <v>6852862</v>
      </c>
      <c r="D79" s="474">
        <f t="shared" si="61"/>
        <v>7174576</v>
      </c>
      <c r="E79" s="475">
        <f t="shared" si="61"/>
        <v>2352473</v>
      </c>
      <c r="F79" s="603">
        <f>SUM(F77,F78)</f>
        <v>1048678</v>
      </c>
      <c r="G79" s="603">
        <f t="shared" ref="G79:AO79" si="63">SUM(G77,G78)</f>
        <v>991110</v>
      </c>
      <c r="H79" s="604">
        <f t="shared" si="63"/>
        <v>993571</v>
      </c>
      <c r="I79" s="477">
        <f t="shared" si="63"/>
        <v>284668</v>
      </c>
      <c r="J79" s="603">
        <f t="shared" si="63"/>
        <v>260465</v>
      </c>
      <c r="K79" s="605">
        <f t="shared" si="63"/>
        <v>227403</v>
      </c>
      <c r="L79" s="474">
        <f t="shared" si="63"/>
        <v>1394191</v>
      </c>
      <c r="M79" s="603">
        <f t="shared" si="63"/>
        <v>1518873</v>
      </c>
      <c r="N79" s="604">
        <f t="shared" si="63"/>
        <v>313247</v>
      </c>
      <c r="O79" s="477">
        <f t="shared" si="63"/>
        <v>280017</v>
      </c>
      <c r="P79" s="603">
        <f t="shared" si="63"/>
        <v>293430</v>
      </c>
      <c r="Q79" s="605">
        <f t="shared" si="63"/>
        <v>245443</v>
      </c>
      <c r="R79" s="474">
        <f t="shared" si="63"/>
        <v>279854</v>
      </c>
      <c r="S79" s="603">
        <f t="shared" si="63"/>
        <v>234212</v>
      </c>
      <c r="T79" s="604">
        <f t="shared" si="63"/>
        <v>234212</v>
      </c>
      <c r="U79" s="477">
        <f t="shared" si="63"/>
        <v>301288</v>
      </c>
      <c r="V79" s="603">
        <f t="shared" si="63"/>
        <v>652483</v>
      </c>
      <c r="W79" s="605">
        <f t="shared" si="63"/>
        <v>338597</v>
      </c>
      <c r="X79" s="474">
        <f t="shared" si="63"/>
        <v>290252</v>
      </c>
      <c r="Y79" s="603">
        <f t="shared" si="63"/>
        <v>282801</v>
      </c>
      <c r="Z79" s="604">
        <f t="shared" si="63"/>
        <v>0</v>
      </c>
      <c r="AA79" s="477">
        <f t="shared" si="63"/>
        <v>283941</v>
      </c>
      <c r="AB79" s="603">
        <f t="shared" si="63"/>
        <v>316219</v>
      </c>
      <c r="AC79" s="605">
        <f t="shared" si="63"/>
        <v>0</v>
      </c>
      <c r="AD79" s="474">
        <f t="shared" si="63"/>
        <v>1874420</v>
      </c>
      <c r="AE79" s="603">
        <f t="shared" si="63"/>
        <v>1637314</v>
      </c>
      <c r="AF79" s="604">
        <f t="shared" si="63"/>
        <v>0</v>
      </c>
      <c r="AG79" s="477">
        <f t="shared" si="63"/>
        <v>271398</v>
      </c>
      <c r="AH79" s="603">
        <f t="shared" si="63"/>
        <v>311921</v>
      </c>
      <c r="AI79" s="605">
        <f t="shared" si="63"/>
        <v>0</v>
      </c>
      <c r="AJ79" s="474">
        <f t="shared" si="63"/>
        <v>265036</v>
      </c>
      <c r="AK79" s="603">
        <f t="shared" si="63"/>
        <v>319706</v>
      </c>
      <c r="AL79" s="604">
        <f t="shared" si="63"/>
        <v>0</v>
      </c>
      <c r="AM79" s="477">
        <f t="shared" si="63"/>
        <v>279119</v>
      </c>
      <c r="AN79" s="603">
        <f t="shared" si="63"/>
        <v>356042</v>
      </c>
      <c r="AO79" s="475">
        <f t="shared" si="63"/>
        <v>0</v>
      </c>
    </row>
    <row r="80" spans="1:42" x14ac:dyDescent="0.2">
      <c r="A80" s="466" t="s">
        <v>691</v>
      </c>
      <c r="B80" s="467" t="s">
        <v>692</v>
      </c>
      <c r="C80" s="468">
        <f t="shared" si="61"/>
        <v>2373329</v>
      </c>
      <c r="D80" s="469">
        <f t="shared" si="61"/>
        <v>3276168</v>
      </c>
      <c r="E80" s="470">
        <f t="shared" si="61"/>
        <v>1348568</v>
      </c>
      <c r="F80" s="598">
        <v>197777</v>
      </c>
      <c r="G80" s="598">
        <v>193109</v>
      </c>
      <c r="H80" s="599">
        <v>193109</v>
      </c>
      <c r="I80" s="549">
        <v>197777</v>
      </c>
      <c r="J80" s="598">
        <v>134134</v>
      </c>
      <c r="K80" s="600">
        <v>134134</v>
      </c>
      <c r="L80" s="469">
        <v>197778</v>
      </c>
      <c r="M80" s="598">
        <v>235141</v>
      </c>
      <c r="N80" s="599">
        <v>235141</v>
      </c>
      <c r="O80" s="549">
        <v>197777</v>
      </c>
      <c r="P80" s="598">
        <v>277383</v>
      </c>
      <c r="Q80" s="600">
        <v>277383</v>
      </c>
      <c r="R80" s="469">
        <v>197777</v>
      </c>
      <c r="S80" s="598">
        <v>385104</v>
      </c>
      <c r="T80" s="599">
        <v>385104</v>
      </c>
      <c r="U80" s="549">
        <v>197778</v>
      </c>
      <c r="V80" s="598">
        <v>123697</v>
      </c>
      <c r="W80" s="600">
        <v>123697</v>
      </c>
      <c r="X80" s="469">
        <v>197778</v>
      </c>
      <c r="Y80" s="598">
        <v>321266</v>
      </c>
      <c r="Z80" s="599"/>
      <c r="AA80" s="549">
        <v>197777</v>
      </c>
      <c r="AB80" s="598">
        <v>321267</v>
      </c>
      <c r="AC80" s="600"/>
      <c r="AD80" s="469">
        <v>197778</v>
      </c>
      <c r="AE80" s="598">
        <v>321266</v>
      </c>
      <c r="AF80" s="599"/>
      <c r="AG80" s="549">
        <v>197777</v>
      </c>
      <c r="AH80" s="598">
        <v>321267</v>
      </c>
      <c r="AI80" s="600"/>
      <c r="AJ80" s="469">
        <v>197777</v>
      </c>
      <c r="AK80" s="598">
        <v>321267</v>
      </c>
      <c r="AL80" s="599"/>
      <c r="AM80" s="549">
        <v>197778</v>
      </c>
      <c r="AN80" s="601">
        <v>321267</v>
      </c>
      <c r="AO80" s="602"/>
    </row>
    <row r="81" spans="1:42" x14ac:dyDescent="0.2">
      <c r="A81" s="466" t="s">
        <v>693</v>
      </c>
      <c r="B81" s="467" t="s">
        <v>694</v>
      </c>
      <c r="C81" s="468">
        <f t="shared" si="61"/>
        <v>176507</v>
      </c>
      <c r="D81" s="469">
        <f t="shared" si="61"/>
        <v>180952</v>
      </c>
      <c r="E81" s="470">
        <f t="shared" si="61"/>
        <v>14379</v>
      </c>
      <c r="F81" s="598">
        <v>14708</v>
      </c>
      <c r="G81" s="598">
        <v>0</v>
      </c>
      <c r="H81" s="599">
        <v>0</v>
      </c>
      <c r="I81" s="549">
        <v>14709</v>
      </c>
      <c r="J81" s="598">
        <v>1914</v>
      </c>
      <c r="K81" s="600">
        <v>1914</v>
      </c>
      <c r="L81" s="469">
        <v>14709</v>
      </c>
      <c r="M81" s="598">
        <v>2772</v>
      </c>
      <c r="N81" s="599">
        <v>2772</v>
      </c>
      <c r="O81" s="549">
        <v>14709</v>
      </c>
      <c r="P81" s="598">
        <v>0</v>
      </c>
      <c r="Q81" s="600">
        <v>0</v>
      </c>
      <c r="R81" s="469">
        <v>14709</v>
      </c>
      <c r="S81" s="598">
        <v>0</v>
      </c>
      <c r="T81" s="599">
        <v>0</v>
      </c>
      <c r="U81" s="549">
        <v>14709</v>
      </c>
      <c r="V81" s="598">
        <v>9693</v>
      </c>
      <c r="W81" s="600">
        <v>9693</v>
      </c>
      <c r="X81" s="469">
        <v>14709</v>
      </c>
      <c r="Y81" s="598">
        <v>27762</v>
      </c>
      <c r="Z81" s="599"/>
      <c r="AA81" s="549">
        <v>14709</v>
      </c>
      <c r="AB81" s="598">
        <v>27762</v>
      </c>
      <c r="AC81" s="600"/>
      <c r="AD81" s="469">
        <v>14709</v>
      </c>
      <c r="AE81" s="598">
        <v>27762</v>
      </c>
      <c r="AF81" s="599"/>
      <c r="AG81" s="549">
        <v>14709</v>
      </c>
      <c r="AH81" s="598">
        <v>27762</v>
      </c>
      <c r="AI81" s="600"/>
      <c r="AJ81" s="469">
        <v>14709</v>
      </c>
      <c r="AK81" s="598">
        <v>27762</v>
      </c>
      <c r="AL81" s="599"/>
      <c r="AM81" s="549">
        <v>14709</v>
      </c>
      <c r="AN81" s="601">
        <v>27763</v>
      </c>
      <c r="AO81" s="602"/>
    </row>
    <row r="82" spans="1:42" x14ac:dyDescent="0.2">
      <c r="A82" s="553" t="s">
        <v>695</v>
      </c>
      <c r="B82" s="554" t="s">
        <v>696</v>
      </c>
      <c r="C82" s="468">
        <f t="shared" si="61"/>
        <v>160924</v>
      </c>
      <c r="D82" s="469">
        <f t="shared" si="61"/>
        <v>160924</v>
      </c>
      <c r="E82" s="470">
        <f t="shared" si="61"/>
        <v>2000</v>
      </c>
      <c r="F82" s="598">
        <v>13410</v>
      </c>
      <c r="G82" s="598">
        <v>0</v>
      </c>
      <c r="H82" s="599">
        <v>0</v>
      </c>
      <c r="I82" s="549">
        <v>13410</v>
      </c>
      <c r="J82" s="598">
        <v>0</v>
      </c>
      <c r="K82" s="600">
        <v>0</v>
      </c>
      <c r="L82" s="469">
        <v>13411</v>
      </c>
      <c r="M82" s="598">
        <v>0</v>
      </c>
      <c r="N82" s="599">
        <v>0</v>
      </c>
      <c r="O82" s="549">
        <v>13410</v>
      </c>
      <c r="P82" s="598">
        <v>0</v>
      </c>
      <c r="Q82" s="600">
        <v>0</v>
      </c>
      <c r="R82" s="469">
        <v>13410</v>
      </c>
      <c r="S82" s="598">
        <v>0</v>
      </c>
      <c r="T82" s="599">
        <v>0</v>
      </c>
      <c r="U82" s="549">
        <v>13411</v>
      </c>
      <c r="V82" s="598">
        <v>2000</v>
      </c>
      <c r="W82" s="600">
        <v>2000</v>
      </c>
      <c r="X82" s="469">
        <v>13410</v>
      </c>
      <c r="Y82" s="598">
        <v>22017</v>
      </c>
      <c r="Z82" s="599"/>
      <c r="AA82" s="549">
        <v>13410</v>
      </c>
      <c r="AB82" s="598">
        <v>22017</v>
      </c>
      <c r="AC82" s="600"/>
      <c r="AD82" s="469">
        <v>13411</v>
      </c>
      <c r="AE82" s="598">
        <v>22017</v>
      </c>
      <c r="AF82" s="599"/>
      <c r="AG82" s="549">
        <v>13410</v>
      </c>
      <c r="AH82" s="598">
        <v>22018</v>
      </c>
      <c r="AI82" s="600"/>
      <c r="AJ82" s="469">
        <v>13410</v>
      </c>
      <c r="AK82" s="598">
        <v>22017</v>
      </c>
      <c r="AL82" s="599"/>
      <c r="AM82" s="549">
        <v>13411</v>
      </c>
      <c r="AN82" s="601">
        <v>48838</v>
      </c>
      <c r="AO82" s="602"/>
    </row>
    <row r="83" spans="1:42" s="480" customFormat="1" ht="15" x14ac:dyDescent="0.2">
      <c r="A83" s="471" t="s">
        <v>667</v>
      </c>
      <c r="B83" s="472" t="s">
        <v>697</v>
      </c>
      <c r="C83" s="473">
        <f t="shared" si="61"/>
        <v>2710760</v>
      </c>
      <c r="D83" s="474">
        <f t="shared" si="61"/>
        <v>3618044</v>
      </c>
      <c r="E83" s="475">
        <f t="shared" si="61"/>
        <v>1364947</v>
      </c>
      <c r="F83" s="603">
        <f>SUM(F80:F82)</f>
        <v>225895</v>
      </c>
      <c r="G83" s="603">
        <f t="shared" ref="G83:AO83" si="64">SUM(G80:G82)</f>
        <v>193109</v>
      </c>
      <c r="H83" s="604">
        <f t="shared" si="64"/>
        <v>193109</v>
      </c>
      <c r="I83" s="477">
        <f t="shared" si="64"/>
        <v>225896</v>
      </c>
      <c r="J83" s="603">
        <f t="shared" si="64"/>
        <v>136048</v>
      </c>
      <c r="K83" s="605">
        <f t="shared" si="64"/>
        <v>136048</v>
      </c>
      <c r="L83" s="474">
        <f t="shared" si="64"/>
        <v>225898</v>
      </c>
      <c r="M83" s="603">
        <f t="shared" si="64"/>
        <v>237913</v>
      </c>
      <c r="N83" s="604">
        <f t="shared" si="64"/>
        <v>237913</v>
      </c>
      <c r="O83" s="477">
        <f t="shared" si="64"/>
        <v>225896</v>
      </c>
      <c r="P83" s="603">
        <f t="shared" si="64"/>
        <v>277383</v>
      </c>
      <c r="Q83" s="605">
        <f t="shared" si="64"/>
        <v>277383</v>
      </c>
      <c r="R83" s="474">
        <f t="shared" si="64"/>
        <v>225896</v>
      </c>
      <c r="S83" s="603">
        <f t="shared" si="64"/>
        <v>385104</v>
      </c>
      <c r="T83" s="604">
        <f t="shared" si="64"/>
        <v>385104</v>
      </c>
      <c r="U83" s="477">
        <f t="shared" si="64"/>
        <v>225898</v>
      </c>
      <c r="V83" s="603">
        <f t="shared" si="64"/>
        <v>135390</v>
      </c>
      <c r="W83" s="605">
        <f t="shared" si="64"/>
        <v>135390</v>
      </c>
      <c r="X83" s="474">
        <f t="shared" si="64"/>
        <v>225897</v>
      </c>
      <c r="Y83" s="603">
        <f t="shared" si="64"/>
        <v>371045</v>
      </c>
      <c r="Z83" s="604">
        <f t="shared" si="64"/>
        <v>0</v>
      </c>
      <c r="AA83" s="477">
        <f t="shared" si="64"/>
        <v>225896</v>
      </c>
      <c r="AB83" s="603">
        <f t="shared" si="64"/>
        <v>371046</v>
      </c>
      <c r="AC83" s="605">
        <f t="shared" si="64"/>
        <v>0</v>
      </c>
      <c r="AD83" s="474">
        <f t="shared" si="64"/>
        <v>225898</v>
      </c>
      <c r="AE83" s="603">
        <f t="shared" si="64"/>
        <v>371045</v>
      </c>
      <c r="AF83" s="604">
        <f t="shared" si="64"/>
        <v>0</v>
      </c>
      <c r="AG83" s="477">
        <f t="shared" si="64"/>
        <v>225896</v>
      </c>
      <c r="AH83" s="603">
        <f t="shared" si="64"/>
        <v>371047</v>
      </c>
      <c r="AI83" s="605">
        <f t="shared" si="64"/>
        <v>0</v>
      </c>
      <c r="AJ83" s="474">
        <f t="shared" si="64"/>
        <v>225896</v>
      </c>
      <c r="AK83" s="603">
        <f t="shared" si="64"/>
        <v>371046</v>
      </c>
      <c r="AL83" s="604">
        <f t="shared" si="64"/>
        <v>0</v>
      </c>
      <c r="AM83" s="477">
        <f t="shared" si="64"/>
        <v>225898</v>
      </c>
      <c r="AN83" s="603">
        <f t="shared" si="64"/>
        <v>397868</v>
      </c>
      <c r="AO83" s="475">
        <f t="shared" si="64"/>
        <v>0</v>
      </c>
      <c r="AP83" s="479"/>
    </row>
    <row r="84" spans="1:42" s="480" customFormat="1" ht="15" x14ac:dyDescent="0.2">
      <c r="A84" s="505" t="s">
        <v>698</v>
      </c>
      <c r="B84" s="506" t="s">
        <v>699</v>
      </c>
      <c r="C84" s="473">
        <f t="shared" si="61"/>
        <v>263205</v>
      </c>
      <c r="D84" s="474">
        <f t="shared" si="61"/>
        <v>32525</v>
      </c>
      <c r="E84" s="475">
        <f t="shared" si="61"/>
        <v>0</v>
      </c>
      <c r="F84" s="603">
        <v>21934</v>
      </c>
      <c r="G84" s="603"/>
      <c r="H84" s="604"/>
      <c r="I84" s="477">
        <v>21934</v>
      </c>
      <c r="J84" s="603">
        <v>0</v>
      </c>
      <c r="K84" s="605"/>
      <c r="L84" s="474">
        <v>21933</v>
      </c>
      <c r="M84" s="603"/>
      <c r="N84" s="604"/>
      <c r="O84" s="477">
        <v>21934</v>
      </c>
      <c r="P84" s="603"/>
      <c r="Q84" s="605"/>
      <c r="R84" s="474">
        <v>21934</v>
      </c>
      <c r="S84" s="603"/>
      <c r="T84" s="604"/>
      <c r="U84" s="477">
        <v>21933</v>
      </c>
      <c r="V84" s="603"/>
      <c r="W84" s="605"/>
      <c r="X84" s="474">
        <v>21934</v>
      </c>
      <c r="Y84" s="603"/>
      <c r="Z84" s="604"/>
      <c r="AA84" s="477">
        <v>21934</v>
      </c>
      <c r="AB84" s="603">
        <v>5421</v>
      </c>
      <c r="AC84" s="605"/>
      <c r="AD84" s="474">
        <v>21934</v>
      </c>
      <c r="AE84" s="603">
        <v>5421</v>
      </c>
      <c r="AF84" s="604"/>
      <c r="AG84" s="477">
        <v>21934</v>
      </c>
      <c r="AH84" s="603">
        <v>10841</v>
      </c>
      <c r="AI84" s="605"/>
      <c r="AJ84" s="474">
        <v>21934</v>
      </c>
      <c r="AK84" s="603">
        <v>5421</v>
      </c>
      <c r="AL84" s="604"/>
      <c r="AM84" s="477">
        <v>21933</v>
      </c>
      <c r="AN84" s="603">
        <v>5421</v>
      </c>
      <c r="AO84" s="475"/>
      <c r="AP84" s="479"/>
    </row>
    <row r="85" spans="1:42" s="480" customFormat="1" ht="15" x14ac:dyDescent="0.2">
      <c r="A85" s="471" t="s">
        <v>700</v>
      </c>
      <c r="B85" s="472" t="s">
        <v>689</v>
      </c>
      <c r="C85" s="473">
        <f t="shared" si="61"/>
        <v>79085</v>
      </c>
      <c r="D85" s="474">
        <f t="shared" si="61"/>
        <v>89149</v>
      </c>
      <c r="E85" s="475">
        <f t="shared" si="61"/>
        <v>52160</v>
      </c>
      <c r="F85" s="603">
        <f t="shared" ref="F85:AO85" si="65">SUM(F108+F153+F198+F243+F288+F333+F378+F423-F424)</f>
        <v>9323</v>
      </c>
      <c r="G85" s="603">
        <f t="shared" si="65"/>
        <v>5194</v>
      </c>
      <c r="H85" s="604">
        <f t="shared" si="65"/>
        <v>5194</v>
      </c>
      <c r="I85" s="477">
        <f t="shared" si="65"/>
        <v>5245</v>
      </c>
      <c r="J85" s="603">
        <f t="shared" si="65"/>
        <v>4279</v>
      </c>
      <c r="K85" s="605">
        <f t="shared" si="65"/>
        <v>4279</v>
      </c>
      <c r="L85" s="474">
        <f t="shared" si="65"/>
        <v>8229</v>
      </c>
      <c r="M85" s="603">
        <f t="shared" si="65"/>
        <v>6689</v>
      </c>
      <c r="N85" s="604">
        <f t="shared" si="65"/>
        <v>6689</v>
      </c>
      <c r="O85" s="477">
        <f t="shared" si="65"/>
        <v>9302</v>
      </c>
      <c r="P85" s="603">
        <f t="shared" si="65"/>
        <v>23001</v>
      </c>
      <c r="Q85" s="605">
        <f t="shared" si="65"/>
        <v>23001</v>
      </c>
      <c r="R85" s="474">
        <f t="shared" si="65"/>
        <v>5874</v>
      </c>
      <c r="S85" s="603">
        <f t="shared" si="65"/>
        <v>3497</v>
      </c>
      <c r="T85" s="604">
        <f t="shared" si="65"/>
        <v>3497</v>
      </c>
      <c r="U85" s="477">
        <f t="shared" si="65"/>
        <v>6424</v>
      </c>
      <c r="V85" s="603">
        <f t="shared" si="65"/>
        <v>9500</v>
      </c>
      <c r="W85" s="605">
        <f t="shared" si="65"/>
        <v>9500</v>
      </c>
      <c r="X85" s="474">
        <f t="shared" si="65"/>
        <v>11801</v>
      </c>
      <c r="Y85" s="603">
        <f t="shared" si="65"/>
        <v>5715</v>
      </c>
      <c r="Z85" s="604">
        <f t="shared" si="65"/>
        <v>0</v>
      </c>
      <c r="AA85" s="477">
        <f t="shared" si="65"/>
        <v>12824</v>
      </c>
      <c r="AB85" s="603">
        <f t="shared" si="65"/>
        <v>4655</v>
      </c>
      <c r="AC85" s="605">
        <f t="shared" si="65"/>
        <v>0</v>
      </c>
      <c r="AD85" s="474">
        <f t="shared" si="65"/>
        <v>3891</v>
      </c>
      <c r="AE85" s="603">
        <f t="shared" si="65"/>
        <v>4821</v>
      </c>
      <c r="AF85" s="604">
        <f t="shared" si="65"/>
        <v>0</v>
      </c>
      <c r="AG85" s="477">
        <f t="shared" si="65"/>
        <v>2607</v>
      </c>
      <c r="AH85" s="603">
        <f t="shared" si="65"/>
        <v>3535</v>
      </c>
      <c r="AI85" s="605">
        <f t="shared" si="65"/>
        <v>0</v>
      </c>
      <c r="AJ85" s="474">
        <f t="shared" si="65"/>
        <v>2051</v>
      </c>
      <c r="AK85" s="603">
        <f t="shared" si="65"/>
        <v>1167</v>
      </c>
      <c r="AL85" s="604">
        <f t="shared" si="65"/>
        <v>0</v>
      </c>
      <c r="AM85" s="477">
        <f t="shared" si="65"/>
        <v>1514</v>
      </c>
      <c r="AN85" s="603">
        <f t="shared" si="65"/>
        <v>17096</v>
      </c>
      <c r="AO85" s="475">
        <f t="shared" si="65"/>
        <v>0</v>
      </c>
      <c r="AP85" s="479"/>
    </row>
    <row r="86" spans="1:42" s="480" customFormat="1" ht="15.75" thickBot="1" x14ac:dyDescent="0.25">
      <c r="A86" s="555" t="s">
        <v>672</v>
      </c>
      <c r="B86" s="556" t="s">
        <v>701</v>
      </c>
      <c r="C86" s="557">
        <f t="shared" si="61"/>
        <v>3053050</v>
      </c>
      <c r="D86" s="510">
        <f t="shared" si="61"/>
        <v>3739718</v>
      </c>
      <c r="E86" s="558">
        <f t="shared" si="61"/>
        <v>1417107</v>
      </c>
      <c r="F86" s="610">
        <f>SUM(F83,F84,F85)</f>
        <v>257152</v>
      </c>
      <c r="G86" s="610">
        <f t="shared" ref="G86:AO86" si="66">SUM(G83,G84,G85)</f>
        <v>198303</v>
      </c>
      <c r="H86" s="611">
        <f t="shared" si="66"/>
        <v>198303</v>
      </c>
      <c r="I86" s="514">
        <f t="shared" si="66"/>
        <v>253075</v>
      </c>
      <c r="J86" s="610">
        <f t="shared" si="66"/>
        <v>140327</v>
      </c>
      <c r="K86" s="612">
        <f t="shared" si="66"/>
        <v>140327</v>
      </c>
      <c r="L86" s="508">
        <f t="shared" si="66"/>
        <v>256060</v>
      </c>
      <c r="M86" s="610">
        <f t="shared" si="66"/>
        <v>244602</v>
      </c>
      <c r="N86" s="611">
        <f t="shared" si="66"/>
        <v>244602</v>
      </c>
      <c r="O86" s="514">
        <f t="shared" si="66"/>
        <v>257132</v>
      </c>
      <c r="P86" s="610">
        <f t="shared" si="66"/>
        <v>300384</v>
      </c>
      <c r="Q86" s="612">
        <f t="shared" si="66"/>
        <v>300384</v>
      </c>
      <c r="R86" s="508">
        <f t="shared" si="66"/>
        <v>253704</v>
      </c>
      <c r="S86" s="610">
        <f t="shared" si="66"/>
        <v>388601</v>
      </c>
      <c r="T86" s="611">
        <f t="shared" si="66"/>
        <v>388601</v>
      </c>
      <c r="U86" s="514">
        <f t="shared" si="66"/>
        <v>254255</v>
      </c>
      <c r="V86" s="610">
        <f t="shared" si="66"/>
        <v>144890</v>
      </c>
      <c r="W86" s="612">
        <f t="shared" si="66"/>
        <v>144890</v>
      </c>
      <c r="X86" s="508">
        <f t="shared" si="66"/>
        <v>259632</v>
      </c>
      <c r="Y86" s="610">
        <f t="shared" si="66"/>
        <v>376760</v>
      </c>
      <c r="Z86" s="611">
        <f t="shared" si="66"/>
        <v>0</v>
      </c>
      <c r="AA86" s="514">
        <f t="shared" si="66"/>
        <v>260654</v>
      </c>
      <c r="AB86" s="610">
        <f t="shared" si="66"/>
        <v>381122</v>
      </c>
      <c r="AC86" s="612">
        <f t="shared" si="66"/>
        <v>0</v>
      </c>
      <c r="AD86" s="508">
        <f t="shared" si="66"/>
        <v>251723</v>
      </c>
      <c r="AE86" s="610">
        <f t="shared" si="66"/>
        <v>381287</v>
      </c>
      <c r="AF86" s="611">
        <f t="shared" si="66"/>
        <v>0</v>
      </c>
      <c r="AG86" s="514">
        <f t="shared" si="66"/>
        <v>250437</v>
      </c>
      <c r="AH86" s="610">
        <f t="shared" si="66"/>
        <v>385423</v>
      </c>
      <c r="AI86" s="612">
        <f t="shared" si="66"/>
        <v>0</v>
      </c>
      <c r="AJ86" s="508">
        <f t="shared" si="66"/>
        <v>249881</v>
      </c>
      <c r="AK86" s="610">
        <f t="shared" si="66"/>
        <v>377634</v>
      </c>
      <c r="AL86" s="611">
        <f t="shared" si="66"/>
        <v>0</v>
      </c>
      <c r="AM86" s="514">
        <f t="shared" si="66"/>
        <v>249345</v>
      </c>
      <c r="AN86" s="610">
        <f t="shared" si="66"/>
        <v>420385</v>
      </c>
      <c r="AO86" s="509">
        <f t="shared" si="66"/>
        <v>0</v>
      </c>
      <c r="AP86" s="479"/>
    </row>
    <row r="87" spans="1:42" ht="15" thickBot="1" x14ac:dyDescent="0.25">
      <c r="A87" s="625" t="s">
        <v>702</v>
      </c>
      <c r="B87" s="561" t="s">
        <v>703</v>
      </c>
      <c r="C87" s="562">
        <f>SUM(F87,I87,L87,O87,R87,U87,X87,AA87,AD87,AG87,AJ87,AM87)</f>
        <v>9905912</v>
      </c>
      <c r="D87" s="520">
        <f t="shared" ref="D87:E90" si="67">SUM(G87,J87,M87,P87,S87,V87,Y87,AB87,AE87,AH87,AK87,AN87)</f>
        <v>10914294</v>
      </c>
      <c r="E87" s="563">
        <f t="shared" si="67"/>
        <v>3769580</v>
      </c>
      <c r="F87" s="564">
        <f>SUM(F79,F86)</f>
        <v>1305830</v>
      </c>
      <c r="G87" s="564">
        <f t="shared" ref="G87:AO87" si="68">SUM(G79,G86)</f>
        <v>1189413</v>
      </c>
      <c r="H87" s="565">
        <f t="shared" si="68"/>
        <v>1191874</v>
      </c>
      <c r="I87" s="566">
        <f t="shared" si="68"/>
        <v>537743</v>
      </c>
      <c r="J87" s="564">
        <f t="shared" si="68"/>
        <v>400792</v>
      </c>
      <c r="K87" s="567">
        <f t="shared" si="68"/>
        <v>367730</v>
      </c>
      <c r="L87" s="564">
        <f t="shared" si="68"/>
        <v>1650251</v>
      </c>
      <c r="M87" s="564">
        <f t="shared" si="68"/>
        <v>1763475</v>
      </c>
      <c r="N87" s="565">
        <f t="shared" si="68"/>
        <v>557849</v>
      </c>
      <c r="O87" s="566">
        <f t="shared" si="68"/>
        <v>537149</v>
      </c>
      <c r="P87" s="564">
        <f t="shared" si="68"/>
        <v>593814</v>
      </c>
      <c r="Q87" s="567">
        <f t="shared" si="68"/>
        <v>545827</v>
      </c>
      <c r="R87" s="564">
        <f t="shared" si="68"/>
        <v>533558</v>
      </c>
      <c r="S87" s="564">
        <f t="shared" si="68"/>
        <v>622813</v>
      </c>
      <c r="T87" s="565">
        <f t="shared" si="68"/>
        <v>622813</v>
      </c>
      <c r="U87" s="566">
        <f t="shared" si="68"/>
        <v>555543</v>
      </c>
      <c r="V87" s="564">
        <f t="shared" si="68"/>
        <v>797373</v>
      </c>
      <c r="W87" s="567">
        <f t="shared" si="68"/>
        <v>483487</v>
      </c>
      <c r="X87" s="564">
        <f t="shared" si="68"/>
        <v>549884</v>
      </c>
      <c r="Y87" s="564">
        <f t="shared" si="68"/>
        <v>659561</v>
      </c>
      <c r="Z87" s="565">
        <f t="shared" si="68"/>
        <v>0</v>
      </c>
      <c r="AA87" s="566">
        <f t="shared" si="68"/>
        <v>544595</v>
      </c>
      <c r="AB87" s="564">
        <f t="shared" si="68"/>
        <v>697341</v>
      </c>
      <c r="AC87" s="567">
        <f t="shared" si="68"/>
        <v>0</v>
      </c>
      <c r="AD87" s="564">
        <f t="shared" si="68"/>
        <v>2126143</v>
      </c>
      <c r="AE87" s="564">
        <f t="shared" si="68"/>
        <v>2018601</v>
      </c>
      <c r="AF87" s="565">
        <f t="shared" si="68"/>
        <v>0</v>
      </c>
      <c r="AG87" s="566">
        <f t="shared" si="68"/>
        <v>521835</v>
      </c>
      <c r="AH87" s="564">
        <f t="shared" si="68"/>
        <v>697344</v>
      </c>
      <c r="AI87" s="567">
        <f t="shared" si="68"/>
        <v>0</v>
      </c>
      <c r="AJ87" s="564">
        <f t="shared" si="68"/>
        <v>514917</v>
      </c>
      <c r="AK87" s="564">
        <f t="shared" si="68"/>
        <v>697340</v>
      </c>
      <c r="AL87" s="565">
        <f t="shared" si="68"/>
        <v>0</v>
      </c>
      <c r="AM87" s="626">
        <f t="shared" si="68"/>
        <v>528464</v>
      </c>
      <c r="AN87" s="564">
        <f t="shared" si="68"/>
        <v>776427</v>
      </c>
      <c r="AO87" s="590">
        <f t="shared" si="68"/>
        <v>0</v>
      </c>
    </row>
    <row r="88" spans="1:42" ht="15" thickBot="1" x14ac:dyDescent="0.25">
      <c r="A88" s="569"/>
      <c r="B88" s="570" t="s">
        <v>1334</v>
      </c>
      <c r="C88" s="571"/>
      <c r="D88" s="572"/>
      <c r="E88" s="573">
        <f t="shared" si="67"/>
        <v>158320</v>
      </c>
      <c r="F88" s="571"/>
      <c r="G88" s="572"/>
      <c r="H88" s="627">
        <f>-3611+1471</f>
        <v>-2140</v>
      </c>
      <c r="I88" s="531"/>
      <c r="J88" s="572"/>
      <c r="K88" s="628">
        <v>731</v>
      </c>
      <c r="L88" s="530"/>
      <c r="M88" s="572"/>
      <c r="N88" s="627">
        <v>-1052</v>
      </c>
      <c r="O88" s="531"/>
      <c r="P88" s="572"/>
      <c r="Q88" s="628">
        <v>1432</v>
      </c>
      <c r="R88" s="530"/>
      <c r="S88" s="572"/>
      <c r="T88" s="627">
        <v>130855</v>
      </c>
      <c r="U88" s="531"/>
      <c r="V88" s="572"/>
      <c r="W88" s="628">
        <f>23802+4692</f>
        <v>28494</v>
      </c>
      <c r="X88" s="530"/>
      <c r="Y88" s="572"/>
      <c r="Z88" s="627"/>
      <c r="AA88" s="531"/>
      <c r="AB88" s="572"/>
      <c r="AC88" s="628"/>
      <c r="AD88" s="530"/>
      <c r="AE88" s="572"/>
      <c r="AF88" s="627"/>
      <c r="AG88" s="531"/>
      <c r="AH88" s="572"/>
      <c r="AI88" s="628"/>
      <c r="AJ88" s="530"/>
      <c r="AK88" s="572"/>
      <c r="AL88" s="627"/>
      <c r="AM88" s="531"/>
      <c r="AN88" s="572"/>
      <c r="AO88" s="573"/>
    </row>
    <row r="89" spans="1:42" ht="15" thickBot="1" x14ac:dyDescent="0.25">
      <c r="A89" s="575"/>
      <c r="B89" s="576" t="s">
        <v>1335</v>
      </c>
      <c r="C89" s="528"/>
      <c r="D89" s="577"/>
      <c r="E89" s="563">
        <f t="shared" si="67"/>
        <v>3927900</v>
      </c>
      <c r="F89" s="528"/>
      <c r="G89" s="577"/>
      <c r="H89" s="578">
        <f>SUM(H87:H88)</f>
        <v>1189734</v>
      </c>
      <c r="I89" s="579"/>
      <c r="J89" s="577"/>
      <c r="K89" s="580">
        <f>SUM(K87:K88)</f>
        <v>368461</v>
      </c>
      <c r="L89" s="529"/>
      <c r="M89" s="577"/>
      <c r="N89" s="578">
        <f>SUM(N87:N88)</f>
        <v>556797</v>
      </c>
      <c r="O89" s="579"/>
      <c r="P89" s="577"/>
      <c r="Q89" s="580">
        <f>SUM(Q87:Q88)</f>
        <v>547259</v>
      </c>
      <c r="R89" s="529"/>
      <c r="S89" s="577"/>
      <c r="T89" s="578">
        <f>SUM(T87:T88)</f>
        <v>753668</v>
      </c>
      <c r="U89" s="579"/>
      <c r="V89" s="577"/>
      <c r="W89" s="580">
        <f>SUM(W87:W88)</f>
        <v>511981</v>
      </c>
      <c r="X89" s="529"/>
      <c r="Y89" s="577"/>
      <c r="Z89" s="578">
        <f>SUM(Z87:Z88)</f>
        <v>0</v>
      </c>
      <c r="AA89" s="579"/>
      <c r="AB89" s="577"/>
      <c r="AC89" s="580">
        <f>SUM(AC87:AC88)</f>
        <v>0</v>
      </c>
      <c r="AD89" s="529"/>
      <c r="AE89" s="577"/>
      <c r="AF89" s="578">
        <f>SUM(AF87:AF88)</f>
        <v>0</v>
      </c>
      <c r="AG89" s="579"/>
      <c r="AH89" s="577"/>
      <c r="AI89" s="580">
        <f>SUM(AI87:AI88)</f>
        <v>0</v>
      </c>
      <c r="AJ89" s="529"/>
      <c r="AK89" s="577"/>
      <c r="AL89" s="578">
        <f>SUM(AL87:AL88)</f>
        <v>0</v>
      </c>
      <c r="AM89" s="579"/>
      <c r="AN89" s="577"/>
      <c r="AO89" s="563">
        <f>SUM(AO87:AO88)</f>
        <v>0</v>
      </c>
    </row>
    <row r="90" spans="1:42" s="525" customFormat="1" ht="15" customHeight="1" thickBot="1" x14ac:dyDescent="0.25">
      <c r="A90" s="581"/>
      <c r="B90" s="582" t="s">
        <v>1336</v>
      </c>
      <c r="C90" s="583"/>
      <c r="D90" s="584"/>
      <c r="E90" s="563">
        <f t="shared" si="67"/>
        <v>90255</v>
      </c>
      <c r="F90" s="583"/>
      <c r="G90" s="584"/>
      <c r="H90" s="585">
        <f>SUM(H68-H89)</f>
        <v>-548965</v>
      </c>
      <c r="I90" s="586"/>
      <c r="J90" s="584"/>
      <c r="K90" s="587">
        <f>SUM(K68-K89)</f>
        <v>29562</v>
      </c>
      <c r="L90" s="588"/>
      <c r="M90" s="584"/>
      <c r="N90" s="585">
        <f>SUM(N68-N89)</f>
        <v>1225205</v>
      </c>
      <c r="O90" s="586"/>
      <c r="P90" s="584"/>
      <c r="Q90" s="587">
        <f>SUM(Q68-Q89)</f>
        <v>-392059</v>
      </c>
      <c r="R90" s="588"/>
      <c r="S90" s="584"/>
      <c r="T90" s="585">
        <f>SUM(T68-T89)</f>
        <v>-539425</v>
      </c>
      <c r="U90" s="586"/>
      <c r="V90" s="584"/>
      <c r="W90" s="587">
        <f>SUM(W68-W89)</f>
        <v>315937</v>
      </c>
      <c r="X90" s="588"/>
      <c r="Y90" s="584"/>
      <c r="Z90" s="585">
        <f>SUM(Z68-Z89)</f>
        <v>0</v>
      </c>
      <c r="AA90" s="586"/>
      <c r="AB90" s="584"/>
      <c r="AC90" s="587">
        <f>SUM(AC68-AC89)</f>
        <v>0</v>
      </c>
      <c r="AD90" s="588"/>
      <c r="AE90" s="584"/>
      <c r="AF90" s="585">
        <f>SUM(AF68-AF89)</f>
        <v>0</v>
      </c>
      <c r="AG90" s="586"/>
      <c r="AH90" s="584"/>
      <c r="AI90" s="587">
        <f>SUM(AI68-AI89)</f>
        <v>0</v>
      </c>
      <c r="AJ90" s="588"/>
      <c r="AK90" s="584"/>
      <c r="AL90" s="585">
        <f>SUM(AL68-AL89)</f>
        <v>0</v>
      </c>
      <c r="AM90" s="586"/>
      <c r="AN90" s="589"/>
      <c r="AO90" s="590">
        <f>SUM(AO68-AO89)</f>
        <v>0</v>
      </c>
      <c r="AP90" s="479"/>
    </row>
    <row r="91" spans="1:42" s="629" customFormat="1" ht="11.25" x14ac:dyDescent="0.2"/>
    <row r="92" spans="1:42" s="444" customFormat="1" ht="12.75" x14ac:dyDescent="0.2">
      <c r="A92" s="440" t="s">
        <v>706</v>
      </c>
      <c r="B92" s="440"/>
      <c r="C92" s="440"/>
      <c r="D92" s="440"/>
      <c r="E92" s="440"/>
      <c r="F92" s="440"/>
      <c r="G92" s="440"/>
      <c r="H92" s="440"/>
      <c r="I92" s="440"/>
      <c r="J92" s="1058" t="s">
        <v>630</v>
      </c>
      <c r="K92" s="1058"/>
      <c r="L92" s="1058"/>
      <c r="M92" s="1058"/>
      <c r="N92" s="1058"/>
      <c r="O92" s="1058"/>
      <c r="P92" s="1058"/>
      <c r="Q92" s="1058"/>
      <c r="R92" s="1058"/>
      <c r="S92" s="1058"/>
      <c r="T92" s="1058"/>
      <c r="U92" s="1058"/>
      <c r="V92" s="1058"/>
      <c r="W92" s="1058"/>
      <c r="X92" s="1058"/>
      <c r="Y92" s="1058"/>
      <c r="Z92" s="1058"/>
      <c r="AA92" s="1058"/>
      <c r="AB92" s="1058"/>
      <c r="AC92" s="1058"/>
      <c r="AD92" s="441"/>
      <c r="AE92" s="441"/>
      <c r="AF92" s="441"/>
      <c r="AG92" s="441"/>
      <c r="AH92" s="441"/>
      <c r="AI92" s="441"/>
      <c r="AJ92" s="441"/>
      <c r="AK92" s="441"/>
      <c r="AL92" s="441"/>
      <c r="AM92" s="441"/>
      <c r="AN92" s="442"/>
      <c r="AO92" s="443" t="s">
        <v>707</v>
      </c>
      <c r="AP92" s="442"/>
    </row>
    <row r="93" spans="1:42" ht="12.75" customHeight="1" thickBot="1" x14ac:dyDescent="0.25">
      <c r="AO93" s="447" t="s">
        <v>1338</v>
      </c>
    </row>
    <row r="94" spans="1:42" x14ac:dyDescent="0.2">
      <c r="A94" s="1046"/>
      <c r="B94" s="1048" t="s">
        <v>632</v>
      </c>
      <c r="C94" s="1050" t="s">
        <v>633</v>
      </c>
      <c r="D94" s="1052" t="s">
        <v>1326</v>
      </c>
      <c r="E94" s="1054" t="s">
        <v>1327</v>
      </c>
      <c r="F94" s="1044" t="s">
        <v>634</v>
      </c>
      <c r="G94" s="1044"/>
      <c r="H94" s="1044"/>
      <c r="I94" s="1043" t="s">
        <v>635</v>
      </c>
      <c r="J94" s="1044"/>
      <c r="K94" s="1045"/>
      <c r="L94" s="1044" t="s">
        <v>636</v>
      </c>
      <c r="M94" s="1044"/>
      <c r="N94" s="1044"/>
      <c r="O94" s="1043" t="s">
        <v>637</v>
      </c>
      <c r="P94" s="1044"/>
      <c r="Q94" s="1045"/>
      <c r="R94" s="1044" t="s">
        <v>638</v>
      </c>
      <c r="S94" s="1044"/>
      <c r="T94" s="1044"/>
      <c r="U94" s="1043" t="s">
        <v>639</v>
      </c>
      <c r="V94" s="1044"/>
      <c r="W94" s="1045"/>
      <c r="X94" s="1044" t="s">
        <v>640</v>
      </c>
      <c r="Y94" s="1044"/>
      <c r="Z94" s="1044"/>
      <c r="AA94" s="1043" t="s">
        <v>641</v>
      </c>
      <c r="AB94" s="1044"/>
      <c r="AC94" s="1045"/>
      <c r="AD94" s="1044" t="s">
        <v>642</v>
      </c>
      <c r="AE94" s="1044"/>
      <c r="AF94" s="1044"/>
      <c r="AG94" s="1043" t="s">
        <v>643</v>
      </c>
      <c r="AH94" s="1044"/>
      <c r="AI94" s="1045"/>
      <c r="AJ94" s="1043" t="s">
        <v>644</v>
      </c>
      <c r="AK94" s="1044"/>
      <c r="AL94" s="1045"/>
      <c r="AM94" s="1044" t="s">
        <v>645</v>
      </c>
      <c r="AN94" s="1044"/>
      <c r="AO94" s="1056"/>
    </row>
    <row r="95" spans="1:42" x14ac:dyDescent="0.2">
      <c r="A95" s="1047"/>
      <c r="B95" s="1049"/>
      <c r="C95" s="1051"/>
      <c r="D95" s="1053"/>
      <c r="E95" s="1055"/>
      <c r="F95" s="450" t="s">
        <v>1328</v>
      </c>
      <c r="G95" s="451" t="s">
        <v>1329</v>
      </c>
      <c r="H95" s="452" t="s">
        <v>1330</v>
      </c>
      <c r="I95" s="453" t="s">
        <v>1328</v>
      </c>
      <c r="J95" s="451" t="s">
        <v>1329</v>
      </c>
      <c r="K95" s="454" t="s">
        <v>1330</v>
      </c>
      <c r="L95" s="455" t="s">
        <v>1328</v>
      </c>
      <c r="M95" s="451" t="s">
        <v>1329</v>
      </c>
      <c r="N95" s="452" t="s">
        <v>1330</v>
      </c>
      <c r="O95" s="453" t="s">
        <v>1328</v>
      </c>
      <c r="P95" s="451" t="s">
        <v>1329</v>
      </c>
      <c r="Q95" s="454" t="s">
        <v>1330</v>
      </c>
      <c r="R95" s="455" t="s">
        <v>1328</v>
      </c>
      <c r="S95" s="451" t="s">
        <v>1329</v>
      </c>
      <c r="T95" s="452" t="s">
        <v>1330</v>
      </c>
      <c r="U95" s="453" t="s">
        <v>1328</v>
      </c>
      <c r="V95" s="451" t="s">
        <v>1329</v>
      </c>
      <c r="W95" s="454" t="s">
        <v>1330</v>
      </c>
      <c r="X95" s="455" t="s">
        <v>1328</v>
      </c>
      <c r="Y95" s="451" t="s">
        <v>1329</v>
      </c>
      <c r="Z95" s="452" t="s">
        <v>1330</v>
      </c>
      <c r="AA95" s="453" t="s">
        <v>1328</v>
      </c>
      <c r="AB95" s="451" t="s">
        <v>1329</v>
      </c>
      <c r="AC95" s="454" t="s">
        <v>1330</v>
      </c>
      <c r="AD95" s="455" t="s">
        <v>1328</v>
      </c>
      <c r="AE95" s="451" t="s">
        <v>1329</v>
      </c>
      <c r="AF95" s="452" t="s">
        <v>1330</v>
      </c>
      <c r="AG95" s="453" t="s">
        <v>1328</v>
      </c>
      <c r="AH95" s="451" t="s">
        <v>1329</v>
      </c>
      <c r="AI95" s="454" t="s">
        <v>1330</v>
      </c>
      <c r="AJ95" s="453" t="s">
        <v>1328</v>
      </c>
      <c r="AK95" s="451" t="s">
        <v>1329</v>
      </c>
      <c r="AL95" s="454" t="s">
        <v>1330</v>
      </c>
      <c r="AM95" s="455" t="s">
        <v>1328</v>
      </c>
      <c r="AN95" s="451" t="s">
        <v>1329</v>
      </c>
      <c r="AO95" s="456" t="s">
        <v>1330</v>
      </c>
    </row>
    <row r="96" spans="1:42" x14ac:dyDescent="0.2">
      <c r="A96" s="466" t="s">
        <v>646</v>
      </c>
      <c r="B96" s="467" t="s">
        <v>647</v>
      </c>
      <c r="C96" s="591">
        <f>SUM(F96,I96,L96,O96,R96,U96,X96,AA96,AD96,AG96,AJ96,AM96)</f>
        <v>0</v>
      </c>
      <c r="D96" s="543">
        <f t="shared" ref="D96:E111" si="69">SUM(G96,J96,M96,P96,S96,V96,Y96,AB96,AE96,AH96,AK96,AN96)</f>
        <v>0</v>
      </c>
      <c r="E96" s="465">
        <f t="shared" si="69"/>
        <v>0</v>
      </c>
      <c r="F96" s="469">
        <v>0</v>
      </c>
      <c r="G96" s="592">
        <v>0</v>
      </c>
      <c r="H96" s="593">
        <v>0</v>
      </c>
      <c r="I96" s="549">
        <v>0</v>
      </c>
      <c r="J96" s="592">
        <v>0</v>
      </c>
      <c r="K96" s="595">
        <v>0</v>
      </c>
      <c r="L96" s="469">
        <v>0</v>
      </c>
      <c r="M96" s="592">
        <v>0</v>
      </c>
      <c r="N96" s="593">
        <v>0</v>
      </c>
      <c r="O96" s="549">
        <v>0</v>
      </c>
      <c r="P96" s="592">
        <v>0</v>
      </c>
      <c r="Q96" s="595">
        <v>0</v>
      </c>
      <c r="R96" s="469">
        <v>0</v>
      </c>
      <c r="S96" s="592">
        <v>0</v>
      </c>
      <c r="T96" s="593">
        <v>0</v>
      </c>
      <c r="U96" s="549">
        <v>0</v>
      </c>
      <c r="V96" s="592">
        <v>0</v>
      </c>
      <c r="W96" s="595">
        <v>0</v>
      </c>
      <c r="X96" s="469">
        <v>0</v>
      </c>
      <c r="Y96" s="592">
        <v>0</v>
      </c>
      <c r="Z96" s="593"/>
      <c r="AA96" s="549">
        <v>0</v>
      </c>
      <c r="AB96" s="592"/>
      <c r="AC96" s="595"/>
      <c r="AD96" s="469">
        <v>0</v>
      </c>
      <c r="AE96" s="592"/>
      <c r="AF96" s="593"/>
      <c r="AG96" s="549">
        <v>0</v>
      </c>
      <c r="AH96" s="592"/>
      <c r="AI96" s="595"/>
      <c r="AJ96" s="549">
        <v>0</v>
      </c>
      <c r="AK96" s="592"/>
      <c r="AL96" s="595"/>
      <c r="AM96" s="469">
        <v>0</v>
      </c>
      <c r="AN96" s="592"/>
      <c r="AO96" s="465"/>
    </row>
    <row r="97" spans="1:42" x14ac:dyDescent="0.2">
      <c r="A97" s="466" t="s">
        <v>650</v>
      </c>
      <c r="B97" s="467" t="s">
        <v>649</v>
      </c>
      <c r="C97" s="468">
        <f t="shared" ref="C97:C101" si="70">SUM(F97,I97,L97,O97,R97,U97,X97,AA97,AD97,AG97,AJ97,AM97)</f>
        <v>5000</v>
      </c>
      <c r="D97" s="469">
        <f t="shared" si="69"/>
        <v>5000</v>
      </c>
      <c r="E97" s="470">
        <f t="shared" si="69"/>
        <v>1600</v>
      </c>
      <c r="F97" s="469">
        <v>417</v>
      </c>
      <c r="G97" s="598">
        <v>10</v>
      </c>
      <c r="H97" s="599">
        <v>10</v>
      </c>
      <c r="I97" s="549">
        <v>416</v>
      </c>
      <c r="J97" s="598">
        <v>20</v>
      </c>
      <c r="K97" s="600">
        <v>20</v>
      </c>
      <c r="L97" s="469">
        <v>417</v>
      </c>
      <c r="M97" s="598">
        <v>180</v>
      </c>
      <c r="N97" s="599">
        <v>180</v>
      </c>
      <c r="O97" s="549">
        <v>416</v>
      </c>
      <c r="P97" s="598">
        <v>400</v>
      </c>
      <c r="Q97" s="600">
        <v>400</v>
      </c>
      <c r="R97" s="469">
        <v>417</v>
      </c>
      <c r="S97" s="598">
        <v>535</v>
      </c>
      <c r="T97" s="599">
        <v>535</v>
      </c>
      <c r="U97" s="549">
        <v>417</v>
      </c>
      <c r="V97" s="598">
        <v>455</v>
      </c>
      <c r="W97" s="600">
        <v>455</v>
      </c>
      <c r="X97" s="469">
        <v>417</v>
      </c>
      <c r="Y97" s="598">
        <v>566</v>
      </c>
      <c r="Z97" s="599"/>
      <c r="AA97" s="549">
        <v>416</v>
      </c>
      <c r="AB97" s="598">
        <v>567</v>
      </c>
      <c r="AC97" s="600"/>
      <c r="AD97" s="469">
        <v>417</v>
      </c>
      <c r="AE97" s="598">
        <v>567</v>
      </c>
      <c r="AF97" s="599"/>
      <c r="AG97" s="549">
        <v>416</v>
      </c>
      <c r="AH97" s="598">
        <v>567</v>
      </c>
      <c r="AI97" s="600"/>
      <c r="AJ97" s="549">
        <v>417</v>
      </c>
      <c r="AK97" s="598">
        <v>566</v>
      </c>
      <c r="AL97" s="600"/>
      <c r="AM97" s="469">
        <v>417</v>
      </c>
      <c r="AN97" s="598">
        <v>567</v>
      </c>
      <c r="AO97" s="470"/>
    </row>
    <row r="98" spans="1:42" x14ac:dyDescent="0.2">
      <c r="A98" s="466" t="s">
        <v>652</v>
      </c>
      <c r="B98" s="467" t="s">
        <v>651</v>
      </c>
      <c r="C98" s="468">
        <f t="shared" si="70"/>
        <v>3175</v>
      </c>
      <c r="D98" s="469">
        <f t="shared" si="69"/>
        <v>4583</v>
      </c>
      <c r="E98" s="470">
        <f t="shared" si="69"/>
        <v>1395</v>
      </c>
      <c r="F98" s="469">
        <v>265</v>
      </c>
      <c r="G98" s="598">
        <v>111</v>
      </c>
      <c r="H98" s="599">
        <v>111</v>
      </c>
      <c r="I98" s="549">
        <v>264</v>
      </c>
      <c r="J98" s="598">
        <v>164</v>
      </c>
      <c r="K98" s="600">
        <v>164</v>
      </c>
      <c r="L98" s="469">
        <v>265</v>
      </c>
      <c r="M98" s="598">
        <v>91</v>
      </c>
      <c r="N98" s="599">
        <v>91</v>
      </c>
      <c r="O98" s="549">
        <v>264</v>
      </c>
      <c r="P98" s="598">
        <v>238</v>
      </c>
      <c r="Q98" s="600">
        <v>238</v>
      </c>
      <c r="R98" s="469">
        <v>265</v>
      </c>
      <c r="S98" s="598">
        <v>442</v>
      </c>
      <c r="T98" s="599">
        <v>442</v>
      </c>
      <c r="U98" s="549">
        <v>265</v>
      </c>
      <c r="V98" s="598">
        <v>349</v>
      </c>
      <c r="W98" s="600">
        <v>349</v>
      </c>
      <c r="X98" s="469">
        <v>265</v>
      </c>
      <c r="Y98" s="598">
        <v>530</v>
      </c>
      <c r="Z98" s="599"/>
      <c r="AA98" s="549">
        <v>264</v>
      </c>
      <c r="AB98" s="598">
        <v>532</v>
      </c>
      <c r="AC98" s="600"/>
      <c r="AD98" s="469">
        <v>265</v>
      </c>
      <c r="AE98" s="598">
        <v>531</v>
      </c>
      <c r="AF98" s="599"/>
      <c r="AG98" s="549">
        <v>264</v>
      </c>
      <c r="AH98" s="598">
        <v>532</v>
      </c>
      <c r="AI98" s="600"/>
      <c r="AJ98" s="549">
        <v>265</v>
      </c>
      <c r="AK98" s="598">
        <v>531</v>
      </c>
      <c r="AL98" s="600"/>
      <c r="AM98" s="469">
        <v>264</v>
      </c>
      <c r="AN98" s="598">
        <v>532</v>
      </c>
      <c r="AO98" s="470"/>
    </row>
    <row r="99" spans="1:42" x14ac:dyDescent="0.2">
      <c r="A99" s="466" t="s">
        <v>1331</v>
      </c>
      <c r="B99" s="467" t="s">
        <v>653</v>
      </c>
      <c r="C99" s="468">
        <f t="shared" si="70"/>
        <v>0</v>
      </c>
      <c r="D99" s="469">
        <f t="shared" si="69"/>
        <v>3358</v>
      </c>
      <c r="E99" s="470">
        <f t="shared" si="69"/>
        <v>0</v>
      </c>
      <c r="F99" s="469"/>
      <c r="G99" s="598"/>
      <c r="H99" s="599">
        <v>0</v>
      </c>
      <c r="I99" s="549"/>
      <c r="J99" s="598"/>
      <c r="K99" s="600"/>
      <c r="L99" s="469">
        <v>0</v>
      </c>
      <c r="M99" s="598"/>
      <c r="N99" s="599"/>
      <c r="O99" s="549">
        <v>0</v>
      </c>
      <c r="P99" s="598"/>
      <c r="Q99" s="600">
        <v>0</v>
      </c>
      <c r="R99" s="469"/>
      <c r="S99" s="598"/>
      <c r="T99" s="599">
        <v>0</v>
      </c>
      <c r="U99" s="549"/>
      <c r="V99" s="598"/>
      <c r="W99" s="600">
        <v>0</v>
      </c>
      <c r="X99" s="469"/>
      <c r="Y99" s="598">
        <v>560</v>
      </c>
      <c r="Z99" s="599"/>
      <c r="AA99" s="549"/>
      <c r="AB99" s="598">
        <v>560</v>
      </c>
      <c r="AC99" s="600"/>
      <c r="AD99" s="469"/>
      <c r="AE99" s="598">
        <v>560</v>
      </c>
      <c r="AF99" s="599"/>
      <c r="AG99" s="549"/>
      <c r="AH99" s="598">
        <v>559</v>
      </c>
      <c r="AI99" s="600"/>
      <c r="AJ99" s="549"/>
      <c r="AK99" s="598">
        <v>559</v>
      </c>
      <c r="AL99" s="600"/>
      <c r="AM99" s="469"/>
      <c r="AN99" s="598">
        <v>560</v>
      </c>
      <c r="AO99" s="470"/>
    </row>
    <row r="100" spans="1:42" x14ac:dyDescent="0.2">
      <c r="A100" s="471" t="s">
        <v>654</v>
      </c>
      <c r="B100" s="472" t="s">
        <v>655</v>
      </c>
      <c r="C100" s="473">
        <f t="shared" si="70"/>
        <v>8175</v>
      </c>
      <c r="D100" s="474">
        <f t="shared" si="69"/>
        <v>12941</v>
      </c>
      <c r="E100" s="475">
        <f t="shared" si="69"/>
        <v>2995</v>
      </c>
      <c r="F100" s="474">
        <f>SUM(F96:F99)</f>
        <v>682</v>
      </c>
      <c r="G100" s="603">
        <f t="shared" ref="G100:AO100" si="71">SUM(G96:G99)</f>
        <v>121</v>
      </c>
      <c r="H100" s="604">
        <f t="shared" si="71"/>
        <v>121</v>
      </c>
      <c r="I100" s="477">
        <f t="shared" si="71"/>
        <v>680</v>
      </c>
      <c r="J100" s="603">
        <f t="shared" si="71"/>
        <v>184</v>
      </c>
      <c r="K100" s="605">
        <f t="shared" si="71"/>
        <v>184</v>
      </c>
      <c r="L100" s="474">
        <f t="shared" si="71"/>
        <v>682</v>
      </c>
      <c r="M100" s="603">
        <f t="shared" si="71"/>
        <v>271</v>
      </c>
      <c r="N100" s="604">
        <f t="shared" si="71"/>
        <v>271</v>
      </c>
      <c r="O100" s="477">
        <f t="shared" si="71"/>
        <v>680</v>
      </c>
      <c r="P100" s="603">
        <f t="shared" si="71"/>
        <v>638</v>
      </c>
      <c r="Q100" s="605">
        <f t="shared" si="71"/>
        <v>638</v>
      </c>
      <c r="R100" s="474">
        <f t="shared" si="71"/>
        <v>682</v>
      </c>
      <c r="S100" s="603">
        <f t="shared" si="71"/>
        <v>977</v>
      </c>
      <c r="T100" s="604">
        <f t="shared" si="71"/>
        <v>977</v>
      </c>
      <c r="U100" s="477">
        <f t="shared" si="71"/>
        <v>682</v>
      </c>
      <c r="V100" s="603">
        <f t="shared" si="71"/>
        <v>804</v>
      </c>
      <c r="W100" s="605">
        <f t="shared" si="71"/>
        <v>804</v>
      </c>
      <c r="X100" s="474">
        <f t="shared" si="71"/>
        <v>682</v>
      </c>
      <c r="Y100" s="603">
        <f t="shared" si="71"/>
        <v>1656</v>
      </c>
      <c r="Z100" s="604">
        <f t="shared" si="71"/>
        <v>0</v>
      </c>
      <c r="AA100" s="477">
        <f t="shared" si="71"/>
        <v>680</v>
      </c>
      <c r="AB100" s="603">
        <f t="shared" si="71"/>
        <v>1659</v>
      </c>
      <c r="AC100" s="605">
        <f t="shared" si="71"/>
        <v>0</v>
      </c>
      <c r="AD100" s="474">
        <f t="shared" si="71"/>
        <v>682</v>
      </c>
      <c r="AE100" s="603">
        <f t="shared" si="71"/>
        <v>1658</v>
      </c>
      <c r="AF100" s="604">
        <f t="shared" si="71"/>
        <v>0</v>
      </c>
      <c r="AG100" s="477">
        <f t="shared" si="71"/>
        <v>680</v>
      </c>
      <c r="AH100" s="603">
        <f t="shared" si="71"/>
        <v>1658</v>
      </c>
      <c r="AI100" s="605">
        <f t="shared" si="71"/>
        <v>0</v>
      </c>
      <c r="AJ100" s="477">
        <f t="shared" si="71"/>
        <v>682</v>
      </c>
      <c r="AK100" s="603">
        <f t="shared" si="71"/>
        <v>1656</v>
      </c>
      <c r="AL100" s="605">
        <f t="shared" si="71"/>
        <v>0</v>
      </c>
      <c r="AM100" s="474">
        <f t="shared" si="71"/>
        <v>681</v>
      </c>
      <c r="AN100" s="603">
        <f t="shared" si="71"/>
        <v>1659</v>
      </c>
      <c r="AO100" s="475">
        <f t="shared" si="71"/>
        <v>0</v>
      </c>
    </row>
    <row r="101" spans="1:42" x14ac:dyDescent="0.2">
      <c r="A101" s="471" t="s">
        <v>656</v>
      </c>
      <c r="B101" s="472" t="s">
        <v>657</v>
      </c>
      <c r="C101" s="473">
        <f t="shared" si="70"/>
        <v>392889</v>
      </c>
      <c r="D101" s="474">
        <f t="shared" si="69"/>
        <v>406569</v>
      </c>
      <c r="E101" s="475">
        <f t="shared" si="69"/>
        <v>206527</v>
      </c>
      <c r="F101" s="474">
        <f>1988+42153</f>
        <v>44141</v>
      </c>
      <c r="G101" s="603">
        <v>29586</v>
      </c>
      <c r="H101" s="604">
        <f>27598+1988</f>
        <v>29586</v>
      </c>
      <c r="I101" s="477">
        <v>44141</v>
      </c>
      <c r="J101" s="603">
        <v>23077</v>
      </c>
      <c r="K101" s="605">
        <v>23077</v>
      </c>
      <c r="L101" s="474">
        <v>44140</v>
      </c>
      <c r="M101" s="603">
        <v>38293</v>
      </c>
      <c r="N101" s="604">
        <v>38293</v>
      </c>
      <c r="O101" s="477">
        <v>28942</v>
      </c>
      <c r="P101" s="603">
        <v>38308</v>
      </c>
      <c r="Q101" s="605">
        <v>38308</v>
      </c>
      <c r="R101" s="474">
        <v>28940</v>
      </c>
      <c r="S101" s="603">
        <v>30374</v>
      </c>
      <c r="T101" s="604">
        <v>30374</v>
      </c>
      <c r="U101" s="477">
        <v>28941</v>
      </c>
      <c r="V101" s="603">
        <v>46889</v>
      </c>
      <c r="W101" s="605">
        <v>46889</v>
      </c>
      <c r="X101" s="474">
        <v>28940</v>
      </c>
      <c r="Y101" s="603">
        <v>33341</v>
      </c>
      <c r="Z101" s="604"/>
      <c r="AA101" s="477">
        <v>28941</v>
      </c>
      <c r="AB101" s="603">
        <v>33340</v>
      </c>
      <c r="AC101" s="605"/>
      <c r="AD101" s="474">
        <v>28941</v>
      </c>
      <c r="AE101" s="603">
        <v>33340</v>
      </c>
      <c r="AF101" s="604"/>
      <c r="AG101" s="477">
        <v>28941</v>
      </c>
      <c r="AH101" s="603">
        <v>33340</v>
      </c>
      <c r="AI101" s="605"/>
      <c r="AJ101" s="477">
        <v>28941</v>
      </c>
      <c r="AK101" s="603">
        <v>33340</v>
      </c>
      <c r="AL101" s="605"/>
      <c r="AM101" s="474">
        <v>28940</v>
      </c>
      <c r="AN101" s="603">
        <v>33341</v>
      </c>
      <c r="AO101" s="475"/>
    </row>
    <row r="102" spans="1:42" x14ac:dyDescent="0.2">
      <c r="A102" s="481" t="s">
        <v>658</v>
      </c>
      <c r="B102" s="482" t="s">
        <v>659</v>
      </c>
      <c r="C102" s="483">
        <f>SUM(F102,I102,L102,O102,R102,U102,X102,AA102,AD102,AG102,AJ102,AM102)</f>
        <v>1988</v>
      </c>
      <c r="D102" s="484">
        <f t="shared" si="69"/>
        <v>1988</v>
      </c>
      <c r="E102" s="485">
        <f t="shared" si="69"/>
        <v>1988</v>
      </c>
      <c r="F102" s="487">
        <v>1988</v>
      </c>
      <c r="G102" s="606">
        <v>1988</v>
      </c>
      <c r="H102" s="607">
        <v>1988</v>
      </c>
      <c r="I102" s="487"/>
      <c r="J102" s="606"/>
      <c r="K102" s="608"/>
      <c r="L102" s="484"/>
      <c r="M102" s="606"/>
      <c r="N102" s="607"/>
      <c r="O102" s="487"/>
      <c r="P102" s="606"/>
      <c r="Q102" s="608"/>
      <c r="R102" s="484"/>
      <c r="S102" s="606"/>
      <c r="T102" s="607"/>
      <c r="U102" s="487"/>
      <c r="V102" s="606"/>
      <c r="W102" s="608"/>
      <c r="X102" s="484"/>
      <c r="Y102" s="606"/>
      <c r="Z102" s="607"/>
      <c r="AA102" s="487"/>
      <c r="AB102" s="606"/>
      <c r="AC102" s="608"/>
      <c r="AD102" s="484"/>
      <c r="AE102" s="606"/>
      <c r="AF102" s="607"/>
      <c r="AG102" s="487"/>
      <c r="AH102" s="606"/>
      <c r="AI102" s="608"/>
      <c r="AJ102" s="487"/>
      <c r="AK102" s="606"/>
      <c r="AL102" s="608"/>
      <c r="AM102" s="484"/>
      <c r="AN102" s="606"/>
      <c r="AO102" s="485"/>
    </row>
    <row r="103" spans="1:42" x14ac:dyDescent="0.2">
      <c r="A103" s="471" t="s">
        <v>660</v>
      </c>
      <c r="B103" s="472" t="s">
        <v>661</v>
      </c>
      <c r="C103" s="473">
        <f>SUM(F103,I103,L103,O103,R103,U103,X103,AA103,AD103,AG103,AJ103,AM103)</f>
        <v>401064</v>
      </c>
      <c r="D103" s="474">
        <f t="shared" si="69"/>
        <v>419510</v>
      </c>
      <c r="E103" s="475">
        <f t="shared" si="69"/>
        <v>209522</v>
      </c>
      <c r="F103" s="474">
        <f>SUM(F100,F101)</f>
        <v>44823</v>
      </c>
      <c r="G103" s="603">
        <f t="shared" ref="G103:H103" si="72">SUM(G100,G101)</f>
        <v>29707</v>
      </c>
      <c r="H103" s="604">
        <f t="shared" si="72"/>
        <v>29707</v>
      </c>
      <c r="I103" s="477">
        <f>SUM(I100,I101)</f>
        <v>44821</v>
      </c>
      <c r="J103" s="603">
        <f t="shared" ref="J103:AO103" si="73">SUM(J100,J101)</f>
        <v>23261</v>
      </c>
      <c r="K103" s="605">
        <f t="shared" si="73"/>
        <v>23261</v>
      </c>
      <c r="L103" s="474">
        <f t="shared" si="73"/>
        <v>44822</v>
      </c>
      <c r="M103" s="603">
        <f t="shared" si="73"/>
        <v>38564</v>
      </c>
      <c r="N103" s="604">
        <f t="shared" si="73"/>
        <v>38564</v>
      </c>
      <c r="O103" s="477">
        <f t="shared" si="73"/>
        <v>29622</v>
      </c>
      <c r="P103" s="603">
        <f t="shared" si="73"/>
        <v>38946</v>
      </c>
      <c r="Q103" s="605">
        <f t="shared" si="73"/>
        <v>38946</v>
      </c>
      <c r="R103" s="474">
        <f t="shared" si="73"/>
        <v>29622</v>
      </c>
      <c r="S103" s="603">
        <f t="shared" si="73"/>
        <v>31351</v>
      </c>
      <c r="T103" s="604">
        <f t="shared" si="73"/>
        <v>31351</v>
      </c>
      <c r="U103" s="477">
        <f t="shared" si="73"/>
        <v>29623</v>
      </c>
      <c r="V103" s="603">
        <f t="shared" si="73"/>
        <v>47693</v>
      </c>
      <c r="W103" s="605">
        <f t="shared" si="73"/>
        <v>47693</v>
      </c>
      <c r="X103" s="474">
        <f t="shared" si="73"/>
        <v>29622</v>
      </c>
      <c r="Y103" s="603">
        <f t="shared" si="73"/>
        <v>34997</v>
      </c>
      <c r="Z103" s="604">
        <f t="shared" si="73"/>
        <v>0</v>
      </c>
      <c r="AA103" s="477">
        <f t="shared" si="73"/>
        <v>29621</v>
      </c>
      <c r="AB103" s="603">
        <f t="shared" si="73"/>
        <v>34999</v>
      </c>
      <c r="AC103" s="605">
        <f t="shared" si="73"/>
        <v>0</v>
      </c>
      <c r="AD103" s="474">
        <f t="shared" si="73"/>
        <v>29623</v>
      </c>
      <c r="AE103" s="603">
        <f t="shared" si="73"/>
        <v>34998</v>
      </c>
      <c r="AF103" s="604">
        <f t="shared" si="73"/>
        <v>0</v>
      </c>
      <c r="AG103" s="477">
        <f t="shared" si="73"/>
        <v>29621</v>
      </c>
      <c r="AH103" s="603">
        <f t="shared" si="73"/>
        <v>34998</v>
      </c>
      <c r="AI103" s="605">
        <f t="shared" si="73"/>
        <v>0</v>
      </c>
      <c r="AJ103" s="477">
        <f t="shared" si="73"/>
        <v>29623</v>
      </c>
      <c r="AK103" s="603">
        <f t="shared" si="73"/>
        <v>34996</v>
      </c>
      <c r="AL103" s="605">
        <f t="shared" si="73"/>
        <v>0</v>
      </c>
      <c r="AM103" s="474">
        <f t="shared" si="73"/>
        <v>29621</v>
      </c>
      <c r="AN103" s="603">
        <f t="shared" si="73"/>
        <v>35000</v>
      </c>
      <c r="AO103" s="475">
        <f t="shared" si="73"/>
        <v>0</v>
      </c>
    </row>
    <row r="104" spans="1:42" x14ac:dyDescent="0.2">
      <c r="A104" s="466" t="s">
        <v>648</v>
      </c>
      <c r="B104" s="467" t="s">
        <v>662</v>
      </c>
      <c r="C104" s="468">
        <f t="shared" ref="C104:C108" si="74">SUM(F104,I104,L104,O104,R104,U104,X104,AA104,AD104,AG104,AJ104,AM104)</f>
        <v>0</v>
      </c>
      <c r="D104" s="469">
        <f t="shared" si="69"/>
        <v>0</v>
      </c>
      <c r="E104" s="470">
        <f t="shared" si="69"/>
        <v>0</v>
      </c>
      <c r="F104" s="469"/>
      <c r="G104" s="598"/>
      <c r="H104" s="599"/>
      <c r="I104" s="549"/>
      <c r="J104" s="598"/>
      <c r="K104" s="600"/>
      <c r="L104" s="469"/>
      <c r="M104" s="598"/>
      <c r="N104" s="599"/>
      <c r="O104" s="549"/>
      <c r="P104" s="598"/>
      <c r="Q104" s="600"/>
      <c r="R104" s="469"/>
      <c r="S104" s="598"/>
      <c r="T104" s="599"/>
      <c r="U104" s="549"/>
      <c r="V104" s="598"/>
      <c r="W104" s="600"/>
      <c r="X104" s="469"/>
      <c r="Y104" s="598"/>
      <c r="Z104" s="599"/>
      <c r="AA104" s="549"/>
      <c r="AB104" s="598"/>
      <c r="AC104" s="600"/>
      <c r="AD104" s="469"/>
      <c r="AE104" s="598"/>
      <c r="AF104" s="599"/>
      <c r="AG104" s="549"/>
      <c r="AH104" s="598"/>
      <c r="AI104" s="600"/>
      <c r="AJ104" s="549"/>
      <c r="AK104" s="598"/>
      <c r="AL104" s="600"/>
      <c r="AM104" s="469"/>
      <c r="AN104" s="598"/>
      <c r="AO104" s="470"/>
    </row>
    <row r="105" spans="1:42" x14ac:dyDescent="0.2">
      <c r="A105" s="491" t="s">
        <v>663</v>
      </c>
      <c r="B105" s="492" t="s">
        <v>664</v>
      </c>
      <c r="C105" s="468">
        <f t="shared" si="74"/>
        <v>0</v>
      </c>
      <c r="D105" s="469">
        <f t="shared" si="69"/>
        <v>0</v>
      </c>
      <c r="E105" s="470">
        <f t="shared" si="69"/>
        <v>0</v>
      </c>
      <c r="F105" s="630"/>
      <c r="G105" s="598"/>
      <c r="H105" s="599"/>
      <c r="I105" s="631"/>
      <c r="J105" s="598"/>
      <c r="K105" s="600"/>
      <c r="L105" s="630"/>
      <c r="M105" s="598"/>
      <c r="N105" s="599"/>
      <c r="O105" s="631"/>
      <c r="P105" s="598"/>
      <c r="Q105" s="600"/>
      <c r="R105" s="630"/>
      <c r="S105" s="598"/>
      <c r="T105" s="599"/>
      <c r="U105" s="631"/>
      <c r="V105" s="598"/>
      <c r="W105" s="600"/>
      <c r="X105" s="630"/>
      <c r="Y105" s="598"/>
      <c r="Z105" s="599"/>
      <c r="AA105" s="631"/>
      <c r="AB105" s="598"/>
      <c r="AC105" s="600"/>
      <c r="AD105" s="630"/>
      <c r="AE105" s="598"/>
      <c r="AF105" s="599"/>
      <c r="AG105" s="631"/>
      <c r="AH105" s="598"/>
      <c r="AI105" s="600"/>
      <c r="AJ105" s="631"/>
      <c r="AK105" s="598"/>
      <c r="AL105" s="600"/>
      <c r="AM105" s="630"/>
      <c r="AN105" s="598"/>
      <c r="AO105" s="470"/>
    </row>
    <row r="106" spans="1:42" x14ac:dyDescent="0.2">
      <c r="A106" s="491" t="s">
        <v>665</v>
      </c>
      <c r="B106" s="492" t="s">
        <v>666</v>
      </c>
      <c r="C106" s="468">
        <f t="shared" si="74"/>
        <v>0</v>
      </c>
      <c r="D106" s="469">
        <f t="shared" si="69"/>
        <v>0</v>
      </c>
      <c r="E106" s="470">
        <f t="shared" si="69"/>
        <v>0</v>
      </c>
      <c r="F106" s="630"/>
      <c r="G106" s="598"/>
      <c r="H106" s="599"/>
      <c r="I106" s="631"/>
      <c r="J106" s="598"/>
      <c r="K106" s="600"/>
      <c r="L106" s="630"/>
      <c r="M106" s="598"/>
      <c r="N106" s="599"/>
      <c r="O106" s="631"/>
      <c r="P106" s="598"/>
      <c r="Q106" s="600"/>
      <c r="R106" s="630"/>
      <c r="S106" s="598"/>
      <c r="T106" s="599"/>
      <c r="U106" s="631"/>
      <c r="V106" s="598"/>
      <c r="W106" s="600"/>
      <c r="X106" s="630"/>
      <c r="Y106" s="598"/>
      <c r="Z106" s="599"/>
      <c r="AA106" s="631"/>
      <c r="AB106" s="598"/>
      <c r="AC106" s="600"/>
      <c r="AD106" s="630"/>
      <c r="AE106" s="598"/>
      <c r="AF106" s="599"/>
      <c r="AG106" s="631"/>
      <c r="AH106" s="598"/>
      <c r="AI106" s="600"/>
      <c r="AJ106" s="631"/>
      <c r="AK106" s="598"/>
      <c r="AL106" s="600"/>
      <c r="AM106" s="630"/>
      <c r="AN106" s="598"/>
      <c r="AO106" s="470"/>
    </row>
    <row r="107" spans="1:42" x14ac:dyDescent="0.2">
      <c r="A107" s="471" t="s">
        <v>667</v>
      </c>
      <c r="B107" s="472" t="s">
        <v>668</v>
      </c>
      <c r="C107" s="473">
        <f t="shared" si="74"/>
        <v>0</v>
      </c>
      <c r="D107" s="474">
        <f t="shared" si="69"/>
        <v>0</v>
      </c>
      <c r="E107" s="475">
        <f t="shared" si="69"/>
        <v>0</v>
      </c>
      <c r="F107" s="473">
        <f>SUM(F104:F106)</f>
        <v>0</v>
      </c>
      <c r="G107" s="603">
        <f t="shared" ref="G107:AO107" si="75">SUM(G104:G106)</f>
        <v>0</v>
      </c>
      <c r="H107" s="604">
        <f t="shared" si="75"/>
        <v>0</v>
      </c>
      <c r="I107" s="477">
        <f t="shared" si="75"/>
        <v>0</v>
      </c>
      <c r="J107" s="603">
        <f t="shared" si="75"/>
        <v>0</v>
      </c>
      <c r="K107" s="605">
        <f t="shared" si="75"/>
        <v>0</v>
      </c>
      <c r="L107" s="474">
        <f t="shared" si="75"/>
        <v>0</v>
      </c>
      <c r="M107" s="603">
        <f t="shared" si="75"/>
        <v>0</v>
      </c>
      <c r="N107" s="604">
        <f t="shared" si="75"/>
        <v>0</v>
      </c>
      <c r="O107" s="477">
        <f t="shared" si="75"/>
        <v>0</v>
      </c>
      <c r="P107" s="603">
        <f t="shared" si="75"/>
        <v>0</v>
      </c>
      <c r="Q107" s="605">
        <f t="shared" si="75"/>
        <v>0</v>
      </c>
      <c r="R107" s="474">
        <f t="shared" si="75"/>
        <v>0</v>
      </c>
      <c r="S107" s="603">
        <f t="shared" si="75"/>
        <v>0</v>
      </c>
      <c r="T107" s="604">
        <f t="shared" si="75"/>
        <v>0</v>
      </c>
      <c r="U107" s="477">
        <f t="shared" si="75"/>
        <v>0</v>
      </c>
      <c r="V107" s="603">
        <f t="shared" si="75"/>
        <v>0</v>
      </c>
      <c r="W107" s="605">
        <f t="shared" si="75"/>
        <v>0</v>
      </c>
      <c r="X107" s="474">
        <f t="shared" si="75"/>
        <v>0</v>
      </c>
      <c r="Y107" s="603">
        <f t="shared" si="75"/>
        <v>0</v>
      </c>
      <c r="Z107" s="604">
        <f t="shared" si="75"/>
        <v>0</v>
      </c>
      <c r="AA107" s="477">
        <f t="shared" si="75"/>
        <v>0</v>
      </c>
      <c r="AB107" s="603">
        <f t="shared" si="75"/>
        <v>0</v>
      </c>
      <c r="AC107" s="605">
        <f t="shared" si="75"/>
        <v>0</v>
      </c>
      <c r="AD107" s="474">
        <f t="shared" si="75"/>
        <v>0</v>
      </c>
      <c r="AE107" s="603">
        <f t="shared" si="75"/>
        <v>0</v>
      </c>
      <c r="AF107" s="604">
        <f t="shared" si="75"/>
        <v>0</v>
      </c>
      <c r="AG107" s="477">
        <f t="shared" si="75"/>
        <v>0</v>
      </c>
      <c r="AH107" s="603">
        <f t="shared" si="75"/>
        <v>0</v>
      </c>
      <c r="AI107" s="605">
        <f t="shared" si="75"/>
        <v>0</v>
      </c>
      <c r="AJ107" s="477">
        <f t="shared" si="75"/>
        <v>0</v>
      </c>
      <c r="AK107" s="603">
        <f t="shared" si="75"/>
        <v>0</v>
      </c>
      <c r="AL107" s="605">
        <f t="shared" si="75"/>
        <v>0</v>
      </c>
      <c r="AM107" s="474">
        <f t="shared" si="75"/>
        <v>0</v>
      </c>
      <c r="AN107" s="603">
        <f t="shared" si="75"/>
        <v>0</v>
      </c>
      <c r="AO107" s="475">
        <f t="shared" si="75"/>
        <v>0</v>
      </c>
    </row>
    <row r="108" spans="1:42" x14ac:dyDescent="0.2">
      <c r="A108" s="493" t="s">
        <v>669</v>
      </c>
      <c r="B108" s="494" t="s">
        <v>657</v>
      </c>
      <c r="C108" s="473">
        <f t="shared" si="74"/>
        <v>16609</v>
      </c>
      <c r="D108" s="474">
        <f t="shared" si="69"/>
        <v>16609</v>
      </c>
      <c r="E108" s="475">
        <f t="shared" si="69"/>
        <v>0</v>
      </c>
      <c r="F108" s="632">
        <v>1384</v>
      </c>
      <c r="G108" s="603">
        <v>0</v>
      </c>
      <c r="H108" s="604"/>
      <c r="I108" s="497">
        <v>1384</v>
      </c>
      <c r="J108" s="603">
        <v>0</v>
      </c>
      <c r="K108" s="605"/>
      <c r="L108" s="495">
        <v>1384</v>
      </c>
      <c r="M108" s="603">
        <v>0</v>
      </c>
      <c r="N108" s="604"/>
      <c r="O108" s="497">
        <v>1384</v>
      </c>
      <c r="P108" s="603">
        <v>0</v>
      </c>
      <c r="Q108" s="605"/>
      <c r="R108" s="495">
        <v>1384</v>
      </c>
      <c r="S108" s="603">
        <v>0</v>
      </c>
      <c r="T108" s="604"/>
      <c r="U108" s="497">
        <v>1384</v>
      </c>
      <c r="V108" s="603">
        <v>0</v>
      </c>
      <c r="W108" s="605"/>
      <c r="X108" s="495">
        <v>1384</v>
      </c>
      <c r="Y108" s="603"/>
      <c r="Z108" s="604"/>
      <c r="AA108" s="497">
        <v>1384</v>
      </c>
      <c r="AB108" s="603"/>
      <c r="AC108" s="605"/>
      <c r="AD108" s="495">
        <v>1384</v>
      </c>
      <c r="AE108" s="603"/>
      <c r="AF108" s="604"/>
      <c r="AG108" s="497">
        <v>1384</v>
      </c>
      <c r="AH108" s="603"/>
      <c r="AI108" s="605"/>
      <c r="AJ108" s="497">
        <v>1385</v>
      </c>
      <c r="AK108" s="603"/>
      <c r="AL108" s="605"/>
      <c r="AM108" s="474">
        <v>1384</v>
      </c>
      <c r="AN108" s="603">
        <v>16609</v>
      </c>
      <c r="AO108" s="475"/>
    </row>
    <row r="109" spans="1:42" x14ac:dyDescent="0.2">
      <c r="A109" s="481" t="s">
        <v>658</v>
      </c>
      <c r="B109" s="482" t="s">
        <v>659</v>
      </c>
      <c r="C109" s="483">
        <f>SUM(F109,I109,L109,O109,R109,U109,X109,AA109,AD109,AG109,AJ109,AM109)</f>
        <v>0</v>
      </c>
      <c r="D109" s="484">
        <f t="shared" si="69"/>
        <v>0</v>
      </c>
      <c r="E109" s="485">
        <f t="shared" si="69"/>
        <v>0</v>
      </c>
      <c r="F109" s="460"/>
      <c r="G109" s="598"/>
      <c r="H109" s="599"/>
      <c r="I109" s="463"/>
      <c r="J109" s="598"/>
      <c r="K109" s="600"/>
      <c r="L109" s="460"/>
      <c r="M109" s="598"/>
      <c r="N109" s="599"/>
      <c r="O109" s="463"/>
      <c r="P109" s="598"/>
      <c r="Q109" s="600"/>
      <c r="R109" s="460"/>
      <c r="S109" s="598"/>
      <c r="T109" s="599"/>
      <c r="U109" s="463"/>
      <c r="V109" s="598"/>
      <c r="W109" s="600"/>
      <c r="X109" s="460"/>
      <c r="Y109" s="598"/>
      <c r="Z109" s="599"/>
      <c r="AA109" s="463"/>
      <c r="AB109" s="598"/>
      <c r="AC109" s="600"/>
      <c r="AD109" s="460"/>
      <c r="AE109" s="598"/>
      <c r="AF109" s="599"/>
      <c r="AG109" s="463"/>
      <c r="AH109" s="598"/>
      <c r="AI109" s="600"/>
      <c r="AJ109" s="463"/>
      <c r="AK109" s="598"/>
      <c r="AL109" s="600"/>
      <c r="AM109" s="460"/>
      <c r="AN109" s="598"/>
      <c r="AO109" s="470"/>
    </row>
    <row r="110" spans="1:42" s="480" customFormat="1" ht="15.75" thickBot="1" x14ac:dyDescent="0.25">
      <c r="A110" s="505" t="s">
        <v>670</v>
      </c>
      <c r="B110" s="506" t="s">
        <v>671</v>
      </c>
      <c r="C110" s="507">
        <f>SUM(F110,I110,L110,O110,R110,U110,X110,AA110,AD110,AG110,AJ110,AM110)</f>
        <v>16609</v>
      </c>
      <c r="D110" s="508">
        <f t="shared" si="69"/>
        <v>16609</v>
      </c>
      <c r="E110" s="509">
        <f t="shared" si="69"/>
        <v>0</v>
      </c>
      <c r="F110" s="557">
        <f>SUM(F107,F108)</f>
        <v>1384</v>
      </c>
      <c r="G110" s="610">
        <f t="shared" ref="G110:H110" si="76">SUM(G107,G108)</f>
        <v>0</v>
      </c>
      <c r="H110" s="611">
        <f t="shared" si="76"/>
        <v>0</v>
      </c>
      <c r="I110" s="512">
        <f>SUM(I107,I108)</f>
        <v>1384</v>
      </c>
      <c r="J110" s="610">
        <f t="shared" ref="J110:AO110" si="77">SUM(J107,J108)</f>
        <v>0</v>
      </c>
      <c r="K110" s="612">
        <f t="shared" si="77"/>
        <v>0</v>
      </c>
      <c r="L110" s="510">
        <f t="shared" si="77"/>
        <v>1384</v>
      </c>
      <c r="M110" s="610">
        <f t="shared" si="77"/>
        <v>0</v>
      </c>
      <c r="N110" s="611">
        <f t="shared" si="77"/>
        <v>0</v>
      </c>
      <c r="O110" s="512">
        <f t="shared" si="77"/>
        <v>1384</v>
      </c>
      <c r="P110" s="610">
        <f t="shared" si="77"/>
        <v>0</v>
      </c>
      <c r="Q110" s="612">
        <f t="shared" si="77"/>
        <v>0</v>
      </c>
      <c r="R110" s="510">
        <f t="shared" si="77"/>
        <v>1384</v>
      </c>
      <c r="S110" s="610">
        <f t="shared" si="77"/>
        <v>0</v>
      </c>
      <c r="T110" s="611">
        <f t="shared" si="77"/>
        <v>0</v>
      </c>
      <c r="U110" s="512">
        <f t="shared" si="77"/>
        <v>1384</v>
      </c>
      <c r="V110" s="610">
        <f t="shared" si="77"/>
        <v>0</v>
      </c>
      <c r="W110" s="612">
        <f t="shared" si="77"/>
        <v>0</v>
      </c>
      <c r="X110" s="510">
        <f t="shared" si="77"/>
        <v>1384</v>
      </c>
      <c r="Y110" s="610">
        <f t="shared" si="77"/>
        <v>0</v>
      </c>
      <c r="Z110" s="611">
        <f t="shared" si="77"/>
        <v>0</v>
      </c>
      <c r="AA110" s="512">
        <f t="shared" si="77"/>
        <v>1384</v>
      </c>
      <c r="AB110" s="610">
        <f t="shared" si="77"/>
        <v>0</v>
      </c>
      <c r="AC110" s="612">
        <f t="shared" si="77"/>
        <v>0</v>
      </c>
      <c r="AD110" s="510">
        <f t="shared" si="77"/>
        <v>1384</v>
      </c>
      <c r="AE110" s="610">
        <f t="shared" si="77"/>
        <v>0</v>
      </c>
      <c r="AF110" s="611">
        <f t="shared" si="77"/>
        <v>0</v>
      </c>
      <c r="AG110" s="512">
        <f t="shared" si="77"/>
        <v>1384</v>
      </c>
      <c r="AH110" s="610">
        <f t="shared" si="77"/>
        <v>0</v>
      </c>
      <c r="AI110" s="612">
        <f t="shared" si="77"/>
        <v>0</v>
      </c>
      <c r="AJ110" s="512">
        <f t="shared" si="77"/>
        <v>1385</v>
      </c>
      <c r="AK110" s="610">
        <f t="shared" si="77"/>
        <v>0</v>
      </c>
      <c r="AL110" s="612">
        <f t="shared" si="77"/>
        <v>0</v>
      </c>
      <c r="AM110" s="508">
        <f t="shared" si="77"/>
        <v>1384</v>
      </c>
      <c r="AN110" s="610">
        <f t="shared" si="77"/>
        <v>16609</v>
      </c>
      <c r="AO110" s="509">
        <f t="shared" si="77"/>
        <v>0</v>
      </c>
      <c r="AP110" s="479"/>
    </row>
    <row r="111" spans="1:42" ht="15" thickBot="1" x14ac:dyDescent="0.25">
      <c r="A111" s="515" t="s">
        <v>672</v>
      </c>
      <c r="B111" s="516" t="s">
        <v>673</v>
      </c>
      <c r="C111" s="632">
        <f>SUM(F111,I111,L111,O111,R111,U111,X111,AA111,AD111,AG111,AJ111,AM111)</f>
        <v>417673</v>
      </c>
      <c r="D111" s="633">
        <f t="shared" si="69"/>
        <v>436119</v>
      </c>
      <c r="E111" s="634">
        <f t="shared" si="69"/>
        <v>209522</v>
      </c>
      <c r="F111" s="520">
        <f>SUM(F110,F103)</f>
        <v>46207</v>
      </c>
      <c r="G111" s="520">
        <f t="shared" ref="G111:H111" si="78">SUM(G110,G103)</f>
        <v>29707</v>
      </c>
      <c r="H111" s="521">
        <f t="shared" si="78"/>
        <v>29707</v>
      </c>
      <c r="I111" s="522">
        <f t="shared" ref="I111:AM111" si="79">SUM(I103,I110)</f>
        <v>46205</v>
      </c>
      <c r="J111" s="520">
        <f t="shared" ref="J111:K111" si="80">SUM(J110,J103)</f>
        <v>23261</v>
      </c>
      <c r="K111" s="523">
        <f t="shared" si="80"/>
        <v>23261</v>
      </c>
      <c r="L111" s="520">
        <f t="shared" si="79"/>
        <v>46206</v>
      </c>
      <c r="M111" s="520">
        <f t="shared" ref="M111:N111" si="81">SUM(M110,M103)</f>
        <v>38564</v>
      </c>
      <c r="N111" s="521">
        <f t="shared" si="81"/>
        <v>38564</v>
      </c>
      <c r="O111" s="522">
        <f t="shared" si="79"/>
        <v>31006</v>
      </c>
      <c r="P111" s="520">
        <f t="shared" ref="P111:Q111" si="82">SUM(P110,P103)</f>
        <v>38946</v>
      </c>
      <c r="Q111" s="523">
        <f t="shared" si="82"/>
        <v>38946</v>
      </c>
      <c r="R111" s="520">
        <f t="shared" si="79"/>
        <v>31006</v>
      </c>
      <c r="S111" s="520">
        <f t="shared" ref="S111:T111" si="83">SUM(S110,S103)</f>
        <v>31351</v>
      </c>
      <c r="T111" s="521">
        <f t="shared" si="83"/>
        <v>31351</v>
      </c>
      <c r="U111" s="522">
        <f t="shared" si="79"/>
        <v>31007</v>
      </c>
      <c r="V111" s="520">
        <f t="shared" ref="V111:W111" si="84">SUM(V110,V103)</f>
        <v>47693</v>
      </c>
      <c r="W111" s="523">
        <f t="shared" si="84"/>
        <v>47693</v>
      </c>
      <c r="X111" s="520">
        <f t="shared" si="79"/>
        <v>31006</v>
      </c>
      <c r="Y111" s="520">
        <f t="shared" ref="Y111:Z111" si="85">SUM(Y110,Y103)</f>
        <v>34997</v>
      </c>
      <c r="Z111" s="521">
        <f t="shared" si="85"/>
        <v>0</v>
      </c>
      <c r="AA111" s="522">
        <f t="shared" si="79"/>
        <v>31005</v>
      </c>
      <c r="AB111" s="520">
        <f t="shared" ref="AB111:AC111" si="86">SUM(AB110,AB103)</f>
        <v>34999</v>
      </c>
      <c r="AC111" s="523">
        <f t="shared" si="86"/>
        <v>0</v>
      </c>
      <c r="AD111" s="520">
        <f t="shared" si="79"/>
        <v>31007</v>
      </c>
      <c r="AE111" s="520">
        <f t="shared" ref="AE111:AF111" si="87">SUM(AE110,AE103)</f>
        <v>34998</v>
      </c>
      <c r="AF111" s="521">
        <f t="shared" si="87"/>
        <v>0</v>
      </c>
      <c r="AG111" s="522">
        <f t="shared" si="79"/>
        <v>31005</v>
      </c>
      <c r="AH111" s="520">
        <f t="shared" ref="AH111:AI111" si="88">SUM(AH110,AH103)</f>
        <v>34998</v>
      </c>
      <c r="AI111" s="523">
        <f t="shared" si="88"/>
        <v>0</v>
      </c>
      <c r="AJ111" s="522">
        <f t="shared" si="79"/>
        <v>31008</v>
      </c>
      <c r="AK111" s="520">
        <f t="shared" ref="AK111:AL111" si="89">SUM(AK110,AK103)</f>
        <v>34996</v>
      </c>
      <c r="AL111" s="523">
        <f t="shared" si="89"/>
        <v>0</v>
      </c>
      <c r="AM111" s="520">
        <f t="shared" si="79"/>
        <v>31005</v>
      </c>
      <c r="AN111" s="635">
        <f t="shared" ref="AN111:AO111" si="90">SUM(AN110,AN103)</f>
        <v>51609</v>
      </c>
      <c r="AO111" s="563">
        <f t="shared" si="90"/>
        <v>0</v>
      </c>
    </row>
    <row r="112" spans="1:42" ht="15" thickBot="1" x14ac:dyDescent="0.25">
      <c r="A112" s="526"/>
      <c r="B112" s="527" t="s">
        <v>1332</v>
      </c>
      <c r="C112" s="528"/>
      <c r="D112" s="529"/>
      <c r="E112" s="519">
        <f t="shared" ref="E112:E113" si="91">SUM(H112,K112,N112,Q112,T112,W112,Z112,AC112,AF112,AI112,AL112,AO112)</f>
        <v>6</v>
      </c>
      <c r="F112" s="530"/>
      <c r="G112" s="530"/>
      <c r="H112" s="536"/>
      <c r="I112" s="531"/>
      <c r="J112" s="530"/>
      <c r="K112" s="537">
        <v>6</v>
      </c>
      <c r="L112" s="530"/>
      <c r="M112" s="530"/>
      <c r="N112" s="536">
        <v>1</v>
      </c>
      <c r="O112" s="531"/>
      <c r="P112" s="530"/>
      <c r="Q112" s="537">
        <v>-1</v>
      </c>
      <c r="R112" s="530"/>
      <c r="S112" s="530"/>
      <c r="T112" s="536">
        <v>5</v>
      </c>
      <c r="U112" s="531"/>
      <c r="V112" s="530"/>
      <c r="W112" s="537">
        <v>-5</v>
      </c>
      <c r="X112" s="530"/>
      <c r="Y112" s="530"/>
      <c r="Z112" s="536"/>
      <c r="AA112" s="531"/>
      <c r="AB112" s="530"/>
      <c r="AC112" s="537"/>
      <c r="AD112" s="530"/>
      <c r="AE112" s="530"/>
      <c r="AF112" s="536"/>
      <c r="AG112" s="531"/>
      <c r="AH112" s="530"/>
      <c r="AI112" s="537"/>
      <c r="AJ112" s="531"/>
      <c r="AK112" s="532"/>
      <c r="AL112" s="537"/>
      <c r="AM112" s="530"/>
      <c r="AN112" s="532"/>
      <c r="AO112" s="613"/>
    </row>
    <row r="113" spans="1:42" ht="15" thickBot="1" x14ac:dyDescent="0.25">
      <c r="A113" s="526"/>
      <c r="B113" s="527" t="s">
        <v>1333</v>
      </c>
      <c r="C113" s="534"/>
      <c r="D113" s="535"/>
      <c r="E113" s="519">
        <f t="shared" si="91"/>
        <v>209528</v>
      </c>
      <c r="F113" s="530"/>
      <c r="G113" s="530"/>
      <c r="H113" s="536">
        <f>SUM(H111:H112)</f>
        <v>29707</v>
      </c>
      <c r="I113" s="531"/>
      <c r="J113" s="530"/>
      <c r="K113" s="537">
        <f>SUM(K111:K112)</f>
        <v>23267</v>
      </c>
      <c r="L113" s="530"/>
      <c r="M113" s="530"/>
      <c r="N113" s="536">
        <f>SUM(N111:N112)</f>
        <v>38565</v>
      </c>
      <c r="O113" s="531"/>
      <c r="P113" s="530"/>
      <c r="Q113" s="537">
        <f>SUM(Q111:Q112)</f>
        <v>38945</v>
      </c>
      <c r="R113" s="530"/>
      <c r="S113" s="530"/>
      <c r="T113" s="536">
        <f>SUM(T111:T112)</f>
        <v>31356</v>
      </c>
      <c r="U113" s="531"/>
      <c r="V113" s="530"/>
      <c r="W113" s="537">
        <f>SUM(W111:W112)</f>
        <v>47688</v>
      </c>
      <c r="X113" s="530"/>
      <c r="Y113" s="530"/>
      <c r="Z113" s="536">
        <f>SUM(Z111:Z112)</f>
        <v>0</v>
      </c>
      <c r="AA113" s="531"/>
      <c r="AB113" s="530"/>
      <c r="AC113" s="537">
        <f>SUM(AC111:AC112)</f>
        <v>0</v>
      </c>
      <c r="AD113" s="530"/>
      <c r="AE113" s="530"/>
      <c r="AF113" s="536">
        <f>SUM(AF111:AF112)</f>
        <v>0</v>
      </c>
      <c r="AG113" s="531"/>
      <c r="AH113" s="530"/>
      <c r="AI113" s="537">
        <f>SUM(AI111:AI112)</f>
        <v>0</v>
      </c>
      <c r="AJ113" s="531"/>
      <c r="AK113" s="532"/>
      <c r="AL113" s="537">
        <f>SUM(AL111:AL112)</f>
        <v>0</v>
      </c>
      <c r="AM113" s="530"/>
      <c r="AN113" s="532"/>
      <c r="AO113" s="524">
        <f>SUM(AO111:AO112)</f>
        <v>0</v>
      </c>
    </row>
    <row r="114" spans="1:42" x14ac:dyDescent="0.2">
      <c r="A114" s="538"/>
      <c r="B114" s="539" t="s">
        <v>674</v>
      </c>
      <c r="C114" s="614" t="s">
        <v>633</v>
      </c>
      <c r="D114" s="615" t="s">
        <v>1326</v>
      </c>
      <c r="E114" s="616" t="s">
        <v>1327</v>
      </c>
      <c r="F114" s="617"/>
      <c r="G114" s="617"/>
      <c r="H114" s="618"/>
      <c r="I114" s="619"/>
      <c r="J114" s="617"/>
      <c r="K114" s="636"/>
      <c r="L114" s="617"/>
      <c r="M114" s="617"/>
      <c r="N114" s="618"/>
      <c r="O114" s="619"/>
      <c r="P114" s="617"/>
      <c r="Q114" s="636"/>
      <c r="R114" s="617"/>
      <c r="S114" s="617"/>
      <c r="T114" s="618"/>
      <c r="U114" s="619"/>
      <c r="V114" s="617"/>
      <c r="W114" s="636"/>
      <c r="X114" s="617"/>
      <c r="Y114" s="617"/>
      <c r="Z114" s="618"/>
      <c r="AA114" s="619"/>
      <c r="AB114" s="617"/>
      <c r="AC114" s="636"/>
      <c r="AD114" s="617"/>
      <c r="AE114" s="617"/>
      <c r="AF114" s="618"/>
      <c r="AG114" s="619"/>
      <c r="AH114" s="617"/>
      <c r="AI114" s="636"/>
      <c r="AJ114" s="619"/>
      <c r="AK114" s="617"/>
      <c r="AL114" s="636"/>
      <c r="AM114" s="617"/>
      <c r="AN114" s="620"/>
      <c r="AO114" s="637"/>
    </row>
    <row r="115" spans="1:42" x14ac:dyDescent="0.2">
      <c r="A115" s="457" t="s">
        <v>675</v>
      </c>
      <c r="B115" s="458" t="s">
        <v>676</v>
      </c>
      <c r="C115" s="468">
        <f t="shared" ref="C115:E131" si="92">SUM(F115,I115,L115,O115,R115,U115,X115,AA115,AD115,AG115,AJ115,AM115)</f>
        <v>211057</v>
      </c>
      <c r="D115" s="543">
        <f t="shared" si="92"/>
        <v>223885</v>
      </c>
      <c r="E115" s="465">
        <f t="shared" si="92"/>
        <v>109757</v>
      </c>
      <c r="F115" s="469">
        <v>17588</v>
      </c>
      <c r="G115" s="592">
        <f>19118-2488</f>
        <v>16630</v>
      </c>
      <c r="H115" s="593">
        <v>19118</v>
      </c>
      <c r="I115" s="549">
        <v>17588</v>
      </c>
      <c r="J115" s="592">
        <f>15713-9886</f>
        <v>5827</v>
      </c>
      <c r="K115" s="595">
        <v>15713</v>
      </c>
      <c r="L115" s="469">
        <v>17588</v>
      </c>
      <c r="M115" s="592">
        <f>15673+2092</f>
        <v>17765</v>
      </c>
      <c r="N115" s="593">
        <v>15673</v>
      </c>
      <c r="O115" s="549">
        <v>17588</v>
      </c>
      <c r="P115" s="592">
        <f>20308+1329</f>
        <v>21637</v>
      </c>
      <c r="Q115" s="595">
        <v>20308</v>
      </c>
      <c r="R115" s="469">
        <v>17588</v>
      </c>
      <c r="S115" s="592">
        <f>21476-4642</f>
        <v>16834</v>
      </c>
      <c r="T115" s="593">
        <v>21476</v>
      </c>
      <c r="U115" s="549">
        <v>17589</v>
      </c>
      <c r="V115" s="592">
        <f>17469+15903</f>
        <v>33372</v>
      </c>
      <c r="W115" s="595">
        <v>17469</v>
      </c>
      <c r="X115" s="469">
        <v>17588</v>
      </c>
      <c r="Y115" s="592">
        <f>19021-2308-845</f>
        <v>15868</v>
      </c>
      <c r="Z115" s="593"/>
      <c r="AA115" s="549">
        <v>17588</v>
      </c>
      <c r="AB115" s="592">
        <f>19021-3152</f>
        <v>15869</v>
      </c>
      <c r="AC115" s="595"/>
      <c r="AD115" s="469">
        <v>17588</v>
      </c>
      <c r="AE115" s="592">
        <f>19021-3152</f>
        <v>15869</v>
      </c>
      <c r="AF115" s="593"/>
      <c r="AG115" s="549">
        <v>17588</v>
      </c>
      <c r="AH115" s="592">
        <f>19021-3152</f>
        <v>15869</v>
      </c>
      <c r="AI115" s="595"/>
      <c r="AJ115" s="549">
        <v>17588</v>
      </c>
      <c r="AK115" s="592">
        <f>19022-3156</f>
        <v>15866</v>
      </c>
      <c r="AL115" s="595"/>
      <c r="AM115" s="469">
        <v>17588</v>
      </c>
      <c r="AN115" s="592">
        <f>19022+845+2308+3152+3152+3152+3156-2308</f>
        <v>32479</v>
      </c>
      <c r="AO115" s="465"/>
    </row>
    <row r="116" spans="1:42" x14ac:dyDescent="0.2">
      <c r="A116" s="466" t="s">
        <v>677</v>
      </c>
      <c r="B116" s="467" t="s">
        <v>678</v>
      </c>
      <c r="C116" s="468">
        <f t="shared" si="92"/>
        <v>60403</v>
      </c>
      <c r="D116" s="469">
        <f t="shared" si="92"/>
        <v>62421</v>
      </c>
      <c r="E116" s="470">
        <f t="shared" si="92"/>
        <v>29534</v>
      </c>
      <c r="F116" s="469">
        <v>5034</v>
      </c>
      <c r="G116" s="598">
        <v>5469</v>
      </c>
      <c r="H116" s="599">
        <v>5469</v>
      </c>
      <c r="I116" s="549">
        <v>5033</v>
      </c>
      <c r="J116" s="598">
        <v>4241</v>
      </c>
      <c r="K116" s="600">
        <v>4241</v>
      </c>
      <c r="L116" s="469">
        <v>5034</v>
      </c>
      <c r="M116" s="598">
        <v>4225</v>
      </c>
      <c r="N116" s="599">
        <v>4225</v>
      </c>
      <c r="O116" s="549">
        <v>5034</v>
      </c>
      <c r="P116" s="598">
        <v>4931</v>
      </c>
      <c r="Q116" s="600">
        <v>4931</v>
      </c>
      <c r="R116" s="469">
        <v>5034</v>
      </c>
      <c r="S116" s="598">
        <v>6087</v>
      </c>
      <c r="T116" s="599">
        <v>6087</v>
      </c>
      <c r="U116" s="549">
        <v>5033</v>
      </c>
      <c r="V116" s="598">
        <v>4581</v>
      </c>
      <c r="W116" s="600">
        <v>4581</v>
      </c>
      <c r="X116" s="469">
        <v>5034</v>
      </c>
      <c r="Y116" s="598">
        <v>5481</v>
      </c>
      <c r="Z116" s="599"/>
      <c r="AA116" s="549">
        <v>5033</v>
      </c>
      <c r="AB116" s="598">
        <v>5481</v>
      </c>
      <c r="AC116" s="600"/>
      <c r="AD116" s="469">
        <v>5034</v>
      </c>
      <c r="AE116" s="598">
        <v>5481</v>
      </c>
      <c r="AF116" s="599"/>
      <c r="AG116" s="549">
        <v>5033</v>
      </c>
      <c r="AH116" s="598">
        <v>5481</v>
      </c>
      <c r="AI116" s="600"/>
      <c r="AJ116" s="549">
        <v>5034</v>
      </c>
      <c r="AK116" s="598">
        <v>5481</v>
      </c>
      <c r="AL116" s="600"/>
      <c r="AM116" s="469">
        <v>5033</v>
      </c>
      <c r="AN116" s="598">
        <v>5482</v>
      </c>
      <c r="AO116" s="470"/>
    </row>
    <row r="117" spans="1:42" x14ac:dyDescent="0.2">
      <c r="A117" s="466" t="s">
        <v>679</v>
      </c>
      <c r="B117" s="467" t="s">
        <v>680</v>
      </c>
      <c r="C117" s="468">
        <f t="shared" si="92"/>
        <v>84004</v>
      </c>
      <c r="D117" s="469">
        <f t="shared" si="92"/>
        <v>85604</v>
      </c>
      <c r="E117" s="470">
        <f t="shared" si="92"/>
        <v>36588</v>
      </c>
      <c r="F117" s="469">
        <v>7001</v>
      </c>
      <c r="G117" s="598">
        <v>4292</v>
      </c>
      <c r="H117" s="599">
        <v>4292</v>
      </c>
      <c r="I117" s="549">
        <v>7000</v>
      </c>
      <c r="J117" s="598">
        <v>7397</v>
      </c>
      <c r="K117" s="600">
        <v>7397</v>
      </c>
      <c r="L117" s="469">
        <v>7000</v>
      </c>
      <c r="M117" s="598">
        <v>6075</v>
      </c>
      <c r="N117" s="599">
        <v>6075</v>
      </c>
      <c r="O117" s="549">
        <v>7000</v>
      </c>
      <c r="P117" s="598">
        <v>6324</v>
      </c>
      <c r="Q117" s="600">
        <v>6324</v>
      </c>
      <c r="R117" s="469">
        <v>7000</v>
      </c>
      <c r="S117" s="598">
        <v>4888</v>
      </c>
      <c r="T117" s="599">
        <v>4888</v>
      </c>
      <c r="U117" s="549">
        <v>7001</v>
      </c>
      <c r="V117" s="598">
        <v>7612</v>
      </c>
      <c r="W117" s="600">
        <v>7612</v>
      </c>
      <c r="X117" s="469">
        <v>7000</v>
      </c>
      <c r="Y117" s="598">
        <v>8169</v>
      </c>
      <c r="Z117" s="599"/>
      <c r="AA117" s="549">
        <v>7000</v>
      </c>
      <c r="AB117" s="598">
        <v>8170</v>
      </c>
      <c r="AC117" s="600"/>
      <c r="AD117" s="469">
        <v>7001</v>
      </c>
      <c r="AE117" s="598">
        <v>8169</v>
      </c>
      <c r="AF117" s="599"/>
      <c r="AG117" s="549">
        <v>7000</v>
      </c>
      <c r="AH117" s="598">
        <v>8169</v>
      </c>
      <c r="AI117" s="600"/>
      <c r="AJ117" s="549">
        <v>7001</v>
      </c>
      <c r="AK117" s="598">
        <v>8170</v>
      </c>
      <c r="AL117" s="600"/>
      <c r="AM117" s="469">
        <v>7000</v>
      </c>
      <c r="AN117" s="598">
        <v>8169</v>
      </c>
      <c r="AO117" s="470"/>
    </row>
    <row r="118" spans="1:42" x14ac:dyDescent="0.2">
      <c r="A118" s="466" t="s">
        <v>681</v>
      </c>
      <c r="B118" s="467" t="s">
        <v>682</v>
      </c>
      <c r="C118" s="468">
        <f t="shared" si="92"/>
        <v>45600</v>
      </c>
      <c r="D118" s="469">
        <f t="shared" si="92"/>
        <v>47600</v>
      </c>
      <c r="E118" s="470">
        <f t="shared" si="92"/>
        <v>28226</v>
      </c>
      <c r="F118" s="469">
        <v>15200</v>
      </c>
      <c r="G118" s="598">
        <v>2983</v>
      </c>
      <c r="H118" s="599">
        <v>2983</v>
      </c>
      <c r="I118" s="549">
        <v>15200</v>
      </c>
      <c r="J118" s="598">
        <v>5510</v>
      </c>
      <c r="K118" s="600">
        <v>5510</v>
      </c>
      <c r="L118" s="469">
        <v>15200</v>
      </c>
      <c r="M118" s="598">
        <v>10452</v>
      </c>
      <c r="N118" s="599">
        <v>10452</v>
      </c>
      <c r="O118" s="549">
        <v>0</v>
      </c>
      <c r="P118" s="598">
        <v>5045</v>
      </c>
      <c r="Q118" s="600">
        <v>5045</v>
      </c>
      <c r="R118" s="469">
        <v>0</v>
      </c>
      <c r="S118" s="598">
        <v>2130</v>
      </c>
      <c r="T118" s="599">
        <v>2130</v>
      </c>
      <c r="U118" s="549">
        <v>0</v>
      </c>
      <c r="V118" s="598">
        <v>2106</v>
      </c>
      <c r="W118" s="600">
        <v>2106</v>
      </c>
      <c r="X118" s="469">
        <v>0</v>
      </c>
      <c r="Y118" s="598">
        <v>3229</v>
      </c>
      <c r="Z118" s="599"/>
      <c r="AA118" s="549">
        <v>0</v>
      </c>
      <c r="AB118" s="598">
        <v>3229</v>
      </c>
      <c r="AC118" s="600"/>
      <c r="AD118" s="469">
        <v>0</v>
      </c>
      <c r="AE118" s="598">
        <v>3229</v>
      </c>
      <c r="AF118" s="599"/>
      <c r="AG118" s="549">
        <v>0</v>
      </c>
      <c r="AH118" s="598">
        <v>3229</v>
      </c>
      <c r="AI118" s="600"/>
      <c r="AJ118" s="549">
        <v>0</v>
      </c>
      <c r="AK118" s="598">
        <v>3229</v>
      </c>
      <c r="AL118" s="600"/>
      <c r="AM118" s="469">
        <v>0</v>
      </c>
      <c r="AN118" s="598">
        <v>3229</v>
      </c>
      <c r="AO118" s="470"/>
    </row>
    <row r="119" spans="1:42" x14ac:dyDescent="0.2">
      <c r="A119" s="466" t="s">
        <v>683</v>
      </c>
      <c r="B119" s="467" t="s">
        <v>684</v>
      </c>
      <c r="C119" s="468">
        <f t="shared" si="92"/>
        <v>0</v>
      </c>
      <c r="D119" s="469">
        <f t="shared" si="92"/>
        <v>0</v>
      </c>
      <c r="E119" s="470">
        <f t="shared" si="92"/>
        <v>0</v>
      </c>
      <c r="F119" s="469"/>
      <c r="G119" s="598"/>
      <c r="H119" s="599"/>
      <c r="I119" s="549"/>
      <c r="J119" s="598"/>
      <c r="K119" s="600"/>
      <c r="L119" s="469"/>
      <c r="M119" s="598"/>
      <c r="N119" s="599"/>
      <c r="O119" s="549"/>
      <c r="P119" s="598"/>
      <c r="Q119" s="600"/>
      <c r="R119" s="469"/>
      <c r="S119" s="598"/>
      <c r="T119" s="599"/>
      <c r="U119" s="549"/>
      <c r="V119" s="598"/>
      <c r="W119" s="600"/>
      <c r="X119" s="469"/>
      <c r="Y119" s="598"/>
      <c r="Z119" s="599"/>
      <c r="AA119" s="549"/>
      <c r="AB119" s="598"/>
      <c r="AC119" s="600"/>
      <c r="AD119" s="469"/>
      <c r="AE119" s="598"/>
      <c r="AF119" s="599"/>
      <c r="AG119" s="549"/>
      <c r="AH119" s="598"/>
      <c r="AI119" s="600"/>
      <c r="AJ119" s="549"/>
      <c r="AK119" s="598"/>
      <c r="AL119" s="600"/>
      <c r="AM119" s="469"/>
      <c r="AN119" s="598"/>
      <c r="AO119" s="470"/>
    </row>
    <row r="120" spans="1:42" x14ac:dyDescent="0.2">
      <c r="A120" s="481"/>
      <c r="B120" s="482" t="s">
        <v>685</v>
      </c>
      <c r="C120" s="483">
        <f t="shared" si="92"/>
        <v>0</v>
      </c>
      <c r="D120" s="484">
        <f t="shared" si="92"/>
        <v>0</v>
      </c>
      <c r="E120" s="485">
        <f t="shared" si="92"/>
        <v>0</v>
      </c>
      <c r="F120" s="484"/>
      <c r="G120" s="606"/>
      <c r="H120" s="607"/>
      <c r="I120" s="487"/>
      <c r="J120" s="606"/>
      <c r="K120" s="608"/>
      <c r="L120" s="484"/>
      <c r="M120" s="606"/>
      <c r="N120" s="607"/>
      <c r="O120" s="487"/>
      <c r="P120" s="606"/>
      <c r="Q120" s="608"/>
      <c r="R120" s="484"/>
      <c r="S120" s="606"/>
      <c r="T120" s="607"/>
      <c r="U120" s="487"/>
      <c r="V120" s="606"/>
      <c r="W120" s="608"/>
      <c r="X120" s="484"/>
      <c r="Y120" s="606"/>
      <c r="Z120" s="607"/>
      <c r="AA120" s="487"/>
      <c r="AB120" s="606"/>
      <c r="AC120" s="608"/>
      <c r="AD120" s="484"/>
      <c r="AE120" s="606"/>
      <c r="AF120" s="607"/>
      <c r="AG120" s="487"/>
      <c r="AH120" s="606"/>
      <c r="AI120" s="608"/>
      <c r="AJ120" s="487"/>
      <c r="AK120" s="606"/>
      <c r="AL120" s="608"/>
      <c r="AM120" s="484"/>
      <c r="AN120" s="606"/>
      <c r="AO120" s="485"/>
    </row>
    <row r="121" spans="1:42" x14ac:dyDescent="0.2">
      <c r="A121" s="544"/>
      <c r="B121" s="545" t="s">
        <v>686</v>
      </c>
      <c r="C121" s="483">
        <f t="shared" si="92"/>
        <v>0</v>
      </c>
      <c r="D121" s="484">
        <f t="shared" si="92"/>
        <v>0</v>
      </c>
      <c r="E121" s="485">
        <f t="shared" si="92"/>
        <v>0</v>
      </c>
      <c r="F121" s="638"/>
      <c r="G121" s="606"/>
      <c r="H121" s="607"/>
      <c r="I121" s="639"/>
      <c r="J121" s="606"/>
      <c r="K121" s="608"/>
      <c r="L121" s="638"/>
      <c r="M121" s="606"/>
      <c r="N121" s="607"/>
      <c r="O121" s="639"/>
      <c r="P121" s="606"/>
      <c r="Q121" s="608"/>
      <c r="R121" s="638"/>
      <c r="S121" s="606"/>
      <c r="T121" s="607"/>
      <c r="U121" s="639"/>
      <c r="V121" s="606"/>
      <c r="W121" s="608"/>
      <c r="X121" s="638"/>
      <c r="Y121" s="606"/>
      <c r="Z121" s="607"/>
      <c r="AA121" s="639"/>
      <c r="AB121" s="606"/>
      <c r="AC121" s="608"/>
      <c r="AD121" s="638"/>
      <c r="AE121" s="606"/>
      <c r="AF121" s="607"/>
      <c r="AG121" s="639"/>
      <c r="AH121" s="606"/>
      <c r="AI121" s="608"/>
      <c r="AJ121" s="639"/>
      <c r="AK121" s="606"/>
      <c r="AL121" s="608"/>
      <c r="AM121" s="638"/>
      <c r="AN121" s="606"/>
      <c r="AO121" s="485"/>
    </row>
    <row r="122" spans="1:42" x14ac:dyDescent="0.2">
      <c r="A122" s="471" t="s">
        <v>654</v>
      </c>
      <c r="B122" s="472" t="s">
        <v>687</v>
      </c>
      <c r="C122" s="473">
        <f t="shared" si="92"/>
        <v>401064</v>
      </c>
      <c r="D122" s="474">
        <f t="shared" si="92"/>
        <v>419510</v>
      </c>
      <c r="E122" s="475">
        <f t="shared" si="92"/>
        <v>204105</v>
      </c>
      <c r="F122" s="476">
        <f>SUM(F115:F121)</f>
        <v>44823</v>
      </c>
      <c r="G122" s="603">
        <f t="shared" ref="G122:H122" si="93">SUM(G115:G119)</f>
        <v>29374</v>
      </c>
      <c r="H122" s="604">
        <f t="shared" si="93"/>
        <v>31862</v>
      </c>
      <c r="I122" s="477">
        <f t="shared" ref="I122:AM122" si="94">SUM(I115:I121)</f>
        <v>44821</v>
      </c>
      <c r="J122" s="603">
        <f t="shared" ref="J122:K122" si="95">SUM(J115:J119)</f>
        <v>22975</v>
      </c>
      <c r="K122" s="605">
        <f t="shared" si="95"/>
        <v>32861</v>
      </c>
      <c r="L122" s="474">
        <f t="shared" si="94"/>
        <v>44822</v>
      </c>
      <c r="M122" s="603">
        <f t="shared" ref="M122:N122" si="96">SUM(M115:M119)</f>
        <v>38517</v>
      </c>
      <c r="N122" s="604">
        <f t="shared" si="96"/>
        <v>36425</v>
      </c>
      <c r="O122" s="477">
        <f t="shared" si="94"/>
        <v>29622</v>
      </c>
      <c r="P122" s="603">
        <f t="shared" ref="P122:Q122" si="97">SUM(P115:P119)</f>
        <v>37937</v>
      </c>
      <c r="Q122" s="605">
        <f t="shared" si="97"/>
        <v>36608</v>
      </c>
      <c r="R122" s="474">
        <f t="shared" si="94"/>
        <v>29622</v>
      </c>
      <c r="S122" s="603">
        <f t="shared" ref="S122:T122" si="98">SUM(S115:S119)</f>
        <v>29939</v>
      </c>
      <c r="T122" s="604">
        <f t="shared" si="98"/>
        <v>34581</v>
      </c>
      <c r="U122" s="477">
        <f t="shared" si="94"/>
        <v>29623</v>
      </c>
      <c r="V122" s="603">
        <f t="shared" ref="V122:W122" si="99">SUM(V115:V119)</f>
        <v>47671</v>
      </c>
      <c r="W122" s="605">
        <f t="shared" si="99"/>
        <v>31768</v>
      </c>
      <c r="X122" s="474">
        <f t="shared" si="94"/>
        <v>29622</v>
      </c>
      <c r="Y122" s="603">
        <f t="shared" ref="Y122:Z122" si="100">SUM(Y115:Y119)</f>
        <v>32747</v>
      </c>
      <c r="Z122" s="604">
        <f t="shared" si="100"/>
        <v>0</v>
      </c>
      <c r="AA122" s="477">
        <f t="shared" si="94"/>
        <v>29621</v>
      </c>
      <c r="AB122" s="603">
        <f t="shared" ref="AB122:AC122" si="101">SUM(AB115:AB119)</f>
        <v>32749</v>
      </c>
      <c r="AC122" s="605">
        <f t="shared" si="101"/>
        <v>0</v>
      </c>
      <c r="AD122" s="474">
        <f t="shared" si="94"/>
        <v>29623</v>
      </c>
      <c r="AE122" s="603">
        <f t="shared" ref="AE122:AF122" si="102">SUM(AE115:AE119)</f>
        <v>32748</v>
      </c>
      <c r="AF122" s="604">
        <f t="shared" si="102"/>
        <v>0</v>
      </c>
      <c r="AG122" s="477">
        <f t="shared" si="94"/>
        <v>29621</v>
      </c>
      <c r="AH122" s="603">
        <f t="shared" ref="AH122:AI122" si="103">SUM(AH115:AH119)</f>
        <v>32748</v>
      </c>
      <c r="AI122" s="605">
        <f t="shared" si="103"/>
        <v>0</v>
      </c>
      <c r="AJ122" s="477">
        <f t="shared" si="94"/>
        <v>29623</v>
      </c>
      <c r="AK122" s="603">
        <f t="shared" ref="AK122:AL122" si="104">SUM(AK115:AK119)</f>
        <v>32746</v>
      </c>
      <c r="AL122" s="605">
        <f t="shared" si="104"/>
        <v>0</v>
      </c>
      <c r="AM122" s="474">
        <f t="shared" si="94"/>
        <v>29621</v>
      </c>
      <c r="AN122" s="603">
        <f t="shared" ref="AN122:AO122" si="105">SUM(AN115:AN119)</f>
        <v>49359</v>
      </c>
      <c r="AO122" s="475">
        <f t="shared" si="105"/>
        <v>0</v>
      </c>
    </row>
    <row r="123" spans="1:42" x14ac:dyDescent="0.2">
      <c r="A123" s="471" t="s">
        <v>688</v>
      </c>
      <c r="B123" s="472" t="s">
        <v>689</v>
      </c>
      <c r="C123" s="473">
        <f t="shared" si="92"/>
        <v>0</v>
      </c>
      <c r="D123" s="474">
        <f t="shared" si="92"/>
        <v>0</v>
      </c>
      <c r="E123" s="475">
        <f t="shared" si="92"/>
        <v>0</v>
      </c>
      <c r="F123" s="476"/>
      <c r="G123" s="603"/>
      <c r="H123" s="604"/>
      <c r="I123" s="477"/>
      <c r="J123" s="603"/>
      <c r="K123" s="605"/>
      <c r="L123" s="474"/>
      <c r="M123" s="603"/>
      <c r="N123" s="604"/>
      <c r="O123" s="477"/>
      <c r="P123" s="603"/>
      <c r="Q123" s="605"/>
      <c r="R123" s="474"/>
      <c r="S123" s="603"/>
      <c r="T123" s="604"/>
      <c r="U123" s="477"/>
      <c r="V123" s="603"/>
      <c r="W123" s="605"/>
      <c r="X123" s="474"/>
      <c r="Y123" s="603"/>
      <c r="Z123" s="604"/>
      <c r="AA123" s="477"/>
      <c r="AB123" s="603"/>
      <c r="AC123" s="605"/>
      <c r="AD123" s="474"/>
      <c r="AE123" s="603"/>
      <c r="AF123" s="604"/>
      <c r="AG123" s="477"/>
      <c r="AH123" s="603"/>
      <c r="AI123" s="605"/>
      <c r="AJ123" s="477"/>
      <c r="AK123" s="603"/>
      <c r="AL123" s="605"/>
      <c r="AM123" s="474"/>
      <c r="AN123" s="603"/>
      <c r="AO123" s="475"/>
    </row>
    <row r="124" spans="1:42" x14ac:dyDescent="0.2">
      <c r="A124" s="493" t="s">
        <v>660</v>
      </c>
      <c r="B124" s="494" t="s">
        <v>690</v>
      </c>
      <c r="C124" s="473">
        <f t="shared" si="92"/>
        <v>401064</v>
      </c>
      <c r="D124" s="474">
        <f t="shared" si="92"/>
        <v>419510</v>
      </c>
      <c r="E124" s="475">
        <f t="shared" si="92"/>
        <v>204105</v>
      </c>
      <c r="F124" s="495">
        <f>SUM(F122,F123)</f>
        <v>44823</v>
      </c>
      <c r="G124" s="603">
        <f t="shared" ref="G124:AO124" si="106">SUM(G122,G123)</f>
        <v>29374</v>
      </c>
      <c r="H124" s="604">
        <f t="shared" si="106"/>
        <v>31862</v>
      </c>
      <c r="I124" s="497">
        <f t="shared" si="106"/>
        <v>44821</v>
      </c>
      <c r="J124" s="603">
        <f t="shared" si="106"/>
        <v>22975</v>
      </c>
      <c r="K124" s="605">
        <f t="shared" si="106"/>
        <v>32861</v>
      </c>
      <c r="L124" s="495">
        <f t="shared" si="106"/>
        <v>44822</v>
      </c>
      <c r="M124" s="603">
        <f t="shared" si="106"/>
        <v>38517</v>
      </c>
      <c r="N124" s="604">
        <f t="shared" si="106"/>
        <v>36425</v>
      </c>
      <c r="O124" s="497">
        <f t="shared" si="106"/>
        <v>29622</v>
      </c>
      <c r="P124" s="603">
        <f t="shared" si="106"/>
        <v>37937</v>
      </c>
      <c r="Q124" s="605">
        <f t="shared" si="106"/>
        <v>36608</v>
      </c>
      <c r="R124" s="495">
        <f t="shared" si="106"/>
        <v>29622</v>
      </c>
      <c r="S124" s="603">
        <f t="shared" si="106"/>
        <v>29939</v>
      </c>
      <c r="T124" s="604">
        <f t="shared" si="106"/>
        <v>34581</v>
      </c>
      <c r="U124" s="497">
        <f t="shared" si="106"/>
        <v>29623</v>
      </c>
      <c r="V124" s="603">
        <f t="shared" si="106"/>
        <v>47671</v>
      </c>
      <c r="W124" s="605">
        <f t="shared" si="106"/>
        <v>31768</v>
      </c>
      <c r="X124" s="495">
        <f t="shared" si="106"/>
        <v>29622</v>
      </c>
      <c r="Y124" s="603">
        <f t="shared" si="106"/>
        <v>32747</v>
      </c>
      <c r="Z124" s="604">
        <f t="shared" si="106"/>
        <v>0</v>
      </c>
      <c r="AA124" s="497">
        <f t="shared" si="106"/>
        <v>29621</v>
      </c>
      <c r="AB124" s="603">
        <f t="shared" si="106"/>
        <v>32749</v>
      </c>
      <c r="AC124" s="605">
        <f t="shared" si="106"/>
        <v>0</v>
      </c>
      <c r="AD124" s="495">
        <f t="shared" si="106"/>
        <v>29623</v>
      </c>
      <c r="AE124" s="603">
        <f t="shared" si="106"/>
        <v>32748</v>
      </c>
      <c r="AF124" s="604">
        <f t="shared" si="106"/>
        <v>0</v>
      </c>
      <c r="AG124" s="497">
        <f t="shared" si="106"/>
        <v>29621</v>
      </c>
      <c r="AH124" s="603">
        <f t="shared" si="106"/>
        <v>32748</v>
      </c>
      <c r="AI124" s="605">
        <f t="shared" si="106"/>
        <v>0</v>
      </c>
      <c r="AJ124" s="497">
        <f t="shared" si="106"/>
        <v>29623</v>
      </c>
      <c r="AK124" s="603">
        <f t="shared" si="106"/>
        <v>32746</v>
      </c>
      <c r="AL124" s="605">
        <f t="shared" si="106"/>
        <v>0</v>
      </c>
      <c r="AM124" s="495">
        <f t="shared" si="106"/>
        <v>29621</v>
      </c>
      <c r="AN124" s="603">
        <f t="shared" si="106"/>
        <v>49359</v>
      </c>
      <c r="AO124" s="475">
        <f t="shared" si="106"/>
        <v>0</v>
      </c>
    </row>
    <row r="125" spans="1:42" x14ac:dyDescent="0.2">
      <c r="A125" s="466" t="s">
        <v>691</v>
      </c>
      <c r="B125" s="467" t="s">
        <v>692</v>
      </c>
      <c r="C125" s="468">
        <f t="shared" si="92"/>
        <v>16609</v>
      </c>
      <c r="D125" s="469">
        <f t="shared" si="92"/>
        <v>16609</v>
      </c>
      <c r="E125" s="470">
        <f t="shared" si="92"/>
        <v>3109</v>
      </c>
      <c r="F125" s="469">
        <v>1384</v>
      </c>
      <c r="G125" s="598">
        <v>333</v>
      </c>
      <c r="H125" s="599">
        <v>333</v>
      </c>
      <c r="I125" s="549">
        <v>1384</v>
      </c>
      <c r="J125" s="598">
        <v>286</v>
      </c>
      <c r="K125" s="600">
        <v>286</v>
      </c>
      <c r="L125" s="469">
        <v>1384</v>
      </c>
      <c r="M125" s="598">
        <v>47</v>
      </c>
      <c r="N125" s="599">
        <v>47</v>
      </c>
      <c r="O125" s="549">
        <v>1384</v>
      </c>
      <c r="P125" s="598">
        <v>1009</v>
      </c>
      <c r="Q125" s="600">
        <v>1009</v>
      </c>
      <c r="R125" s="469">
        <v>1384</v>
      </c>
      <c r="S125" s="598">
        <v>1412</v>
      </c>
      <c r="T125" s="599">
        <v>1412</v>
      </c>
      <c r="U125" s="549">
        <v>1384</v>
      </c>
      <c r="V125" s="598">
        <v>22</v>
      </c>
      <c r="W125" s="600">
        <v>22</v>
      </c>
      <c r="X125" s="469">
        <v>1384</v>
      </c>
      <c r="Y125" s="598">
        <v>2250</v>
      </c>
      <c r="Z125" s="599"/>
      <c r="AA125" s="549">
        <v>1384</v>
      </c>
      <c r="AB125" s="598">
        <v>2250</v>
      </c>
      <c r="AC125" s="600"/>
      <c r="AD125" s="469">
        <v>1384</v>
      </c>
      <c r="AE125" s="598">
        <v>2250</v>
      </c>
      <c r="AF125" s="599"/>
      <c r="AG125" s="549">
        <v>1384</v>
      </c>
      <c r="AH125" s="598">
        <v>2250</v>
      </c>
      <c r="AI125" s="600"/>
      <c r="AJ125" s="549">
        <v>1385</v>
      </c>
      <c r="AK125" s="598">
        <v>2250</v>
      </c>
      <c r="AL125" s="600"/>
      <c r="AM125" s="469">
        <v>1384</v>
      </c>
      <c r="AN125" s="598">
        <v>2250</v>
      </c>
      <c r="AO125" s="470"/>
    </row>
    <row r="126" spans="1:42" x14ac:dyDescent="0.2">
      <c r="A126" s="466" t="s">
        <v>693</v>
      </c>
      <c r="B126" s="467" t="s">
        <v>694</v>
      </c>
      <c r="C126" s="468">
        <f t="shared" si="92"/>
        <v>0</v>
      </c>
      <c r="D126" s="469">
        <f t="shared" si="92"/>
        <v>0</v>
      </c>
      <c r="E126" s="470">
        <f t="shared" si="92"/>
        <v>0</v>
      </c>
      <c r="F126" s="469"/>
      <c r="G126" s="598"/>
      <c r="H126" s="599"/>
      <c r="I126" s="549"/>
      <c r="J126" s="598"/>
      <c r="K126" s="600"/>
      <c r="L126" s="469"/>
      <c r="M126" s="598"/>
      <c r="N126" s="599"/>
      <c r="O126" s="549"/>
      <c r="P126" s="598"/>
      <c r="Q126" s="600"/>
      <c r="R126" s="469"/>
      <c r="S126" s="598"/>
      <c r="T126" s="599"/>
      <c r="U126" s="549"/>
      <c r="V126" s="598"/>
      <c r="W126" s="600"/>
      <c r="X126" s="469"/>
      <c r="Y126" s="598"/>
      <c r="Z126" s="599"/>
      <c r="AA126" s="549"/>
      <c r="AB126" s="598"/>
      <c r="AC126" s="600"/>
      <c r="AD126" s="469"/>
      <c r="AE126" s="598"/>
      <c r="AF126" s="599"/>
      <c r="AG126" s="549"/>
      <c r="AH126" s="598"/>
      <c r="AI126" s="600"/>
      <c r="AJ126" s="549"/>
      <c r="AK126" s="598"/>
      <c r="AL126" s="600"/>
      <c r="AM126" s="469"/>
      <c r="AN126" s="598"/>
      <c r="AO126" s="470"/>
    </row>
    <row r="127" spans="1:42" x14ac:dyDescent="0.2">
      <c r="A127" s="553" t="s">
        <v>695</v>
      </c>
      <c r="B127" s="554" t="s">
        <v>696</v>
      </c>
      <c r="C127" s="468">
        <f t="shared" si="92"/>
        <v>0</v>
      </c>
      <c r="D127" s="469">
        <f t="shared" si="92"/>
        <v>0</v>
      </c>
      <c r="E127" s="470">
        <f t="shared" si="92"/>
        <v>0</v>
      </c>
      <c r="F127" s="640"/>
      <c r="G127" s="598"/>
      <c r="H127" s="599"/>
      <c r="I127" s="641"/>
      <c r="J127" s="598"/>
      <c r="K127" s="600"/>
      <c r="L127" s="640"/>
      <c r="M127" s="598"/>
      <c r="N127" s="599"/>
      <c r="O127" s="641"/>
      <c r="P127" s="598"/>
      <c r="Q127" s="600"/>
      <c r="R127" s="640"/>
      <c r="S127" s="598"/>
      <c r="T127" s="599"/>
      <c r="U127" s="641"/>
      <c r="V127" s="598"/>
      <c r="W127" s="600"/>
      <c r="X127" s="640"/>
      <c r="Y127" s="598"/>
      <c r="Z127" s="599"/>
      <c r="AA127" s="641"/>
      <c r="AB127" s="598"/>
      <c r="AC127" s="600"/>
      <c r="AD127" s="640"/>
      <c r="AE127" s="598"/>
      <c r="AF127" s="599"/>
      <c r="AG127" s="641"/>
      <c r="AH127" s="598"/>
      <c r="AI127" s="600"/>
      <c r="AJ127" s="641"/>
      <c r="AK127" s="598"/>
      <c r="AL127" s="600"/>
      <c r="AM127" s="640"/>
      <c r="AN127" s="598"/>
      <c r="AO127" s="470"/>
    </row>
    <row r="128" spans="1:42" s="480" customFormat="1" ht="15" x14ac:dyDescent="0.2">
      <c r="A128" s="471" t="s">
        <v>667</v>
      </c>
      <c r="B128" s="472" t="s">
        <v>697</v>
      </c>
      <c r="C128" s="473">
        <f t="shared" si="92"/>
        <v>16609</v>
      </c>
      <c r="D128" s="474">
        <f t="shared" si="92"/>
        <v>16609</v>
      </c>
      <c r="E128" s="475">
        <f t="shared" si="92"/>
        <v>3109</v>
      </c>
      <c r="F128" s="474">
        <f>SUM(F125:F127)</f>
        <v>1384</v>
      </c>
      <c r="G128" s="603">
        <f t="shared" ref="G128:AO128" si="107">SUM(G125:G127)</f>
        <v>333</v>
      </c>
      <c r="H128" s="604">
        <f t="shared" si="107"/>
        <v>333</v>
      </c>
      <c r="I128" s="477">
        <f t="shared" si="107"/>
        <v>1384</v>
      </c>
      <c r="J128" s="603">
        <f t="shared" si="107"/>
        <v>286</v>
      </c>
      <c r="K128" s="605">
        <f t="shared" si="107"/>
        <v>286</v>
      </c>
      <c r="L128" s="474">
        <f t="shared" si="107"/>
        <v>1384</v>
      </c>
      <c r="M128" s="603">
        <f t="shared" si="107"/>
        <v>47</v>
      </c>
      <c r="N128" s="604">
        <f t="shared" si="107"/>
        <v>47</v>
      </c>
      <c r="O128" s="477">
        <f t="shared" si="107"/>
        <v>1384</v>
      </c>
      <c r="P128" s="603">
        <f t="shared" si="107"/>
        <v>1009</v>
      </c>
      <c r="Q128" s="605">
        <f t="shared" si="107"/>
        <v>1009</v>
      </c>
      <c r="R128" s="474">
        <f t="shared" si="107"/>
        <v>1384</v>
      </c>
      <c r="S128" s="603">
        <f t="shared" si="107"/>
        <v>1412</v>
      </c>
      <c r="T128" s="604">
        <f t="shared" si="107"/>
        <v>1412</v>
      </c>
      <c r="U128" s="477">
        <f t="shared" si="107"/>
        <v>1384</v>
      </c>
      <c r="V128" s="603">
        <f t="shared" si="107"/>
        <v>22</v>
      </c>
      <c r="W128" s="605">
        <f t="shared" si="107"/>
        <v>22</v>
      </c>
      <c r="X128" s="474">
        <f t="shared" si="107"/>
        <v>1384</v>
      </c>
      <c r="Y128" s="603">
        <f t="shared" si="107"/>
        <v>2250</v>
      </c>
      <c r="Z128" s="604">
        <f t="shared" si="107"/>
        <v>0</v>
      </c>
      <c r="AA128" s="477">
        <f t="shared" si="107"/>
        <v>1384</v>
      </c>
      <c r="AB128" s="603">
        <f t="shared" si="107"/>
        <v>2250</v>
      </c>
      <c r="AC128" s="605">
        <f t="shared" si="107"/>
        <v>0</v>
      </c>
      <c r="AD128" s="474">
        <f t="shared" si="107"/>
        <v>1384</v>
      </c>
      <c r="AE128" s="603">
        <f t="shared" si="107"/>
        <v>2250</v>
      </c>
      <c r="AF128" s="604">
        <f t="shared" si="107"/>
        <v>0</v>
      </c>
      <c r="AG128" s="477">
        <f t="shared" si="107"/>
        <v>1384</v>
      </c>
      <c r="AH128" s="603">
        <f t="shared" si="107"/>
        <v>2250</v>
      </c>
      <c r="AI128" s="605">
        <f t="shared" si="107"/>
        <v>0</v>
      </c>
      <c r="AJ128" s="477">
        <f t="shared" si="107"/>
        <v>1385</v>
      </c>
      <c r="AK128" s="603">
        <f t="shared" si="107"/>
        <v>2250</v>
      </c>
      <c r="AL128" s="605">
        <f t="shared" si="107"/>
        <v>0</v>
      </c>
      <c r="AM128" s="474">
        <f t="shared" si="107"/>
        <v>1384</v>
      </c>
      <c r="AN128" s="603">
        <f t="shared" si="107"/>
        <v>2250</v>
      </c>
      <c r="AO128" s="475">
        <f t="shared" si="107"/>
        <v>0</v>
      </c>
      <c r="AP128" s="479"/>
    </row>
    <row r="129" spans="1:42" s="480" customFormat="1" ht="15" x14ac:dyDescent="0.2">
      <c r="A129" s="505" t="s">
        <v>698</v>
      </c>
      <c r="B129" s="506" t="s">
        <v>699</v>
      </c>
      <c r="C129" s="473">
        <f t="shared" si="92"/>
        <v>0</v>
      </c>
      <c r="D129" s="474">
        <f t="shared" si="92"/>
        <v>0</v>
      </c>
      <c r="E129" s="475">
        <f t="shared" si="92"/>
        <v>0</v>
      </c>
      <c r="F129" s="642"/>
      <c r="G129" s="603"/>
      <c r="H129" s="604"/>
      <c r="I129" s="643"/>
      <c r="J129" s="603"/>
      <c r="K129" s="605"/>
      <c r="L129" s="644"/>
      <c r="M129" s="603"/>
      <c r="N129" s="604"/>
      <c r="O129" s="643"/>
      <c r="P129" s="603"/>
      <c r="Q129" s="605"/>
      <c r="R129" s="644"/>
      <c r="S129" s="603"/>
      <c r="T129" s="604"/>
      <c r="U129" s="643"/>
      <c r="V129" s="603"/>
      <c r="W129" s="605"/>
      <c r="X129" s="644"/>
      <c r="Y129" s="603"/>
      <c r="Z129" s="604"/>
      <c r="AA129" s="643"/>
      <c r="AB129" s="603"/>
      <c r="AC129" s="605"/>
      <c r="AD129" s="644"/>
      <c r="AE129" s="603"/>
      <c r="AF129" s="604"/>
      <c r="AG129" s="643"/>
      <c r="AH129" s="603"/>
      <c r="AI129" s="605"/>
      <c r="AJ129" s="643"/>
      <c r="AK129" s="603"/>
      <c r="AL129" s="605"/>
      <c r="AM129" s="644"/>
      <c r="AN129" s="603"/>
      <c r="AO129" s="475"/>
      <c r="AP129" s="479"/>
    </row>
    <row r="130" spans="1:42" s="480" customFormat="1" ht="15" x14ac:dyDescent="0.2">
      <c r="A130" s="471" t="s">
        <v>700</v>
      </c>
      <c r="B130" s="472" t="s">
        <v>689</v>
      </c>
      <c r="C130" s="473">
        <f t="shared" si="92"/>
        <v>0</v>
      </c>
      <c r="D130" s="474">
        <f t="shared" si="92"/>
        <v>0</v>
      </c>
      <c r="E130" s="475">
        <f t="shared" si="92"/>
        <v>0</v>
      </c>
      <c r="F130" s="474"/>
      <c r="G130" s="603">
        <v>0</v>
      </c>
      <c r="H130" s="604">
        <v>0</v>
      </c>
      <c r="I130" s="477"/>
      <c r="J130" s="603">
        <v>0</v>
      </c>
      <c r="K130" s="605">
        <v>0</v>
      </c>
      <c r="L130" s="474"/>
      <c r="M130" s="603">
        <v>0</v>
      </c>
      <c r="N130" s="604">
        <v>0</v>
      </c>
      <c r="O130" s="477"/>
      <c r="P130" s="603">
        <v>0</v>
      </c>
      <c r="Q130" s="605">
        <v>0</v>
      </c>
      <c r="R130" s="474"/>
      <c r="S130" s="603">
        <v>0</v>
      </c>
      <c r="T130" s="604">
        <v>0</v>
      </c>
      <c r="U130" s="477"/>
      <c r="V130" s="603">
        <v>0</v>
      </c>
      <c r="W130" s="605">
        <v>0</v>
      </c>
      <c r="X130" s="474"/>
      <c r="Y130" s="603">
        <v>0</v>
      </c>
      <c r="Z130" s="604">
        <v>0</v>
      </c>
      <c r="AA130" s="477"/>
      <c r="AB130" s="603">
        <v>0</v>
      </c>
      <c r="AC130" s="605">
        <v>0</v>
      </c>
      <c r="AD130" s="474"/>
      <c r="AE130" s="603">
        <v>0</v>
      </c>
      <c r="AF130" s="604">
        <f>SUM(AF153+AF198+AF243+AF288+AF333+AF423+AF488)</f>
        <v>0</v>
      </c>
      <c r="AG130" s="477"/>
      <c r="AH130" s="603">
        <v>0</v>
      </c>
      <c r="AI130" s="605">
        <v>0</v>
      </c>
      <c r="AJ130" s="477"/>
      <c r="AK130" s="603">
        <v>0</v>
      </c>
      <c r="AL130" s="605">
        <v>0</v>
      </c>
      <c r="AM130" s="474"/>
      <c r="AN130" s="603">
        <v>0</v>
      </c>
      <c r="AO130" s="475">
        <v>0</v>
      </c>
      <c r="AP130" s="479"/>
    </row>
    <row r="131" spans="1:42" s="480" customFormat="1" ht="15.75" thickBot="1" x14ac:dyDescent="0.25">
      <c r="A131" s="555" t="s">
        <v>672</v>
      </c>
      <c r="B131" s="556" t="s">
        <v>701</v>
      </c>
      <c r="C131" s="557">
        <f t="shared" si="92"/>
        <v>16609</v>
      </c>
      <c r="D131" s="510">
        <f t="shared" si="92"/>
        <v>16609</v>
      </c>
      <c r="E131" s="558">
        <f t="shared" si="92"/>
        <v>3109</v>
      </c>
      <c r="F131" s="510">
        <f>SUM(F128,F129,F130)</f>
        <v>1384</v>
      </c>
      <c r="G131" s="610">
        <f t="shared" ref="G131:AO131" si="108">SUM(G128,G129,G130)</f>
        <v>333</v>
      </c>
      <c r="H131" s="611">
        <f t="shared" si="108"/>
        <v>333</v>
      </c>
      <c r="I131" s="512">
        <f t="shared" si="108"/>
        <v>1384</v>
      </c>
      <c r="J131" s="610">
        <f t="shared" si="108"/>
        <v>286</v>
      </c>
      <c r="K131" s="612">
        <f t="shared" si="108"/>
        <v>286</v>
      </c>
      <c r="L131" s="510">
        <f t="shared" si="108"/>
        <v>1384</v>
      </c>
      <c r="M131" s="610">
        <f t="shared" si="108"/>
        <v>47</v>
      </c>
      <c r="N131" s="611">
        <f t="shared" si="108"/>
        <v>47</v>
      </c>
      <c r="O131" s="512">
        <f t="shared" si="108"/>
        <v>1384</v>
      </c>
      <c r="P131" s="610">
        <f t="shared" si="108"/>
        <v>1009</v>
      </c>
      <c r="Q131" s="612">
        <f t="shared" si="108"/>
        <v>1009</v>
      </c>
      <c r="R131" s="510">
        <f t="shared" si="108"/>
        <v>1384</v>
      </c>
      <c r="S131" s="610">
        <f t="shared" si="108"/>
        <v>1412</v>
      </c>
      <c r="T131" s="611">
        <f t="shared" si="108"/>
        <v>1412</v>
      </c>
      <c r="U131" s="512">
        <f t="shared" si="108"/>
        <v>1384</v>
      </c>
      <c r="V131" s="610">
        <f t="shared" si="108"/>
        <v>22</v>
      </c>
      <c r="W131" s="612">
        <f t="shared" si="108"/>
        <v>22</v>
      </c>
      <c r="X131" s="510">
        <f t="shared" si="108"/>
        <v>1384</v>
      </c>
      <c r="Y131" s="610">
        <f t="shared" si="108"/>
        <v>2250</v>
      </c>
      <c r="Z131" s="611">
        <f t="shared" si="108"/>
        <v>0</v>
      </c>
      <c r="AA131" s="512">
        <f t="shared" si="108"/>
        <v>1384</v>
      </c>
      <c r="AB131" s="610">
        <f t="shared" si="108"/>
        <v>2250</v>
      </c>
      <c r="AC131" s="612">
        <f t="shared" si="108"/>
        <v>0</v>
      </c>
      <c r="AD131" s="510">
        <f t="shared" si="108"/>
        <v>1384</v>
      </c>
      <c r="AE131" s="610">
        <f t="shared" si="108"/>
        <v>2250</v>
      </c>
      <c r="AF131" s="611">
        <f t="shared" si="108"/>
        <v>0</v>
      </c>
      <c r="AG131" s="512">
        <f t="shared" si="108"/>
        <v>1384</v>
      </c>
      <c r="AH131" s="610">
        <f t="shared" si="108"/>
        <v>2250</v>
      </c>
      <c r="AI131" s="612">
        <f t="shared" si="108"/>
        <v>0</v>
      </c>
      <c r="AJ131" s="512">
        <f t="shared" si="108"/>
        <v>1385</v>
      </c>
      <c r="AK131" s="610">
        <f t="shared" si="108"/>
        <v>2250</v>
      </c>
      <c r="AL131" s="612">
        <f t="shared" si="108"/>
        <v>0</v>
      </c>
      <c r="AM131" s="510">
        <f t="shared" si="108"/>
        <v>1384</v>
      </c>
      <c r="AN131" s="610">
        <f t="shared" si="108"/>
        <v>2250</v>
      </c>
      <c r="AO131" s="509">
        <f t="shared" si="108"/>
        <v>0</v>
      </c>
      <c r="AP131" s="479"/>
    </row>
    <row r="132" spans="1:42" ht="15" thickBot="1" x14ac:dyDescent="0.25">
      <c r="A132" s="560" t="s">
        <v>702</v>
      </c>
      <c r="B132" s="561" t="s">
        <v>703</v>
      </c>
      <c r="C132" s="645">
        <f>SUM(F132,I132,L132,O132,R132,U132,X132,AA132,AD132,AG132,AJ132,AM132)</f>
        <v>417673</v>
      </c>
      <c r="D132" s="646">
        <f t="shared" ref="D132:E135" si="109">SUM(G132,J132,M132,P132,S132,V132,Y132,AB132,AE132,AH132,AK132,AN132)</f>
        <v>436119</v>
      </c>
      <c r="E132" s="574">
        <f t="shared" si="109"/>
        <v>207214</v>
      </c>
      <c r="F132" s="564">
        <f>SUM(F124,F131)</f>
        <v>46207</v>
      </c>
      <c r="G132" s="564">
        <f t="shared" ref="G132:AO132" si="110">SUM(G124,G131)</f>
        <v>29707</v>
      </c>
      <c r="H132" s="565">
        <f t="shared" si="110"/>
        <v>32195</v>
      </c>
      <c r="I132" s="566">
        <f t="shared" si="110"/>
        <v>46205</v>
      </c>
      <c r="J132" s="564">
        <f t="shared" si="110"/>
        <v>23261</v>
      </c>
      <c r="K132" s="567">
        <f t="shared" si="110"/>
        <v>33147</v>
      </c>
      <c r="L132" s="564">
        <f t="shared" si="110"/>
        <v>46206</v>
      </c>
      <c r="M132" s="564">
        <f t="shared" si="110"/>
        <v>38564</v>
      </c>
      <c r="N132" s="565">
        <f t="shared" si="110"/>
        <v>36472</v>
      </c>
      <c r="O132" s="566">
        <f t="shared" si="110"/>
        <v>31006</v>
      </c>
      <c r="P132" s="564">
        <f t="shared" si="110"/>
        <v>38946</v>
      </c>
      <c r="Q132" s="567">
        <f t="shared" si="110"/>
        <v>37617</v>
      </c>
      <c r="R132" s="564">
        <f t="shared" si="110"/>
        <v>31006</v>
      </c>
      <c r="S132" s="564">
        <f t="shared" si="110"/>
        <v>31351</v>
      </c>
      <c r="T132" s="565">
        <f t="shared" si="110"/>
        <v>35993</v>
      </c>
      <c r="U132" s="566">
        <f t="shared" si="110"/>
        <v>31007</v>
      </c>
      <c r="V132" s="564">
        <f t="shared" si="110"/>
        <v>47693</v>
      </c>
      <c r="W132" s="567">
        <f t="shared" si="110"/>
        <v>31790</v>
      </c>
      <c r="X132" s="564">
        <f t="shared" si="110"/>
        <v>31006</v>
      </c>
      <c r="Y132" s="564">
        <f t="shared" si="110"/>
        <v>34997</v>
      </c>
      <c r="Z132" s="565">
        <f t="shared" si="110"/>
        <v>0</v>
      </c>
      <c r="AA132" s="566">
        <f t="shared" si="110"/>
        <v>31005</v>
      </c>
      <c r="AB132" s="564">
        <f t="shared" si="110"/>
        <v>34999</v>
      </c>
      <c r="AC132" s="567">
        <f t="shared" si="110"/>
        <v>0</v>
      </c>
      <c r="AD132" s="564">
        <f t="shared" si="110"/>
        <v>31007</v>
      </c>
      <c r="AE132" s="564">
        <f t="shared" si="110"/>
        <v>34998</v>
      </c>
      <c r="AF132" s="565">
        <f t="shared" si="110"/>
        <v>0</v>
      </c>
      <c r="AG132" s="566">
        <f t="shared" si="110"/>
        <v>31005</v>
      </c>
      <c r="AH132" s="564">
        <f t="shared" si="110"/>
        <v>34998</v>
      </c>
      <c r="AI132" s="567">
        <f t="shared" si="110"/>
        <v>0</v>
      </c>
      <c r="AJ132" s="566">
        <f t="shared" si="110"/>
        <v>31008</v>
      </c>
      <c r="AK132" s="564">
        <f t="shared" si="110"/>
        <v>34996</v>
      </c>
      <c r="AL132" s="567">
        <f t="shared" si="110"/>
        <v>0</v>
      </c>
      <c r="AM132" s="564">
        <f t="shared" si="110"/>
        <v>31005</v>
      </c>
      <c r="AN132" s="647">
        <f t="shared" si="110"/>
        <v>51609</v>
      </c>
      <c r="AO132" s="590">
        <f t="shared" si="110"/>
        <v>0</v>
      </c>
    </row>
    <row r="133" spans="1:42" ht="15" thickBot="1" x14ac:dyDescent="0.25">
      <c r="A133" s="569"/>
      <c r="B133" s="570" t="s">
        <v>1334</v>
      </c>
      <c r="C133" s="571"/>
      <c r="D133" s="572"/>
      <c r="E133" s="573">
        <f t="shared" si="109"/>
        <v>-2449</v>
      </c>
      <c r="F133" s="571"/>
      <c r="G133" s="572"/>
      <c r="H133" s="627">
        <f>-13644+10999</f>
        <v>-2645</v>
      </c>
      <c r="I133" s="531"/>
      <c r="J133" s="572"/>
      <c r="K133" s="628">
        <v>-10026</v>
      </c>
      <c r="L133" s="530"/>
      <c r="M133" s="572"/>
      <c r="N133" s="627">
        <v>2210</v>
      </c>
      <c r="O133" s="531"/>
      <c r="P133" s="572"/>
      <c r="Q133" s="628">
        <v>755</v>
      </c>
      <c r="R133" s="530"/>
      <c r="S133" s="572"/>
      <c r="T133" s="627">
        <v>-4571</v>
      </c>
      <c r="U133" s="531"/>
      <c r="V133" s="572"/>
      <c r="W133" s="628">
        <v>11828</v>
      </c>
      <c r="X133" s="530"/>
      <c r="Y133" s="572"/>
      <c r="Z133" s="627"/>
      <c r="AA133" s="531"/>
      <c r="AB133" s="572"/>
      <c r="AC133" s="628"/>
      <c r="AD133" s="530"/>
      <c r="AE133" s="572"/>
      <c r="AF133" s="627"/>
      <c r="AG133" s="531"/>
      <c r="AH133" s="572"/>
      <c r="AI133" s="628"/>
      <c r="AJ133" s="531"/>
      <c r="AK133" s="572"/>
      <c r="AL133" s="628"/>
      <c r="AM133" s="530"/>
      <c r="AN133" s="572"/>
      <c r="AO133" s="573"/>
    </row>
    <row r="134" spans="1:42" ht="15" thickBot="1" x14ac:dyDescent="0.25">
      <c r="A134" s="575"/>
      <c r="B134" s="576" t="s">
        <v>1335</v>
      </c>
      <c r="C134" s="528"/>
      <c r="D134" s="577"/>
      <c r="E134" s="563">
        <f t="shared" si="109"/>
        <v>204765</v>
      </c>
      <c r="F134" s="528"/>
      <c r="G134" s="577"/>
      <c r="H134" s="578">
        <f>SUM(H132:H133)</f>
        <v>29550</v>
      </c>
      <c r="I134" s="579"/>
      <c r="J134" s="577"/>
      <c r="K134" s="580">
        <f>SUM(K132:K133)</f>
        <v>23121</v>
      </c>
      <c r="L134" s="529"/>
      <c r="M134" s="577"/>
      <c r="N134" s="578">
        <f>SUM(N132:N133)</f>
        <v>38682</v>
      </c>
      <c r="O134" s="579"/>
      <c r="P134" s="577"/>
      <c r="Q134" s="580">
        <f>SUM(Q132:Q133)</f>
        <v>38372</v>
      </c>
      <c r="R134" s="529"/>
      <c r="S134" s="577"/>
      <c r="T134" s="578">
        <f>SUM(T132:T133)</f>
        <v>31422</v>
      </c>
      <c r="U134" s="579"/>
      <c r="V134" s="577"/>
      <c r="W134" s="580">
        <f>SUM(W132:W133)</f>
        <v>43618</v>
      </c>
      <c r="X134" s="529"/>
      <c r="Y134" s="577"/>
      <c r="Z134" s="578">
        <f>SUM(Z132:Z133)</f>
        <v>0</v>
      </c>
      <c r="AA134" s="579"/>
      <c r="AB134" s="577"/>
      <c r="AC134" s="580">
        <f>SUM(AC132:AC133)</f>
        <v>0</v>
      </c>
      <c r="AD134" s="529"/>
      <c r="AE134" s="577"/>
      <c r="AF134" s="578">
        <f>SUM(AF132:AF133)</f>
        <v>0</v>
      </c>
      <c r="AG134" s="579"/>
      <c r="AH134" s="577"/>
      <c r="AI134" s="580">
        <f>SUM(AI132:AI133)</f>
        <v>0</v>
      </c>
      <c r="AJ134" s="579"/>
      <c r="AK134" s="577"/>
      <c r="AL134" s="580">
        <f>SUM(AL132:AL133)</f>
        <v>0</v>
      </c>
      <c r="AM134" s="529"/>
      <c r="AN134" s="577"/>
      <c r="AO134" s="563">
        <f>SUM(AO132:AO133)</f>
        <v>0</v>
      </c>
    </row>
    <row r="135" spans="1:42" s="525" customFormat="1" ht="15" customHeight="1" thickBot="1" x14ac:dyDescent="0.25">
      <c r="A135" s="581"/>
      <c r="B135" s="582" t="s">
        <v>1336</v>
      </c>
      <c r="C135" s="583"/>
      <c r="D135" s="584"/>
      <c r="E135" s="563">
        <f t="shared" si="109"/>
        <v>4763</v>
      </c>
      <c r="F135" s="583"/>
      <c r="G135" s="584"/>
      <c r="H135" s="585">
        <f>SUM(H113-H134)</f>
        <v>157</v>
      </c>
      <c r="I135" s="586"/>
      <c r="J135" s="584"/>
      <c r="K135" s="587">
        <f>SUM(K113-K134)</f>
        <v>146</v>
      </c>
      <c r="L135" s="588"/>
      <c r="M135" s="584"/>
      <c r="N135" s="585">
        <f>SUM(N113-N134)</f>
        <v>-117</v>
      </c>
      <c r="O135" s="586"/>
      <c r="P135" s="584"/>
      <c r="Q135" s="587">
        <f>SUM(Q113-Q134)</f>
        <v>573</v>
      </c>
      <c r="R135" s="588"/>
      <c r="S135" s="584"/>
      <c r="T135" s="585">
        <f>SUM(T113-T134)</f>
        <v>-66</v>
      </c>
      <c r="U135" s="586"/>
      <c r="V135" s="584"/>
      <c r="W135" s="587">
        <f>SUM(W113-W134)</f>
        <v>4070</v>
      </c>
      <c r="X135" s="588"/>
      <c r="Y135" s="584"/>
      <c r="Z135" s="585">
        <f>SUM(Z113-Z134)</f>
        <v>0</v>
      </c>
      <c r="AA135" s="586"/>
      <c r="AB135" s="584"/>
      <c r="AC135" s="587">
        <f>SUM(AC113-AC134)</f>
        <v>0</v>
      </c>
      <c r="AD135" s="588"/>
      <c r="AE135" s="584"/>
      <c r="AF135" s="585">
        <f>SUM(AF113-AF134)</f>
        <v>0</v>
      </c>
      <c r="AG135" s="586"/>
      <c r="AH135" s="584"/>
      <c r="AI135" s="587">
        <f>SUM(AI113-AI134)</f>
        <v>0</v>
      </c>
      <c r="AJ135" s="586"/>
      <c r="AK135" s="584"/>
      <c r="AL135" s="587">
        <f>SUM(AL113-AL134)</f>
        <v>0</v>
      </c>
      <c r="AM135" s="588"/>
      <c r="AN135" s="589"/>
      <c r="AO135" s="590">
        <f>SUM(AO113-AO134)</f>
        <v>0</v>
      </c>
      <c r="AP135" s="479"/>
    </row>
    <row r="136" spans="1:42" s="449" customFormat="1" ht="9" customHeight="1" x14ac:dyDescent="0.2">
      <c r="AN136" s="446"/>
      <c r="AO136" s="446"/>
      <c r="AP136" s="446"/>
    </row>
    <row r="137" spans="1:42" s="444" customFormat="1" ht="12.75" x14ac:dyDescent="0.2">
      <c r="A137" s="1057" t="s">
        <v>418</v>
      </c>
      <c r="B137" s="1057"/>
      <c r="C137" s="1057"/>
      <c r="D137" s="1057"/>
      <c r="E137" s="1057"/>
      <c r="F137" s="1057"/>
      <c r="G137" s="1057"/>
      <c r="H137" s="1057"/>
      <c r="I137" s="1057"/>
      <c r="J137" s="1058" t="s">
        <v>630</v>
      </c>
      <c r="K137" s="1058"/>
      <c r="L137" s="1058"/>
      <c r="M137" s="1058"/>
      <c r="N137" s="1058"/>
      <c r="O137" s="1058"/>
      <c r="P137" s="1058"/>
      <c r="Q137" s="1058"/>
      <c r="R137" s="1058"/>
      <c r="S137" s="1058"/>
      <c r="T137" s="1058"/>
      <c r="U137" s="1058"/>
      <c r="V137" s="1058"/>
      <c r="W137" s="1058"/>
      <c r="X137" s="1058"/>
      <c r="Y137" s="1058"/>
      <c r="Z137" s="1058"/>
      <c r="AA137" s="1058"/>
      <c r="AB137" s="1058"/>
      <c r="AC137" s="1058"/>
      <c r="AD137" s="441"/>
      <c r="AE137" s="441"/>
      <c r="AF137" s="441"/>
      <c r="AG137" s="441"/>
      <c r="AH137" s="441"/>
      <c r="AI137" s="441"/>
      <c r="AJ137" s="441"/>
      <c r="AK137" s="441"/>
      <c r="AL137" s="441"/>
      <c r="AM137" s="441"/>
      <c r="AN137" s="442"/>
      <c r="AO137" s="443" t="s">
        <v>708</v>
      </c>
      <c r="AP137" s="442"/>
    </row>
    <row r="138" spans="1:42" ht="11.25" customHeight="1" thickBot="1" x14ac:dyDescent="0.25">
      <c r="A138" s="445"/>
      <c r="B138" s="445"/>
      <c r="C138" s="445"/>
      <c r="D138" s="445"/>
      <c r="E138" s="445"/>
      <c r="F138" s="445"/>
      <c r="G138" s="445"/>
      <c r="H138" s="445"/>
      <c r="I138" s="445"/>
      <c r="J138" s="445"/>
      <c r="K138" s="445"/>
      <c r="L138" s="445"/>
      <c r="M138" s="445"/>
      <c r="N138" s="445"/>
      <c r="O138" s="445"/>
      <c r="P138" s="445"/>
      <c r="Q138" s="445"/>
      <c r="R138" s="445"/>
      <c r="S138" s="445"/>
      <c r="T138" s="445"/>
      <c r="U138" s="445"/>
      <c r="V138" s="445"/>
      <c r="W138" s="445"/>
      <c r="X138" s="445"/>
      <c r="Y138" s="445"/>
      <c r="Z138" s="445"/>
      <c r="AA138" s="445"/>
      <c r="AB138" s="445"/>
      <c r="AC138" s="445"/>
      <c r="AD138" s="445"/>
      <c r="AE138" s="445"/>
      <c r="AF138" s="445"/>
      <c r="AG138" s="445"/>
      <c r="AH138" s="445"/>
      <c r="AI138" s="445"/>
      <c r="AJ138" s="445"/>
      <c r="AK138" s="445"/>
      <c r="AL138" s="445"/>
      <c r="AM138" s="445"/>
      <c r="AO138" s="447" t="s">
        <v>1338</v>
      </c>
    </row>
    <row r="139" spans="1:42" x14ac:dyDescent="0.2">
      <c r="A139" s="1046"/>
      <c r="B139" s="1048" t="s">
        <v>632</v>
      </c>
      <c r="C139" s="1050" t="s">
        <v>633</v>
      </c>
      <c r="D139" s="1052" t="s">
        <v>1326</v>
      </c>
      <c r="E139" s="1054" t="s">
        <v>1327</v>
      </c>
      <c r="F139" s="1044" t="s">
        <v>634</v>
      </c>
      <c r="G139" s="1044"/>
      <c r="H139" s="1044"/>
      <c r="I139" s="1043" t="s">
        <v>635</v>
      </c>
      <c r="J139" s="1044"/>
      <c r="K139" s="1045"/>
      <c r="L139" s="1044" t="s">
        <v>636</v>
      </c>
      <c r="M139" s="1044"/>
      <c r="N139" s="1044"/>
      <c r="O139" s="1043" t="s">
        <v>637</v>
      </c>
      <c r="P139" s="1044"/>
      <c r="Q139" s="1045"/>
      <c r="R139" s="1044" t="s">
        <v>638</v>
      </c>
      <c r="S139" s="1044"/>
      <c r="T139" s="1044"/>
      <c r="U139" s="1043" t="s">
        <v>639</v>
      </c>
      <c r="V139" s="1044"/>
      <c r="W139" s="1045"/>
      <c r="X139" s="1044" t="s">
        <v>640</v>
      </c>
      <c r="Y139" s="1044"/>
      <c r="Z139" s="1044"/>
      <c r="AA139" s="1043" t="s">
        <v>641</v>
      </c>
      <c r="AB139" s="1044"/>
      <c r="AC139" s="1045"/>
      <c r="AD139" s="1044" t="s">
        <v>642</v>
      </c>
      <c r="AE139" s="1044"/>
      <c r="AF139" s="1044"/>
      <c r="AG139" s="1043" t="s">
        <v>643</v>
      </c>
      <c r="AH139" s="1044"/>
      <c r="AI139" s="1045"/>
      <c r="AJ139" s="1044" t="s">
        <v>644</v>
      </c>
      <c r="AK139" s="1044"/>
      <c r="AL139" s="1044"/>
      <c r="AM139" s="1043" t="s">
        <v>645</v>
      </c>
      <c r="AN139" s="1044"/>
      <c r="AO139" s="1056"/>
    </row>
    <row r="140" spans="1:42" x14ac:dyDescent="0.2">
      <c r="A140" s="1047"/>
      <c r="B140" s="1049"/>
      <c r="C140" s="1051"/>
      <c r="D140" s="1053"/>
      <c r="E140" s="1055"/>
      <c r="F140" s="450" t="s">
        <v>1328</v>
      </c>
      <c r="G140" s="451" t="s">
        <v>1329</v>
      </c>
      <c r="H140" s="452" t="s">
        <v>1330</v>
      </c>
      <c r="I140" s="453" t="s">
        <v>1328</v>
      </c>
      <c r="J140" s="451" t="s">
        <v>1329</v>
      </c>
      <c r="K140" s="454" t="s">
        <v>1330</v>
      </c>
      <c r="L140" s="455" t="s">
        <v>1328</v>
      </c>
      <c r="M140" s="451" t="s">
        <v>1329</v>
      </c>
      <c r="N140" s="452" t="s">
        <v>1330</v>
      </c>
      <c r="O140" s="453" t="s">
        <v>1328</v>
      </c>
      <c r="P140" s="451" t="s">
        <v>1329</v>
      </c>
      <c r="Q140" s="454" t="s">
        <v>1330</v>
      </c>
      <c r="R140" s="455" t="s">
        <v>1328</v>
      </c>
      <c r="S140" s="451" t="s">
        <v>1329</v>
      </c>
      <c r="T140" s="452" t="s">
        <v>1330</v>
      </c>
      <c r="U140" s="453" t="s">
        <v>1328</v>
      </c>
      <c r="V140" s="451" t="s">
        <v>1329</v>
      </c>
      <c r="W140" s="454" t="s">
        <v>1330</v>
      </c>
      <c r="X140" s="455" t="s">
        <v>1328</v>
      </c>
      <c r="Y140" s="451" t="s">
        <v>1329</v>
      </c>
      <c r="Z140" s="452" t="s">
        <v>1330</v>
      </c>
      <c r="AA140" s="453" t="s">
        <v>1328</v>
      </c>
      <c r="AB140" s="451" t="s">
        <v>1329</v>
      </c>
      <c r="AC140" s="454" t="s">
        <v>1330</v>
      </c>
      <c r="AD140" s="455" t="s">
        <v>1328</v>
      </c>
      <c r="AE140" s="451" t="s">
        <v>1329</v>
      </c>
      <c r="AF140" s="452" t="s">
        <v>1330</v>
      </c>
      <c r="AG140" s="453" t="s">
        <v>1328</v>
      </c>
      <c r="AH140" s="451" t="s">
        <v>1329</v>
      </c>
      <c r="AI140" s="454" t="s">
        <v>1330</v>
      </c>
      <c r="AJ140" s="455" t="s">
        <v>1328</v>
      </c>
      <c r="AK140" s="451" t="s">
        <v>1329</v>
      </c>
      <c r="AL140" s="452" t="s">
        <v>1330</v>
      </c>
      <c r="AM140" s="453" t="s">
        <v>1328</v>
      </c>
      <c r="AN140" s="451" t="s">
        <v>1329</v>
      </c>
      <c r="AO140" s="456" t="s">
        <v>1330</v>
      </c>
    </row>
    <row r="141" spans="1:42" x14ac:dyDescent="0.2">
      <c r="A141" s="466" t="s">
        <v>646</v>
      </c>
      <c r="B141" s="467" t="s">
        <v>647</v>
      </c>
      <c r="C141" s="591">
        <f>SUM(F141,I141,L141,O141,R141,U141,X141,AA141,AD141,AG141,AJ141,AM141)</f>
        <v>7936</v>
      </c>
      <c r="D141" s="543">
        <f t="shared" ref="D141:E156" si="111">SUM(G141,J141,M141,P141,S141,V141,Y141,AB141,AE141,AH141,AK141,AN141)</f>
        <v>7936</v>
      </c>
      <c r="E141" s="465">
        <f t="shared" si="111"/>
        <v>7248</v>
      </c>
      <c r="F141" s="469">
        <v>2645</v>
      </c>
      <c r="G141" s="592"/>
      <c r="H141" s="593"/>
      <c r="I141" s="549">
        <v>2646</v>
      </c>
      <c r="J141" s="592"/>
      <c r="K141" s="595"/>
      <c r="L141" s="469">
        <v>2645</v>
      </c>
      <c r="M141" s="592">
        <v>3435</v>
      </c>
      <c r="N141" s="593">
        <v>3435</v>
      </c>
      <c r="O141" s="549"/>
      <c r="P141" s="592"/>
      <c r="Q141" s="595"/>
      <c r="R141" s="469"/>
      <c r="S141" s="592">
        <v>2581</v>
      </c>
      <c r="T141" s="593">
        <v>2581</v>
      </c>
      <c r="U141" s="549"/>
      <c r="V141" s="592">
        <v>1232</v>
      </c>
      <c r="W141" s="595">
        <v>1232</v>
      </c>
      <c r="X141" s="469"/>
      <c r="Y141" s="592">
        <v>688</v>
      </c>
      <c r="Z141" s="593"/>
      <c r="AA141" s="549"/>
      <c r="AB141" s="592"/>
      <c r="AC141" s="595"/>
      <c r="AD141" s="469"/>
      <c r="AE141" s="592"/>
      <c r="AF141" s="593"/>
      <c r="AG141" s="549"/>
      <c r="AH141" s="592"/>
      <c r="AI141" s="595"/>
      <c r="AJ141" s="469"/>
      <c r="AK141" s="592"/>
      <c r="AL141" s="593"/>
      <c r="AM141" s="549"/>
      <c r="AN141" s="592"/>
      <c r="AO141" s="465"/>
    </row>
    <row r="142" spans="1:42" x14ac:dyDescent="0.2">
      <c r="A142" s="466" t="s">
        <v>650</v>
      </c>
      <c r="B142" s="467" t="s">
        <v>649</v>
      </c>
      <c r="C142" s="468">
        <f t="shared" ref="C142:C146" si="112">SUM(F142,I142,L142,O142,R142,U142,X142,AA142,AD142,AG142,AJ142,AM142)</f>
        <v>0</v>
      </c>
      <c r="D142" s="469">
        <f t="shared" si="111"/>
        <v>0</v>
      </c>
      <c r="E142" s="470">
        <f t="shared" si="111"/>
        <v>0</v>
      </c>
      <c r="F142" s="469"/>
      <c r="G142" s="598"/>
      <c r="H142" s="599"/>
      <c r="I142" s="549"/>
      <c r="J142" s="598"/>
      <c r="K142" s="600"/>
      <c r="L142" s="469"/>
      <c r="M142" s="598"/>
      <c r="N142" s="599"/>
      <c r="O142" s="549"/>
      <c r="P142" s="598"/>
      <c r="Q142" s="600"/>
      <c r="R142" s="469"/>
      <c r="S142" s="598"/>
      <c r="T142" s="599"/>
      <c r="U142" s="549"/>
      <c r="V142" s="598"/>
      <c r="W142" s="600"/>
      <c r="X142" s="469"/>
      <c r="Y142" s="598"/>
      <c r="Z142" s="599"/>
      <c r="AA142" s="549"/>
      <c r="AB142" s="598"/>
      <c r="AC142" s="600"/>
      <c r="AD142" s="469"/>
      <c r="AE142" s="598"/>
      <c r="AF142" s="599"/>
      <c r="AG142" s="549"/>
      <c r="AH142" s="598"/>
      <c r="AI142" s="600"/>
      <c r="AJ142" s="469"/>
      <c r="AK142" s="598"/>
      <c r="AL142" s="599"/>
      <c r="AM142" s="549"/>
      <c r="AN142" s="598"/>
      <c r="AO142" s="470"/>
    </row>
    <row r="143" spans="1:42" x14ac:dyDescent="0.2">
      <c r="A143" s="466" t="s">
        <v>652</v>
      </c>
      <c r="B143" s="467" t="s">
        <v>651</v>
      </c>
      <c r="C143" s="468">
        <f t="shared" si="112"/>
        <v>594500</v>
      </c>
      <c r="D143" s="469">
        <f t="shared" si="111"/>
        <v>539650</v>
      </c>
      <c r="E143" s="470">
        <f t="shared" si="111"/>
        <v>288700</v>
      </c>
      <c r="F143" s="469">
        <f>5+49540</f>
        <v>49545</v>
      </c>
      <c r="G143" s="598">
        <v>41519</v>
      </c>
      <c r="H143" s="599">
        <v>41519</v>
      </c>
      <c r="I143" s="549">
        <v>49540</v>
      </c>
      <c r="J143" s="598">
        <v>40590</v>
      </c>
      <c r="K143" s="600">
        <v>40590</v>
      </c>
      <c r="L143" s="469">
        <v>49540</v>
      </c>
      <c r="M143" s="598">
        <v>54279</v>
      </c>
      <c r="N143" s="599">
        <v>54279</v>
      </c>
      <c r="O143" s="549">
        <v>49540</v>
      </c>
      <c r="P143" s="598">
        <v>42995</v>
      </c>
      <c r="Q143" s="600">
        <v>42995</v>
      </c>
      <c r="R143" s="469">
        <v>49540</v>
      </c>
      <c r="S143" s="598">
        <v>48151</v>
      </c>
      <c r="T143" s="599">
        <v>48151</v>
      </c>
      <c r="U143" s="549">
        <v>40000</v>
      </c>
      <c r="V143" s="598">
        <v>61166</v>
      </c>
      <c r="W143" s="600">
        <v>61166</v>
      </c>
      <c r="X143" s="469">
        <v>35000</v>
      </c>
      <c r="Y143" s="598">
        <v>41825</v>
      </c>
      <c r="Z143" s="599"/>
      <c r="AA143" s="549">
        <v>45000</v>
      </c>
      <c r="AB143" s="598">
        <v>41825</v>
      </c>
      <c r="AC143" s="600"/>
      <c r="AD143" s="469">
        <v>49540</v>
      </c>
      <c r="AE143" s="598">
        <v>41825</v>
      </c>
      <c r="AF143" s="599"/>
      <c r="AG143" s="549">
        <f>9545+49540</f>
        <v>59085</v>
      </c>
      <c r="AH143" s="598">
        <v>41825</v>
      </c>
      <c r="AI143" s="600"/>
      <c r="AJ143" s="469">
        <f>9545+49540</f>
        <v>59085</v>
      </c>
      <c r="AK143" s="598">
        <v>41825</v>
      </c>
      <c r="AL143" s="599"/>
      <c r="AM143" s="549">
        <f>9545+49540</f>
        <v>59085</v>
      </c>
      <c r="AN143" s="598">
        <v>41825</v>
      </c>
      <c r="AO143" s="470"/>
    </row>
    <row r="144" spans="1:42" x14ac:dyDescent="0.2">
      <c r="A144" s="466" t="s">
        <v>1331</v>
      </c>
      <c r="B144" s="467" t="s">
        <v>653</v>
      </c>
      <c r="C144" s="468">
        <f t="shared" si="112"/>
        <v>0</v>
      </c>
      <c r="D144" s="469">
        <f t="shared" si="111"/>
        <v>0</v>
      </c>
      <c r="E144" s="470">
        <f t="shared" si="111"/>
        <v>190</v>
      </c>
      <c r="F144" s="469"/>
      <c r="G144" s="598"/>
      <c r="H144" s="599"/>
      <c r="I144" s="549"/>
      <c r="J144" s="598"/>
      <c r="K144" s="600">
        <v>20</v>
      </c>
      <c r="L144" s="469"/>
      <c r="M144" s="598"/>
      <c r="N144" s="599">
        <v>50</v>
      </c>
      <c r="O144" s="549"/>
      <c r="P144" s="598"/>
      <c r="Q144" s="600">
        <v>20</v>
      </c>
      <c r="R144" s="469"/>
      <c r="S144" s="598"/>
      <c r="T144" s="599">
        <v>40</v>
      </c>
      <c r="U144" s="549"/>
      <c r="V144" s="598"/>
      <c r="W144" s="600">
        <v>60</v>
      </c>
      <c r="X144" s="469"/>
      <c r="Y144" s="598"/>
      <c r="Z144" s="599"/>
      <c r="AA144" s="549"/>
      <c r="AB144" s="598"/>
      <c r="AC144" s="600"/>
      <c r="AD144" s="469"/>
      <c r="AE144" s="598"/>
      <c r="AF144" s="599"/>
      <c r="AG144" s="549"/>
      <c r="AH144" s="598"/>
      <c r="AI144" s="600"/>
      <c r="AJ144" s="469"/>
      <c r="AK144" s="598"/>
      <c r="AL144" s="599"/>
      <c r="AM144" s="549"/>
      <c r="AN144" s="598"/>
      <c r="AO144" s="470"/>
    </row>
    <row r="145" spans="1:42" x14ac:dyDescent="0.2">
      <c r="A145" s="471" t="s">
        <v>654</v>
      </c>
      <c r="B145" s="472" t="s">
        <v>655</v>
      </c>
      <c r="C145" s="473">
        <f t="shared" si="112"/>
        <v>602436</v>
      </c>
      <c r="D145" s="474">
        <f t="shared" si="111"/>
        <v>547586</v>
      </c>
      <c r="E145" s="475">
        <f t="shared" si="111"/>
        <v>296138</v>
      </c>
      <c r="F145" s="474">
        <f>SUM(F141:F144)</f>
        <v>52190</v>
      </c>
      <c r="G145" s="603">
        <f t="shared" ref="G145:AO145" si="113">SUM(G141:G144)</f>
        <v>41519</v>
      </c>
      <c r="H145" s="604">
        <f t="shared" si="113"/>
        <v>41519</v>
      </c>
      <c r="I145" s="477">
        <f t="shared" si="113"/>
        <v>52186</v>
      </c>
      <c r="J145" s="603">
        <f t="shared" si="113"/>
        <v>40590</v>
      </c>
      <c r="K145" s="605">
        <f t="shared" si="113"/>
        <v>40610</v>
      </c>
      <c r="L145" s="474">
        <f t="shared" si="113"/>
        <v>52185</v>
      </c>
      <c r="M145" s="603">
        <f t="shared" si="113"/>
        <v>57714</v>
      </c>
      <c r="N145" s="604">
        <f t="shared" si="113"/>
        <v>57764</v>
      </c>
      <c r="O145" s="477">
        <f t="shared" si="113"/>
        <v>49540</v>
      </c>
      <c r="P145" s="603">
        <f t="shared" si="113"/>
        <v>42995</v>
      </c>
      <c r="Q145" s="605">
        <f t="shared" si="113"/>
        <v>43015</v>
      </c>
      <c r="R145" s="474">
        <f t="shared" si="113"/>
        <v>49540</v>
      </c>
      <c r="S145" s="603">
        <f t="shared" si="113"/>
        <v>50732</v>
      </c>
      <c r="T145" s="604">
        <f t="shared" si="113"/>
        <v>50772</v>
      </c>
      <c r="U145" s="477">
        <f t="shared" si="113"/>
        <v>40000</v>
      </c>
      <c r="V145" s="603">
        <f t="shared" si="113"/>
        <v>62398</v>
      </c>
      <c r="W145" s="605">
        <f t="shared" si="113"/>
        <v>62458</v>
      </c>
      <c r="X145" s="474">
        <f t="shared" si="113"/>
        <v>35000</v>
      </c>
      <c r="Y145" s="603">
        <f t="shared" si="113"/>
        <v>42513</v>
      </c>
      <c r="Z145" s="604">
        <f t="shared" si="113"/>
        <v>0</v>
      </c>
      <c r="AA145" s="477">
        <f t="shared" si="113"/>
        <v>45000</v>
      </c>
      <c r="AB145" s="603">
        <f t="shared" si="113"/>
        <v>41825</v>
      </c>
      <c r="AC145" s="605">
        <f t="shared" si="113"/>
        <v>0</v>
      </c>
      <c r="AD145" s="474">
        <f t="shared" si="113"/>
        <v>49540</v>
      </c>
      <c r="AE145" s="603">
        <f t="shared" si="113"/>
        <v>41825</v>
      </c>
      <c r="AF145" s="604">
        <f t="shared" si="113"/>
        <v>0</v>
      </c>
      <c r="AG145" s="477">
        <f t="shared" si="113"/>
        <v>59085</v>
      </c>
      <c r="AH145" s="603">
        <f t="shared" si="113"/>
        <v>41825</v>
      </c>
      <c r="AI145" s="605">
        <f t="shared" si="113"/>
        <v>0</v>
      </c>
      <c r="AJ145" s="474">
        <f t="shared" si="113"/>
        <v>59085</v>
      </c>
      <c r="AK145" s="603">
        <f t="shared" si="113"/>
        <v>41825</v>
      </c>
      <c r="AL145" s="604">
        <f t="shared" si="113"/>
        <v>0</v>
      </c>
      <c r="AM145" s="477">
        <f t="shared" si="113"/>
        <v>59085</v>
      </c>
      <c r="AN145" s="603">
        <f t="shared" si="113"/>
        <v>41825</v>
      </c>
      <c r="AO145" s="475">
        <f t="shared" si="113"/>
        <v>0</v>
      </c>
    </row>
    <row r="146" spans="1:42" x14ac:dyDescent="0.2">
      <c r="A146" s="471" t="s">
        <v>656</v>
      </c>
      <c r="B146" s="472" t="s">
        <v>657</v>
      </c>
      <c r="C146" s="473">
        <f t="shared" si="112"/>
        <v>457210</v>
      </c>
      <c r="D146" s="474">
        <f t="shared" si="111"/>
        <v>496194</v>
      </c>
      <c r="E146" s="475">
        <f t="shared" si="111"/>
        <v>230873</v>
      </c>
      <c r="F146" s="474">
        <v>35804</v>
      </c>
      <c r="G146" s="603">
        <v>40097</v>
      </c>
      <c r="H146" s="604">
        <v>40097</v>
      </c>
      <c r="I146" s="477">
        <v>40308</v>
      </c>
      <c r="J146" s="603">
        <v>30807</v>
      </c>
      <c r="K146" s="605">
        <v>30807</v>
      </c>
      <c r="L146" s="474">
        <v>37809</v>
      </c>
      <c r="M146" s="603">
        <v>51460</v>
      </c>
      <c r="N146" s="604">
        <v>51460</v>
      </c>
      <c r="O146" s="477">
        <v>42496</v>
      </c>
      <c r="P146" s="603">
        <v>33940</v>
      </c>
      <c r="Q146" s="605">
        <v>33940</v>
      </c>
      <c r="R146" s="474">
        <v>39996</v>
      </c>
      <c r="S146" s="603">
        <v>42716</v>
      </c>
      <c r="T146" s="604">
        <v>42716</v>
      </c>
      <c r="U146" s="477">
        <v>47036</v>
      </c>
      <c r="V146" s="603">
        <v>31853</v>
      </c>
      <c r="W146" s="605">
        <v>31853</v>
      </c>
      <c r="X146" s="474">
        <v>49036</v>
      </c>
      <c r="Y146" s="603">
        <v>41065</v>
      </c>
      <c r="Z146" s="604"/>
      <c r="AA146" s="477">
        <v>38036</v>
      </c>
      <c r="AB146" s="603">
        <v>44568</v>
      </c>
      <c r="AC146" s="605"/>
      <c r="AD146" s="474">
        <v>37496</v>
      </c>
      <c r="AE146" s="603">
        <v>47383</v>
      </c>
      <c r="AF146" s="604"/>
      <c r="AG146" s="477">
        <v>32951</v>
      </c>
      <c r="AH146" s="603">
        <v>44568</v>
      </c>
      <c r="AI146" s="605"/>
      <c r="AJ146" s="474">
        <v>28291</v>
      </c>
      <c r="AK146" s="603">
        <v>44568</v>
      </c>
      <c r="AL146" s="604"/>
      <c r="AM146" s="477">
        <v>27951</v>
      </c>
      <c r="AN146" s="603">
        <v>43169</v>
      </c>
      <c r="AO146" s="475"/>
    </row>
    <row r="147" spans="1:42" x14ac:dyDescent="0.2">
      <c r="A147" s="481" t="s">
        <v>658</v>
      </c>
      <c r="B147" s="482" t="s">
        <v>659</v>
      </c>
      <c r="C147" s="483">
        <f>SUM(F147,I147,L147,O147,R147,U147,X147,AA147,AD147,AG147,AJ147,AM147)</f>
        <v>3607</v>
      </c>
      <c r="D147" s="484">
        <f t="shared" si="111"/>
        <v>3607</v>
      </c>
      <c r="E147" s="485">
        <f t="shared" si="111"/>
        <v>0</v>
      </c>
      <c r="F147" s="487">
        <v>3607</v>
      </c>
      <c r="G147" s="606"/>
      <c r="H147" s="607"/>
      <c r="I147" s="487"/>
      <c r="J147" s="606"/>
      <c r="K147" s="608"/>
      <c r="L147" s="484"/>
      <c r="M147" s="606"/>
      <c r="N147" s="607"/>
      <c r="O147" s="487"/>
      <c r="P147" s="606"/>
      <c r="Q147" s="608"/>
      <c r="R147" s="484"/>
      <c r="S147" s="606"/>
      <c r="T147" s="607"/>
      <c r="U147" s="487"/>
      <c r="V147" s="606"/>
      <c r="W147" s="608"/>
      <c r="X147" s="484"/>
      <c r="Y147" s="606">
        <v>3607</v>
      </c>
      <c r="Z147" s="607"/>
      <c r="AA147" s="487"/>
      <c r="AB147" s="606"/>
      <c r="AC147" s="608"/>
      <c r="AD147" s="484"/>
      <c r="AE147" s="606"/>
      <c r="AF147" s="607"/>
      <c r="AG147" s="487"/>
      <c r="AH147" s="606"/>
      <c r="AI147" s="608"/>
      <c r="AJ147" s="484"/>
      <c r="AK147" s="606"/>
      <c r="AL147" s="607"/>
      <c r="AM147" s="487"/>
      <c r="AN147" s="606"/>
      <c r="AO147" s="485"/>
    </row>
    <row r="148" spans="1:42" x14ac:dyDescent="0.2">
      <c r="A148" s="471" t="s">
        <v>660</v>
      </c>
      <c r="B148" s="472" t="s">
        <v>661</v>
      </c>
      <c r="C148" s="473">
        <f>SUM(F148,I148,L148,O148,R148,U148,X148,AA148,AD148,AG148,AJ148,AM148)</f>
        <v>1059646</v>
      </c>
      <c r="D148" s="474">
        <f t="shared" si="111"/>
        <v>1043780</v>
      </c>
      <c r="E148" s="475">
        <f t="shared" si="111"/>
        <v>527011</v>
      </c>
      <c r="F148" s="474">
        <f>SUM(+F145,F146)</f>
        <v>87994</v>
      </c>
      <c r="G148" s="603">
        <f t="shared" ref="G148:H148" si="114">SUM(G145,G146)</f>
        <v>81616</v>
      </c>
      <c r="H148" s="604">
        <f t="shared" si="114"/>
        <v>81616</v>
      </c>
      <c r="I148" s="477">
        <f>SUM(I145,I146)</f>
        <v>92494</v>
      </c>
      <c r="J148" s="603">
        <f t="shared" ref="J148:AO148" si="115">SUM(J145,J146)</f>
        <v>71397</v>
      </c>
      <c r="K148" s="605">
        <f t="shared" si="115"/>
        <v>71417</v>
      </c>
      <c r="L148" s="474">
        <f t="shared" si="115"/>
        <v>89994</v>
      </c>
      <c r="M148" s="603">
        <f t="shared" si="115"/>
        <v>109174</v>
      </c>
      <c r="N148" s="604">
        <f t="shared" si="115"/>
        <v>109224</v>
      </c>
      <c r="O148" s="477">
        <f t="shared" si="115"/>
        <v>92036</v>
      </c>
      <c r="P148" s="603">
        <f t="shared" si="115"/>
        <v>76935</v>
      </c>
      <c r="Q148" s="605">
        <f t="shared" si="115"/>
        <v>76955</v>
      </c>
      <c r="R148" s="474">
        <f t="shared" si="115"/>
        <v>89536</v>
      </c>
      <c r="S148" s="603">
        <f t="shared" si="115"/>
        <v>93448</v>
      </c>
      <c r="T148" s="604">
        <f t="shared" si="115"/>
        <v>93488</v>
      </c>
      <c r="U148" s="477">
        <f t="shared" si="115"/>
        <v>87036</v>
      </c>
      <c r="V148" s="603">
        <f t="shared" si="115"/>
        <v>94251</v>
      </c>
      <c r="W148" s="605">
        <f t="shared" si="115"/>
        <v>94311</v>
      </c>
      <c r="X148" s="474">
        <f t="shared" si="115"/>
        <v>84036</v>
      </c>
      <c r="Y148" s="603">
        <f t="shared" si="115"/>
        <v>83578</v>
      </c>
      <c r="Z148" s="604">
        <f t="shared" si="115"/>
        <v>0</v>
      </c>
      <c r="AA148" s="477">
        <f t="shared" si="115"/>
        <v>83036</v>
      </c>
      <c r="AB148" s="603">
        <f t="shared" si="115"/>
        <v>86393</v>
      </c>
      <c r="AC148" s="605">
        <f t="shared" si="115"/>
        <v>0</v>
      </c>
      <c r="AD148" s="474">
        <f t="shared" si="115"/>
        <v>87036</v>
      </c>
      <c r="AE148" s="603">
        <f t="shared" si="115"/>
        <v>89208</v>
      </c>
      <c r="AF148" s="604">
        <f t="shared" si="115"/>
        <v>0</v>
      </c>
      <c r="AG148" s="477">
        <f t="shared" si="115"/>
        <v>92036</v>
      </c>
      <c r="AH148" s="603">
        <f t="shared" si="115"/>
        <v>86393</v>
      </c>
      <c r="AI148" s="605">
        <f t="shared" si="115"/>
        <v>0</v>
      </c>
      <c r="AJ148" s="474">
        <f t="shared" si="115"/>
        <v>87376</v>
      </c>
      <c r="AK148" s="603">
        <f t="shared" si="115"/>
        <v>86393</v>
      </c>
      <c r="AL148" s="604">
        <f t="shared" si="115"/>
        <v>0</v>
      </c>
      <c r="AM148" s="477">
        <f t="shared" si="115"/>
        <v>87036</v>
      </c>
      <c r="AN148" s="603">
        <f t="shared" si="115"/>
        <v>84994</v>
      </c>
      <c r="AO148" s="475">
        <f t="shared" si="115"/>
        <v>0</v>
      </c>
    </row>
    <row r="149" spans="1:42" x14ac:dyDescent="0.2">
      <c r="A149" s="466" t="s">
        <v>648</v>
      </c>
      <c r="B149" s="467" t="s">
        <v>662</v>
      </c>
      <c r="C149" s="468">
        <f t="shared" ref="C149:C153" si="116">SUM(F149,I149,L149,O149,R149,U149,X149,AA149,AD149,AG149,AJ149,AM149)</f>
        <v>0</v>
      </c>
      <c r="D149" s="469">
        <f t="shared" si="111"/>
        <v>0</v>
      </c>
      <c r="E149" s="470">
        <f t="shared" si="111"/>
        <v>0</v>
      </c>
      <c r="F149" s="469"/>
      <c r="G149" s="598"/>
      <c r="H149" s="599"/>
      <c r="I149" s="549"/>
      <c r="J149" s="598"/>
      <c r="K149" s="600"/>
      <c r="L149" s="469"/>
      <c r="M149" s="598"/>
      <c r="N149" s="599"/>
      <c r="O149" s="549"/>
      <c r="P149" s="598"/>
      <c r="Q149" s="600"/>
      <c r="R149" s="469"/>
      <c r="S149" s="598"/>
      <c r="T149" s="599"/>
      <c r="U149" s="549"/>
      <c r="V149" s="598"/>
      <c r="W149" s="600"/>
      <c r="X149" s="469"/>
      <c r="Y149" s="598"/>
      <c r="Z149" s="599"/>
      <c r="AA149" s="549"/>
      <c r="AB149" s="598"/>
      <c r="AC149" s="600"/>
      <c r="AD149" s="469"/>
      <c r="AE149" s="598"/>
      <c r="AF149" s="599"/>
      <c r="AG149" s="549"/>
      <c r="AH149" s="598"/>
      <c r="AI149" s="600"/>
      <c r="AJ149" s="469"/>
      <c r="AK149" s="598"/>
      <c r="AL149" s="599"/>
      <c r="AM149" s="549"/>
      <c r="AN149" s="598"/>
      <c r="AO149" s="470"/>
    </row>
    <row r="150" spans="1:42" x14ac:dyDescent="0.2">
      <c r="A150" s="491" t="s">
        <v>663</v>
      </c>
      <c r="B150" s="492" t="s">
        <v>664</v>
      </c>
      <c r="C150" s="468">
        <f t="shared" si="116"/>
        <v>0</v>
      </c>
      <c r="D150" s="469">
        <f t="shared" si="111"/>
        <v>0</v>
      </c>
      <c r="E150" s="470">
        <f t="shared" si="111"/>
        <v>0</v>
      </c>
      <c r="F150" s="630"/>
      <c r="G150" s="598"/>
      <c r="H150" s="599"/>
      <c r="I150" s="631"/>
      <c r="J150" s="598"/>
      <c r="K150" s="600"/>
      <c r="L150" s="630"/>
      <c r="M150" s="598"/>
      <c r="N150" s="599"/>
      <c r="O150" s="631"/>
      <c r="P150" s="598"/>
      <c r="Q150" s="600"/>
      <c r="R150" s="630"/>
      <c r="S150" s="598"/>
      <c r="T150" s="599"/>
      <c r="U150" s="631"/>
      <c r="V150" s="598"/>
      <c r="W150" s="600"/>
      <c r="X150" s="630"/>
      <c r="Y150" s="598"/>
      <c r="Z150" s="599"/>
      <c r="AA150" s="631"/>
      <c r="AB150" s="598"/>
      <c r="AC150" s="600"/>
      <c r="AD150" s="630"/>
      <c r="AE150" s="598"/>
      <c r="AF150" s="599"/>
      <c r="AG150" s="631"/>
      <c r="AH150" s="598"/>
      <c r="AI150" s="600"/>
      <c r="AJ150" s="630"/>
      <c r="AK150" s="598"/>
      <c r="AL150" s="599"/>
      <c r="AM150" s="631"/>
      <c r="AN150" s="598"/>
      <c r="AO150" s="470"/>
    </row>
    <row r="151" spans="1:42" x14ac:dyDescent="0.2">
      <c r="A151" s="491" t="s">
        <v>665</v>
      </c>
      <c r="B151" s="492" t="s">
        <v>666</v>
      </c>
      <c r="C151" s="468">
        <f t="shared" si="116"/>
        <v>0</v>
      </c>
      <c r="D151" s="469">
        <f t="shared" si="111"/>
        <v>0</v>
      </c>
      <c r="E151" s="470">
        <f t="shared" si="111"/>
        <v>0</v>
      </c>
      <c r="F151" s="630"/>
      <c r="G151" s="598"/>
      <c r="H151" s="599"/>
      <c r="I151" s="631"/>
      <c r="J151" s="598"/>
      <c r="K151" s="600"/>
      <c r="L151" s="630"/>
      <c r="M151" s="598"/>
      <c r="N151" s="599"/>
      <c r="O151" s="631"/>
      <c r="P151" s="598"/>
      <c r="Q151" s="600"/>
      <c r="R151" s="630"/>
      <c r="S151" s="598"/>
      <c r="T151" s="599"/>
      <c r="U151" s="631"/>
      <c r="V151" s="598"/>
      <c r="W151" s="600"/>
      <c r="X151" s="630"/>
      <c r="Y151" s="598"/>
      <c r="Z151" s="599"/>
      <c r="AA151" s="631"/>
      <c r="AB151" s="598"/>
      <c r="AC151" s="600"/>
      <c r="AD151" s="630"/>
      <c r="AE151" s="598"/>
      <c r="AF151" s="599"/>
      <c r="AG151" s="631"/>
      <c r="AH151" s="598"/>
      <c r="AI151" s="600"/>
      <c r="AJ151" s="630"/>
      <c r="AK151" s="598"/>
      <c r="AL151" s="599"/>
      <c r="AM151" s="631"/>
      <c r="AN151" s="598"/>
      <c r="AO151" s="470"/>
    </row>
    <row r="152" spans="1:42" x14ac:dyDescent="0.2">
      <c r="A152" s="471" t="s">
        <v>667</v>
      </c>
      <c r="B152" s="472" t="s">
        <v>668</v>
      </c>
      <c r="C152" s="473">
        <f t="shared" si="116"/>
        <v>0</v>
      </c>
      <c r="D152" s="474">
        <f t="shared" si="111"/>
        <v>0</v>
      </c>
      <c r="E152" s="475">
        <f t="shared" si="111"/>
        <v>0</v>
      </c>
      <c r="F152" s="473">
        <f>SUM(F149:F151)</f>
        <v>0</v>
      </c>
      <c r="G152" s="603">
        <f t="shared" ref="G152:AO152" si="117">SUM(G149:G151)</f>
        <v>0</v>
      </c>
      <c r="H152" s="604">
        <f t="shared" si="117"/>
        <v>0</v>
      </c>
      <c r="I152" s="477">
        <f t="shared" si="117"/>
        <v>0</v>
      </c>
      <c r="J152" s="603">
        <f t="shared" si="117"/>
        <v>0</v>
      </c>
      <c r="K152" s="605">
        <f t="shared" si="117"/>
        <v>0</v>
      </c>
      <c r="L152" s="474">
        <f t="shared" si="117"/>
        <v>0</v>
      </c>
      <c r="M152" s="603">
        <f t="shared" si="117"/>
        <v>0</v>
      </c>
      <c r="N152" s="604">
        <f t="shared" si="117"/>
        <v>0</v>
      </c>
      <c r="O152" s="477">
        <f t="shared" si="117"/>
        <v>0</v>
      </c>
      <c r="P152" s="603">
        <f t="shared" si="117"/>
        <v>0</v>
      </c>
      <c r="Q152" s="605">
        <f t="shared" si="117"/>
        <v>0</v>
      </c>
      <c r="R152" s="474">
        <f t="shared" si="117"/>
        <v>0</v>
      </c>
      <c r="S152" s="603">
        <f t="shared" si="117"/>
        <v>0</v>
      </c>
      <c r="T152" s="604">
        <f t="shared" si="117"/>
        <v>0</v>
      </c>
      <c r="U152" s="477">
        <f t="shared" si="117"/>
        <v>0</v>
      </c>
      <c r="V152" s="603">
        <f t="shared" si="117"/>
        <v>0</v>
      </c>
      <c r="W152" s="605">
        <f t="shared" si="117"/>
        <v>0</v>
      </c>
      <c r="X152" s="474">
        <f t="shared" si="117"/>
        <v>0</v>
      </c>
      <c r="Y152" s="603">
        <f t="shared" si="117"/>
        <v>0</v>
      </c>
      <c r="Z152" s="604">
        <f t="shared" si="117"/>
        <v>0</v>
      </c>
      <c r="AA152" s="477">
        <f t="shared" si="117"/>
        <v>0</v>
      </c>
      <c r="AB152" s="603">
        <f t="shared" si="117"/>
        <v>0</v>
      </c>
      <c r="AC152" s="605">
        <f t="shared" si="117"/>
        <v>0</v>
      </c>
      <c r="AD152" s="474">
        <f t="shared" si="117"/>
        <v>0</v>
      </c>
      <c r="AE152" s="603">
        <f t="shared" si="117"/>
        <v>0</v>
      </c>
      <c r="AF152" s="604">
        <f t="shared" si="117"/>
        <v>0</v>
      </c>
      <c r="AG152" s="477">
        <f t="shared" si="117"/>
        <v>0</v>
      </c>
      <c r="AH152" s="603">
        <f t="shared" si="117"/>
        <v>0</v>
      </c>
      <c r="AI152" s="605">
        <f t="shared" si="117"/>
        <v>0</v>
      </c>
      <c r="AJ152" s="474">
        <f t="shared" si="117"/>
        <v>0</v>
      </c>
      <c r="AK152" s="603">
        <f t="shared" si="117"/>
        <v>0</v>
      </c>
      <c r="AL152" s="604">
        <f t="shared" si="117"/>
        <v>0</v>
      </c>
      <c r="AM152" s="477">
        <f t="shared" si="117"/>
        <v>0</v>
      </c>
      <c r="AN152" s="603">
        <f t="shared" si="117"/>
        <v>0</v>
      </c>
      <c r="AO152" s="475">
        <f t="shared" si="117"/>
        <v>0</v>
      </c>
    </row>
    <row r="153" spans="1:42" x14ac:dyDescent="0.2">
      <c r="A153" s="493" t="s">
        <v>669</v>
      </c>
      <c r="B153" s="494" t="s">
        <v>657</v>
      </c>
      <c r="C153" s="473">
        <f t="shared" si="116"/>
        <v>52027</v>
      </c>
      <c r="D153" s="474">
        <f t="shared" si="111"/>
        <v>61427</v>
      </c>
      <c r="E153" s="475">
        <f t="shared" si="111"/>
        <v>47845</v>
      </c>
      <c r="F153" s="632">
        <f>+F173</f>
        <v>7151</v>
      </c>
      <c r="G153" s="603">
        <v>4536</v>
      </c>
      <c r="H153" s="604">
        <v>4536</v>
      </c>
      <c r="I153" s="497">
        <f t="shared" ref="I153:AM153" si="118">+I173</f>
        <v>3731</v>
      </c>
      <c r="J153" s="603">
        <v>4190</v>
      </c>
      <c r="K153" s="605">
        <v>4190</v>
      </c>
      <c r="L153" s="495">
        <f t="shared" si="118"/>
        <v>4907</v>
      </c>
      <c r="M153" s="603">
        <v>6314</v>
      </c>
      <c r="N153" s="604">
        <v>6314</v>
      </c>
      <c r="O153" s="497">
        <f t="shared" si="118"/>
        <v>6788</v>
      </c>
      <c r="P153" s="603">
        <v>22679</v>
      </c>
      <c r="Q153" s="605">
        <v>22679</v>
      </c>
      <c r="R153" s="495">
        <f t="shared" si="118"/>
        <v>2865</v>
      </c>
      <c r="S153" s="603">
        <v>2167</v>
      </c>
      <c r="T153" s="604">
        <v>2167</v>
      </c>
      <c r="U153" s="497">
        <f t="shared" si="118"/>
        <v>4910</v>
      </c>
      <c r="V153" s="603">
        <v>7959</v>
      </c>
      <c r="W153" s="605">
        <v>7959</v>
      </c>
      <c r="X153" s="495">
        <f t="shared" si="118"/>
        <v>10287</v>
      </c>
      <c r="Y153" s="603">
        <v>5315</v>
      </c>
      <c r="Z153" s="604"/>
      <c r="AA153" s="497">
        <f t="shared" si="118"/>
        <v>9017</v>
      </c>
      <c r="AB153" s="603">
        <v>2500</v>
      </c>
      <c r="AC153" s="605"/>
      <c r="AD153" s="495">
        <f t="shared" si="118"/>
        <v>1377</v>
      </c>
      <c r="AE153" s="603">
        <v>2500</v>
      </c>
      <c r="AF153" s="604"/>
      <c r="AG153" s="497">
        <f t="shared" si="118"/>
        <v>458</v>
      </c>
      <c r="AH153" s="603">
        <v>2500</v>
      </c>
      <c r="AI153" s="605"/>
      <c r="AJ153" s="495">
        <f t="shared" si="118"/>
        <v>536</v>
      </c>
      <c r="AK153" s="603">
        <v>767</v>
      </c>
      <c r="AL153" s="604"/>
      <c r="AM153" s="477">
        <f t="shared" si="118"/>
        <v>0</v>
      </c>
      <c r="AN153" s="603"/>
      <c r="AO153" s="475"/>
    </row>
    <row r="154" spans="1:42" x14ac:dyDescent="0.2">
      <c r="A154" s="481" t="s">
        <v>658</v>
      </c>
      <c r="B154" s="482" t="s">
        <v>659</v>
      </c>
      <c r="C154" s="483">
        <f>SUM(F154,I154,L154,O154,R154,U154,X154,AA154,AD154,AG154,AJ154,AM154)</f>
        <v>0</v>
      </c>
      <c r="D154" s="484">
        <f t="shared" si="111"/>
        <v>0</v>
      </c>
      <c r="E154" s="485">
        <f t="shared" si="111"/>
        <v>0</v>
      </c>
      <c r="F154" s="460"/>
      <c r="G154" s="598"/>
      <c r="H154" s="599"/>
      <c r="I154" s="463"/>
      <c r="J154" s="598"/>
      <c r="K154" s="600"/>
      <c r="L154" s="460"/>
      <c r="M154" s="598"/>
      <c r="N154" s="599"/>
      <c r="O154" s="463"/>
      <c r="P154" s="598"/>
      <c r="Q154" s="600"/>
      <c r="R154" s="460"/>
      <c r="S154" s="598"/>
      <c r="T154" s="599"/>
      <c r="U154" s="463"/>
      <c r="V154" s="598"/>
      <c r="W154" s="600"/>
      <c r="X154" s="460"/>
      <c r="Y154" s="598"/>
      <c r="Z154" s="599"/>
      <c r="AA154" s="463"/>
      <c r="AB154" s="598"/>
      <c r="AC154" s="600"/>
      <c r="AD154" s="460"/>
      <c r="AE154" s="598"/>
      <c r="AF154" s="599"/>
      <c r="AG154" s="463"/>
      <c r="AH154" s="598"/>
      <c r="AI154" s="600"/>
      <c r="AJ154" s="460"/>
      <c r="AK154" s="598"/>
      <c r="AL154" s="599"/>
      <c r="AM154" s="463"/>
      <c r="AN154" s="598"/>
      <c r="AO154" s="470"/>
    </row>
    <row r="155" spans="1:42" s="480" customFormat="1" ht="15.75" thickBot="1" x14ac:dyDescent="0.25">
      <c r="A155" s="505" t="s">
        <v>670</v>
      </c>
      <c r="B155" s="506" t="s">
        <v>671</v>
      </c>
      <c r="C155" s="507">
        <f>SUM(F155,I155,L155,O155,R155,U155,X155,AA155,AD155,AG155,AJ155,AM155)</f>
        <v>52027</v>
      </c>
      <c r="D155" s="508">
        <f t="shared" si="111"/>
        <v>61427</v>
      </c>
      <c r="E155" s="509">
        <f t="shared" si="111"/>
        <v>47845</v>
      </c>
      <c r="F155" s="557">
        <f>SUM(F152,F153)</f>
        <v>7151</v>
      </c>
      <c r="G155" s="610">
        <f t="shared" ref="G155:H155" si="119">SUM(G152,G153)</f>
        <v>4536</v>
      </c>
      <c r="H155" s="611">
        <f t="shared" si="119"/>
        <v>4536</v>
      </c>
      <c r="I155" s="512">
        <f>SUM(I152,I153)</f>
        <v>3731</v>
      </c>
      <c r="J155" s="610">
        <f t="shared" ref="J155:AO155" si="120">SUM(J152,J153)</f>
        <v>4190</v>
      </c>
      <c r="K155" s="612">
        <f t="shared" si="120"/>
        <v>4190</v>
      </c>
      <c r="L155" s="510">
        <f t="shared" si="120"/>
        <v>4907</v>
      </c>
      <c r="M155" s="610">
        <f t="shared" si="120"/>
        <v>6314</v>
      </c>
      <c r="N155" s="611">
        <f t="shared" si="120"/>
        <v>6314</v>
      </c>
      <c r="O155" s="512">
        <f t="shared" si="120"/>
        <v>6788</v>
      </c>
      <c r="P155" s="610">
        <f t="shared" si="120"/>
        <v>22679</v>
      </c>
      <c r="Q155" s="612">
        <f t="shared" si="120"/>
        <v>22679</v>
      </c>
      <c r="R155" s="510">
        <f t="shared" si="120"/>
        <v>2865</v>
      </c>
      <c r="S155" s="610">
        <f t="shared" si="120"/>
        <v>2167</v>
      </c>
      <c r="T155" s="611">
        <f t="shared" si="120"/>
        <v>2167</v>
      </c>
      <c r="U155" s="512">
        <f t="shared" si="120"/>
        <v>4910</v>
      </c>
      <c r="V155" s="610">
        <f t="shared" si="120"/>
        <v>7959</v>
      </c>
      <c r="W155" s="612">
        <f t="shared" si="120"/>
        <v>7959</v>
      </c>
      <c r="X155" s="510">
        <f t="shared" si="120"/>
        <v>10287</v>
      </c>
      <c r="Y155" s="610">
        <f t="shared" si="120"/>
        <v>5315</v>
      </c>
      <c r="Z155" s="611">
        <f t="shared" si="120"/>
        <v>0</v>
      </c>
      <c r="AA155" s="512">
        <f t="shared" si="120"/>
        <v>9017</v>
      </c>
      <c r="AB155" s="610">
        <f t="shared" si="120"/>
        <v>2500</v>
      </c>
      <c r="AC155" s="612">
        <f t="shared" si="120"/>
        <v>0</v>
      </c>
      <c r="AD155" s="510">
        <f t="shared" si="120"/>
        <v>1377</v>
      </c>
      <c r="AE155" s="610">
        <f t="shared" si="120"/>
        <v>2500</v>
      </c>
      <c r="AF155" s="611">
        <f t="shared" si="120"/>
        <v>0</v>
      </c>
      <c r="AG155" s="512">
        <f t="shared" si="120"/>
        <v>458</v>
      </c>
      <c r="AH155" s="610">
        <f t="shared" si="120"/>
        <v>2500</v>
      </c>
      <c r="AI155" s="612">
        <f t="shared" si="120"/>
        <v>0</v>
      </c>
      <c r="AJ155" s="510">
        <f t="shared" si="120"/>
        <v>536</v>
      </c>
      <c r="AK155" s="610">
        <f t="shared" si="120"/>
        <v>767</v>
      </c>
      <c r="AL155" s="611">
        <f t="shared" si="120"/>
        <v>0</v>
      </c>
      <c r="AM155" s="514">
        <f t="shared" si="120"/>
        <v>0</v>
      </c>
      <c r="AN155" s="610">
        <f t="shared" si="120"/>
        <v>0</v>
      </c>
      <c r="AO155" s="509">
        <f t="shared" si="120"/>
        <v>0</v>
      </c>
      <c r="AP155" s="479"/>
    </row>
    <row r="156" spans="1:42" ht="15" thickBot="1" x14ac:dyDescent="0.25">
      <c r="A156" s="515" t="s">
        <v>672</v>
      </c>
      <c r="B156" s="516" t="s">
        <v>673</v>
      </c>
      <c r="C156" s="632">
        <f>SUM(F156,I156,L156,O156,R156,U156,X156,AA156,AD156,AG156,AJ156,AM156)</f>
        <v>1111673</v>
      </c>
      <c r="D156" s="633">
        <f>SUM(G156,J156,M156,P156,S156,V156,Y156,AB156,AE156,AH156,AK156,AN156)</f>
        <v>1105207</v>
      </c>
      <c r="E156" s="634">
        <f t="shared" si="111"/>
        <v>574856</v>
      </c>
      <c r="F156" s="520">
        <f>SUM(F155,F148)</f>
        <v>95145</v>
      </c>
      <c r="G156" s="520">
        <f t="shared" ref="G156:H156" si="121">SUM(G155,G148)</f>
        <v>86152</v>
      </c>
      <c r="H156" s="521">
        <f t="shared" si="121"/>
        <v>86152</v>
      </c>
      <c r="I156" s="522">
        <f t="shared" ref="I156:AM156" si="122">SUM(I148,I155)</f>
        <v>96225</v>
      </c>
      <c r="J156" s="520">
        <f t="shared" ref="J156:K156" si="123">SUM(J155,J148)</f>
        <v>75587</v>
      </c>
      <c r="K156" s="523">
        <f t="shared" si="123"/>
        <v>75607</v>
      </c>
      <c r="L156" s="520">
        <f t="shared" si="122"/>
        <v>94901</v>
      </c>
      <c r="M156" s="520">
        <f t="shared" ref="M156:N156" si="124">SUM(M155,M148)</f>
        <v>115488</v>
      </c>
      <c r="N156" s="521">
        <f t="shared" si="124"/>
        <v>115538</v>
      </c>
      <c r="O156" s="522">
        <f t="shared" si="122"/>
        <v>98824</v>
      </c>
      <c r="P156" s="520">
        <f t="shared" ref="P156:Q156" si="125">SUM(P155,P148)</f>
        <v>99614</v>
      </c>
      <c r="Q156" s="523">
        <f t="shared" si="125"/>
        <v>99634</v>
      </c>
      <c r="R156" s="520">
        <f t="shared" si="122"/>
        <v>92401</v>
      </c>
      <c r="S156" s="520">
        <f t="shared" ref="S156:T156" si="126">SUM(S155,S148)</f>
        <v>95615</v>
      </c>
      <c r="T156" s="521">
        <f t="shared" si="126"/>
        <v>95655</v>
      </c>
      <c r="U156" s="522">
        <f t="shared" si="122"/>
        <v>91946</v>
      </c>
      <c r="V156" s="520">
        <f t="shared" ref="V156:W156" si="127">SUM(V155,V148)</f>
        <v>102210</v>
      </c>
      <c r="W156" s="523">
        <f t="shared" si="127"/>
        <v>102270</v>
      </c>
      <c r="X156" s="520">
        <f t="shared" si="122"/>
        <v>94323</v>
      </c>
      <c r="Y156" s="520">
        <f t="shared" ref="Y156:Z156" si="128">SUM(Y155,Y148)</f>
        <v>88893</v>
      </c>
      <c r="Z156" s="521">
        <f t="shared" si="128"/>
        <v>0</v>
      </c>
      <c r="AA156" s="522">
        <f t="shared" si="122"/>
        <v>92053</v>
      </c>
      <c r="AB156" s="520">
        <f t="shared" ref="AB156:AC156" si="129">SUM(AB155,AB148)</f>
        <v>88893</v>
      </c>
      <c r="AC156" s="523">
        <f t="shared" si="129"/>
        <v>0</v>
      </c>
      <c r="AD156" s="520">
        <f t="shared" si="122"/>
        <v>88413</v>
      </c>
      <c r="AE156" s="520">
        <f t="shared" ref="AE156:AF156" si="130">SUM(AE155,AE148)</f>
        <v>91708</v>
      </c>
      <c r="AF156" s="521">
        <f t="shared" si="130"/>
        <v>0</v>
      </c>
      <c r="AG156" s="522">
        <f t="shared" si="122"/>
        <v>92494</v>
      </c>
      <c r="AH156" s="520">
        <f t="shared" ref="AH156:AI156" si="131">SUM(AH155,AH148)</f>
        <v>88893</v>
      </c>
      <c r="AI156" s="523">
        <f t="shared" si="131"/>
        <v>0</v>
      </c>
      <c r="AJ156" s="520">
        <f t="shared" si="122"/>
        <v>87912</v>
      </c>
      <c r="AK156" s="520">
        <f t="shared" ref="AK156:AL156" si="132">SUM(AK155,AK148)</f>
        <v>87160</v>
      </c>
      <c r="AL156" s="521">
        <f t="shared" si="132"/>
        <v>0</v>
      </c>
      <c r="AM156" s="522">
        <f t="shared" si="122"/>
        <v>87036</v>
      </c>
      <c r="AN156" s="635">
        <f t="shared" ref="AN156:AO156" si="133">SUM(AN155,AN148)</f>
        <v>84994</v>
      </c>
      <c r="AO156" s="563">
        <f t="shared" si="133"/>
        <v>0</v>
      </c>
    </row>
    <row r="157" spans="1:42" ht="15" thickBot="1" x14ac:dyDescent="0.25">
      <c r="A157" s="526"/>
      <c r="B157" s="527" t="s">
        <v>1332</v>
      </c>
      <c r="C157" s="528"/>
      <c r="D157" s="529"/>
      <c r="E157" s="519">
        <f t="shared" ref="E157:E158" si="134">SUM(H157,K157,N157,Q157,T157,W157,Z157,AC157,AF157,AI157,AL157,AO157)</f>
        <v>10231</v>
      </c>
      <c r="F157" s="530"/>
      <c r="G157" s="530"/>
      <c r="H157" s="536">
        <v>3607</v>
      </c>
      <c r="I157" s="531"/>
      <c r="J157" s="530"/>
      <c r="K157" s="537"/>
      <c r="L157" s="530"/>
      <c r="M157" s="530"/>
      <c r="N157" s="536"/>
      <c r="O157" s="531"/>
      <c r="P157" s="530"/>
      <c r="Q157" s="537"/>
      <c r="R157" s="530"/>
      <c r="S157" s="530"/>
      <c r="T157" s="536"/>
      <c r="U157" s="531"/>
      <c r="V157" s="530"/>
      <c r="W157" s="537">
        <v>6624</v>
      </c>
      <c r="X157" s="530"/>
      <c r="Y157" s="530"/>
      <c r="Z157" s="536"/>
      <c r="AA157" s="531"/>
      <c r="AB157" s="530"/>
      <c r="AC157" s="537"/>
      <c r="AD157" s="530"/>
      <c r="AE157" s="530"/>
      <c r="AF157" s="536"/>
      <c r="AG157" s="531"/>
      <c r="AH157" s="530"/>
      <c r="AI157" s="537"/>
      <c r="AJ157" s="530"/>
      <c r="AK157" s="532"/>
      <c r="AL157" s="536"/>
      <c r="AM157" s="531"/>
      <c r="AN157" s="532"/>
      <c r="AO157" s="613"/>
    </row>
    <row r="158" spans="1:42" ht="15" thickBot="1" x14ac:dyDescent="0.25">
      <c r="A158" s="526"/>
      <c r="B158" s="527" t="s">
        <v>1333</v>
      </c>
      <c r="C158" s="534"/>
      <c r="D158" s="535"/>
      <c r="E158" s="519">
        <f t="shared" si="134"/>
        <v>585087</v>
      </c>
      <c r="F158" s="530"/>
      <c r="G158" s="530"/>
      <c r="H158" s="536">
        <f>SUM(H156:H157)</f>
        <v>89759</v>
      </c>
      <c r="I158" s="531"/>
      <c r="J158" s="530"/>
      <c r="K158" s="537">
        <f>SUM(K156:K157)</f>
        <v>75607</v>
      </c>
      <c r="L158" s="530"/>
      <c r="M158" s="530"/>
      <c r="N158" s="536">
        <f>SUM(N156:N157)</f>
        <v>115538</v>
      </c>
      <c r="O158" s="531"/>
      <c r="P158" s="530"/>
      <c r="Q158" s="537">
        <f>SUM(Q156:Q157)</f>
        <v>99634</v>
      </c>
      <c r="R158" s="530"/>
      <c r="S158" s="530"/>
      <c r="T158" s="536">
        <f>SUM(T156:T157)</f>
        <v>95655</v>
      </c>
      <c r="U158" s="531"/>
      <c r="V158" s="530"/>
      <c r="W158" s="537">
        <f>SUM(W156:W157)</f>
        <v>108894</v>
      </c>
      <c r="X158" s="530"/>
      <c r="Y158" s="530"/>
      <c r="Z158" s="536">
        <f>SUM(Z156:Z157)</f>
        <v>0</v>
      </c>
      <c r="AA158" s="531"/>
      <c r="AB158" s="530"/>
      <c r="AC158" s="537">
        <f>SUM(AC156:AC157)</f>
        <v>0</v>
      </c>
      <c r="AD158" s="530"/>
      <c r="AE158" s="530"/>
      <c r="AF158" s="536">
        <f>SUM(AF156:AF157)</f>
        <v>0</v>
      </c>
      <c r="AG158" s="531"/>
      <c r="AH158" s="530"/>
      <c r="AI158" s="537">
        <f>SUM(AI156:AI157)</f>
        <v>0</v>
      </c>
      <c r="AJ158" s="530"/>
      <c r="AK158" s="532"/>
      <c r="AL158" s="536">
        <f>SUM(AL156:AL157)</f>
        <v>0</v>
      </c>
      <c r="AM158" s="531"/>
      <c r="AN158" s="532"/>
      <c r="AO158" s="524">
        <f>SUM(AO156:AO157)</f>
        <v>0</v>
      </c>
    </row>
    <row r="159" spans="1:42" x14ac:dyDescent="0.2">
      <c r="A159" s="538"/>
      <c r="B159" s="539" t="s">
        <v>674</v>
      </c>
      <c r="C159" s="614" t="s">
        <v>633</v>
      </c>
      <c r="D159" s="615" t="s">
        <v>1326</v>
      </c>
      <c r="E159" s="616" t="s">
        <v>1327</v>
      </c>
      <c r="F159" s="617"/>
      <c r="G159" s="617"/>
      <c r="H159" s="618"/>
      <c r="I159" s="619"/>
      <c r="J159" s="617"/>
      <c r="K159" s="636"/>
      <c r="L159" s="617"/>
      <c r="M159" s="617"/>
      <c r="N159" s="618"/>
      <c r="O159" s="619"/>
      <c r="P159" s="617"/>
      <c r="Q159" s="636"/>
      <c r="R159" s="617"/>
      <c r="S159" s="617"/>
      <c r="T159" s="618"/>
      <c r="U159" s="619"/>
      <c r="V159" s="617"/>
      <c r="W159" s="636"/>
      <c r="X159" s="617"/>
      <c r="Y159" s="617"/>
      <c r="Z159" s="618"/>
      <c r="AA159" s="619"/>
      <c r="AB159" s="617"/>
      <c r="AC159" s="636"/>
      <c r="AD159" s="617"/>
      <c r="AE159" s="617"/>
      <c r="AF159" s="618"/>
      <c r="AG159" s="619"/>
      <c r="AH159" s="617"/>
      <c r="AI159" s="636"/>
      <c r="AJ159" s="617"/>
      <c r="AK159" s="617"/>
      <c r="AL159" s="618"/>
      <c r="AM159" s="619"/>
      <c r="AN159" s="620"/>
      <c r="AO159" s="637"/>
    </row>
    <row r="160" spans="1:42" x14ac:dyDescent="0.2">
      <c r="A160" s="457" t="s">
        <v>675</v>
      </c>
      <c r="B160" s="458" t="s">
        <v>676</v>
      </c>
      <c r="C160" s="468">
        <f t="shared" ref="C160:E176" si="135">SUM(F160,I160,L160,O160,R160,U160,X160,AA160,AD160,AG160,AJ160,AM160)</f>
        <v>427218</v>
      </c>
      <c r="D160" s="543">
        <f t="shared" si="135"/>
        <v>429924</v>
      </c>
      <c r="E160" s="465">
        <f t="shared" si="135"/>
        <v>215394</v>
      </c>
      <c r="F160" s="469">
        <f>2302+35026</f>
        <v>37328</v>
      </c>
      <c r="G160" s="592">
        <f>43951-7565</f>
        <v>36386</v>
      </c>
      <c r="H160" s="593">
        <v>43951</v>
      </c>
      <c r="I160" s="549">
        <f>2302+35026</f>
        <v>37328</v>
      </c>
      <c r="J160" s="592">
        <f>27982+306</f>
        <v>28288</v>
      </c>
      <c r="K160" s="595">
        <v>27983</v>
      </c>
      <c r="L160" s="469">
        <f>2302+35026</f>
        <v>37328</v>
      </c>
      <c r="M160" s="592">
        <f>34665+13506</f>
        <v>48171</v>
      </c>
      <c r="N160" s="593">
        <v>34665</v>
      </c>
      <c r="O160" s="549">
        <v>35026</v>
      </c>
      <c r="P160" s="592">
        <f>40778-15501</f>
        <v>25277</v>
      </c>
      <c r="Q160" s="595">
        <v>40779</v>
      </c>
      <c r="R160" s="469">
        <v>35026</v>
      </c>
      <c r="S160" s="592">
        <f>34454+4287</f>
        <v>38741</v>
      </c>
      <c r="T160" s="593">
        <v>34454</v>
      </c>
      <c r="U160" s="549">
        <v>35026</v>
      </c>
      <c r="V160" s="592">
        <f>33562+6376</f>
        <v>39938</v>
      </c>
      <c r="W160" s="595">
        <v>33562</v>
      </c>
      <c r="X160" s="469">
        <v>35026</v>
      </c>
      <c r="Y160" s="592">
        <v>35755</v>
      </c>
      <c r="Z160" s="593"/>
      <c r="AA160" s="549">
        <v>35026</v>
      </c>
      <c r="AB160" s="592">
        <v>35755</v>
      </c>
      <c r="AC160" s="595"/>
      <c r="AD160" s="469">
        <v>35026</v>
      </c>
      <c r="AE160" s="592">
        <v>35755</v>
      </c>
      <c r="AF160" s="593"/>
      <c r="AG160" s="549">
        <v>35026</v>
      </c>
      <c r="AH160" s="592">
        <v>35755</v>
      </c>
      <c r="AI160" s="595"/>
      <c r="AJ160" s="469">
        <v>35026</v>
      </c>
      <c r="AK160" s="592">
        <v>35755</v>
      </c>
      <c r="AL160" s="593"/>
      <c r="AM160" s="594">
        <v>35026</v>
      </c>
      <c r="AN160" s="592">
        <f>35757-1409</f>
        <v>34348</v>
      </c>
      <c r="AO160" s="465"/>
    </row>
    <row r="161" spans="1:41" x14ac:dyDescent="0.2">
      <c r="A161" s="466" t="s">
        <v>677</v>
      </c>
      <c r="B161" s="467" t="s">
        <v>678</v>
      </c>
      <c r="C161" s="468">
        <f t="shared" si="135"/>
        <v>122088</v>
      </c>
      <c r="D161" s="469">
        <f t="shared" si="135"/>
        <v>122477</v>
      </c>
      <c r="E161" s="470">
        <f t="shared" si="135"/>
        <v>57332</v>
      </c>
      <c r="F161" s="469">
        <v>10666</v>
      </c>
      <c r="G161" s="598">
        <v>11079</v>
      </c>
      <c r="H161" s="599">
        <v>11079</v>
      </c>
      <c r="I161" s="549">
        <v>10666</v>
      </c>
      <c r="J161" s="598">
        <v>8027</v>
      </c>
      <c r="K161" s="600">
        <v>8027</v>
      </c>
      <c r="L161" s="469">
        <v>10666</v>
      </c>
      <c r="M161" s="598">
        <v>8905</v>
      </c>
      <c r="N161" s="599">
        <v>8905</v>
      </c>
      <c r="O161" s="549">
        <v>10010</v>
      </c>
      <c r="P161" s="598">
        <v>11011</v>
      </c>
      <c r="Q161" s="600">
        <v>11011</v>
      </c>
      <c r="R161" s="469">
        <v>10010</v>
      </c>
      <c r="S161" s="598">
        <v>9539</v>
      </c>
      <c r="T161" s="599">
        <v>9539</v>
      </c>
      <c r="U161" s="549">
        <v>10010</v>
      </c>
      <c r="V161" s="598">
        <v>8771</v>
      </c>
      <c r="W161" s="600">
        <v>8771</v>
      </c>
      <c r="X161" s="469">
        <v>10010</v>
      </c>
      <c r="Y161" s="598">
        <v>10857</v>
      </c>
      <c r="Z161" s="599"/>
      <c r="AA161" s="549">
        <v>10010</v>
      </c>
      <c r="AB161" s="598">
        <v>10857</v>
      </c>
      <c r="AC161" s="600"/>
      <c r="AD161" s="469">
        <v>10010</v>
      </c>
      <c r="AE161" s="598">
        <v>10857</v>
      </c>
      <c r="AF161" s="599"/>
      <c r="AG161" s="549">
        <v>10010</v>
      </c>
      <c r="AH161" s="598">
        <v>10857</v>
      </c>
      <c r="AI161" s="600"/>
      <c r="AJ161" s="469">
        <v>10010</v>
      </c>
      <c r="AK161" s="598">
        <v>10857</v>
      </c>
      <c r="AL161" s="599"/>
      <c r="AM161" s="549">
        <v>10010</v>
      </c>
      <c r="AN161" s="598">
        <v>10860</v>
      </c>
      <c r="AO161" s="470"/>
    </row>
    <row r="162" spans="1:41" x14ac:dyDescent="0.2">
      <c r="A162" s="466" t="s">
        <v>679</v>
      </c>
      <c r="B162" s="467" t="s">
        <v>680</v>
      </c>
      <c r="C162" s="468">
        <f t="shared" si="135"/>
        <v>510340</v>
      </c>
      <c r="D162" s="469">
        <f t="shared" si="135"/>
        <v>490926</v>
      </c>
      <c r="E162" s="470">
        <f t="shared" si="135"/>
        <v>252237</v>
      </c>
      <c r="F162" s="469">
        <v>40000</v>
      </c>
      <c r="G162" s="598">
        <v>33698</v>
      </c>
      <c r="H162" s="599">
        <v>33698</v>
      </c>
      <c r="I162" s="549">
        <f>2500+42000</f>
        <v>44500</v>
      </c>
      <c r="J162" s="598">
        <v>35082</v>
      </c>
      <c r="K162" s="600">
        <v>35083</v>
      </c>
      <c r="L162" s="469">
        <v>42000</v>
      </c>
      <c r="M162" s="598">
        <v>52098</v>
      </c>
      <c r="N162" s="599">
        <v>52098</v>
      </c>
      <c r="O162" s="549">
        <f>5000+42000</f>
        <v>47000</v>
      </c>
      <c r="P162" s="598">
        <v>40647</v>
      </c>
      <c r="Q162" s="600">
        <v>40648</v>
      </c>
      <c r="R162" s="469">
        <f>2500+42000</f>
        <v>44500</v>
      </c>
      <c r="S162" s="598">
        <v>45168</v>
      </c>
      <c r="T162" s="599">
        <v>45168</v>
      </c>
      <c r="U162" s="549">
        <v>42000</v>
      </c>
      <c r="V162" s="598">
        <v>45542</v>
      </c>
      <c r="W162" s="600">
        <v>45542</v>
      </c>
      <c r="X162" s="469">
        <v>39000</v>
      </c>
      <c r="Y162" s="598">
        <v>39781</v>
      </c>
      <c r="Z162" s="599"/>
      <c r="AA162" s="549">
        <v>38000</v>
      </c>
      <c r="AB162" s="598">
        <v>39781</v>
      </c>
      <c r="AC162" s="600"/>
      <c r="AD162" s="469">
        <v>42000</v>
      </c>
      <c r="AE162" s="598">
        <v>39781</v>
      </c>
      <c r="AF162" s="599"/>
      <c r="AG162" s="549">
        <f>5000+42000</f>
        <v>47000</v>
      </c>
      <c r="AH162" s="598">
        <v>39781</v>
      </c>
      <c r="AI162" s="600"/>
      <c r="AJ162" s="469">
        <f>340+42000</f>
        <v>42340</v>
      </c>
      <c r="AK162" s="598">
        <v>39781</v>
      </c>
      <c r="AL162" s="599"/>
      <c r="AM162" s="549">
        <v>42000</v>
      </c>
      <c r="AN162" s="598">
        <v>39786</v>
      </c>
      <c r="AO162" s="470"/>
    </row>
    <row r="163" spans="1:41" x14ac:dyDescent="0.2">
      <c r="A163" s="466" t="s">
        <v>681</v>
      </c>
      <c r="B163" s="467" t="s">
        <v>682</v>
      </c>
      <c r="C163" s="468">
        <f t="shared" si="135"/>
        <v>0</v>
      </c>
      <c r="D163" s="469">
        <f t="shared" si="135"/>
        <v>0</v>
      </c>
      <c r="E163" s="470">
        <f t="shared" si="135"/>
        <v>0</v>
      </c>
      <c r="F163" s="469"/>
      <c r="G163" s="598"/>
      <c r="H163" s="599"/>
      <c r="I163" s="549"/>
      <c r="J163" s="598"/>
      <c r="K163" s="600"/>
      <c r="L163" s="469"/>
      <c r="M163" s="598"/>
      <c r="N163" s="599"/>
      <c r="O163" s="549"/>
      <c r="P163" s="598"/>
      <c r="Q163" s="600"/>
      <c r="R163" s="469"/>
      <c r="S163" s="598"/>
      <c r="T163" s="599"/>
      <c r="U163" s="549"/>
      <c r="V163" s="598"/>
      <c r="W163" s="600"/>
      <c r="X163" s="469"/>
      <c r="Y163" s="598"/>
      <c r="Z163" s="599"/>
      <c r="AA163" s="549"/>
      <c r="AB163" s="598"/>
      <c r="AC163" s="600"/>
      <c r="AD163" s="469"/>
      <c r="AE163" s="598"/>
      <c r="AF163" s="599"/>
      <c r="AG163" s="549"/>
      <c r="AH163" s="598"/>
      <c r="AI163" s="600"/>
      <c r="AJ163" s="469"/>
      <c r="AK163" s="598"/>
      <c r="AL163" s="599"/>
      <c r="AM163" s="549"/>
      <c r="AN163" s="598"/>
      <c r="AO163" s="470"/>
    </row>
    <row r="164" spans="1:41" x14ac:dyDescent="0.2">
      <c r="A164" s="466" t="s">
        <v>683</v>
      </c>
      <c r="B164" s="467" t="s">
        <v>684</v>
      </c>
      <c r="C164" s="468">
        <f t="shared" si="135"/>
        <v>0</v>
      </c>
      <c r="D164" s="469">
        <f t="shared" si="135"/>
        <v>453</v>
      </c>
      <c r="E164" s="470">
        <f t="shared" si="135"/>
        <v>453</v>
      </c>
      <c r="F164" s="469"/>
      <c r="G164" s="598">
        <v>453</v>
      </c>
      <c r="H164" s="599">
        <v>453</v>
      </c>
      <c r="I164" s="549"/>
      <c r="J164" s="598"/>
      <c r="K164" s="600"/>
      <c r="L164" s="469"/>
      <c r="M164" s="598"/>
      <c r="N164" s="599"/>
      <c r="O164" s="549"/>
      <c r="P164" s="598"/>
      <c r="Q164" s="600"/>
      <c r="R164" s="469"/>
      <c r="S164" s="598"/>
      <c r="T164" s="599"/>
      <c r="U164" s="549"/>
      <c r="V164" s="598"/>
      <c r="W164" s="600"/>
      <c r="X164" s="469"/>
      <c r="Y164" s="598"/>
      <c r="Z164" s="599"/>
      <c r="AA164" s="549"/>
      <c r="AB164" s="598"/>
      <c r="AC164" s="600"/>
      <c r="AD164" s="469"/>
      <c r="AE164" s="598"/>
      <c r="AF164" s="599"/>
      <c r="AG164" s="549"/>
      <c r="AH164" s="598"/>
      <c r="AI164" s="600"/>
      <c r="AJ164" s="469"/>
      <c r="AK164" s="598"/>
      <c r="AL164" s="599"/>
      <c r="AM164" s="549"/>
      <c r="AN164" s="598"/>
      <c r="AO164" s="470"/>
    </row>
    <row r="165" spans="1:41" x14ac:dyDescent="0.2">
      <c r="A165" s="481"/>
      <c r="B165" s="482" t="s">
        <v>685</v>
      </c>
      <c r="C165" s="483">
        <f t="shared" si="135"/>
        <v>0</v>
      </c>
      <c r="D165" s="484">
        <f t="shared" si="135"/>
        <v>0</v>
      </c>
      <c r="E165" s="485">
        <f t="shared" si="135"/>
        <v>0</v>
      </c>
      <c r="F165" s="484"/>
      <c r="G165" s="606"/>
      <c r="H165" s="607"/>
      <c r="I165" s="487"/>
      <c r="J165" s="606"/>
      <c r="K165" s="608"/>
      <c r="L165" s="484"/>
      <c r="M165" s="606"/>
      <c r="N165" s="607"/>
      <c r="O165" s="487"/>
      <c r="P165" s="606"/>
      <c r="Q165" s="608"/>
      <c r="R165" s="484"/>
      <c r="S165" s="606"/>
      <c r="T165" s="607"/>
      <c r="U165" s="487"/>
      <c r="V165" s="606"/>
      <c r="W165" s="608"/>
      <c r="X165" s="484"/>
      <c r="Y165" s="606"/>
      <c r="Z165" s="607"/>
      <c r="AA165" s="487"/>
      <c r="AB165" s="606"/>
      <c r="AC165" s="608"/>
      <c r="AD165" s="484"/>
      <c r="AE165" s="606"/>
      <c r="AF165" s="607"/>
      <c r="AG165" s="487"/>
      <c r="AH165" s="606"/>
      <c r="AI165" s="608"/>
      <c r="AJ165" s="484"/>
      <c r="AK165" s="606"/>
      <c r="AL165" s="607"/>
      <c r="AM165" s="487"/>
      <c r="AN165" s="606"/>
      <c r="AO165" s="485"/>
    </row>
    <row r="166" spans="1:41" x14ac:dyDescent="0.2">
      <c r="A166" s="544"/>
      <c r="B166" s="545" t="s">
        <v>686</v>
      </c>
      <c r="C166" s="483">
        <f t="shared" si="135"/>
        <v>0</v>
      </c>
      <c r="D166" s="484">
        <f t="shared" si="135"/>
        <v>0</v>
      </c>
      <c r="E166" s="485">
        <f t="shared" si="135"/>
        <v>0</v>
      </c>
      <c r="F166" s="638"/>
      <c r="G166" s="606"/>
      <c r="H166" s="607"/>
      <c r="I166" s="639"/>
      <c r="J166" s="606"/>
      <c r="K166" s="608"/>
      <c r="L166" s="638"/>
      <c r="M166" s="606"/>
      <c r="N166" s="607"/>
      <c r="O166" s="639"/>
      <c r="P166" s="606"/>
      <c r="Q166" s="608"/>
      <c r="R166" s="638"/>
      <c r="S166" s="606"/>
      <c r="T166" s="607"/>
      <c r="U166" s="639"/>
      <c r="V166" s="606"/>
      <c r="W166" s="608"/>
      <c r="X166" s="638"/>
      <c r="Y166" s="606"/>
      <c r="Z166" s="607"/>
      <c r="AA166" s="639"/>
      <c r="AB166" s="606"/>
      <c r="AC166" s="608"/>
      <c r="AD166" s="638"/>
      <c r="AE166" s="606"/>
      <c r="AF166" s="607"/>
      <c r="AG166" s="639"/>
      <c r="AH166" s="606"/>
      <c r="AI166" s="608"/>
      <c r="AJ166" s="638"/>
      <c r="AK166" s="606"/>
      <c r="AL166" s="607"/>
      <c r="AM166" s="639"/>
      <c r="AN166" s="606"/>
      <c r="AO166" s="485"/>
    </row>
    <row r="167" spans="1:41" x14ac:dyDescent="0.2">
      <c r="A167" s="471" t="s">
        <v>654</v>
      </c>
      <c r="B167" s="472" t="s">
        <v>687</v>
      </c>
      <c r="C167" s="473">
        <f t="shared" si="135"/>
        <v>1059646</v>
      </c>
      <c r="D167" s="474">
        <f t="shared" si="135"/>
        <v>1043780</v>
      </c>
      <c r="E167" s="475">
        <f t="shared" si="135"/>
        <v>525416</v>
      </c>
      <c r="F167" s="476">
        <f>SUM(F160:F166)</f>
        <v>87994</v>
      </c>
      <c r="G167" s="603">
        <f t="shared" ref="G167:H167" si="136">SUM(G160:G164)</f>
        <v>81616</v>
      </c>
      <c r="H167" s="604">
        <f t="shared" si="136"/>
        <v>89181</v>
      </c>
      <c r="I167" s="477">
        <f t="shared" ref="I167:AM167" si="137">SUM(I160:I166)</f>
        <v>92494</v>
      </c>
      <c r="J167" s="603">
        <f t="shared" ref="J167:K167" si="138">SUM(J160:J164)</f>
        <v>71397</v>
      </c>
      <c r="K167" s="605">
        <f t="shared" si="138"/>
        <v>71093</v>
      </c>
      <c r="L167" s="474">
        <f t="shared" si="137"/>
        <v>89994</v>
      </c>
      <c r="M167" s="603">
        <f t="shared" ref="M167:N167" si="139">SUM(M160:M164)</f>
        <v>109174</v>
      </c>
      <c r="N167" s="604">
        <f t="shared" si="139"/>
        <v>95668</v>
      </c>
      <c r="O167" s="477">
        <f t="shared" si="137"/>
        <v>92036</v>
      </c>
      <c r="P167" s="603">
        <f t="shared" ref="P167:Q167" si="140">SUM(P160:P164)</f>
        <v>76935</v>
      </c>
      <c r="Q167" s="605">
        <f t="shared" si="140"/>
        <v>92438</v>
      </c>
      <c r="R167" s="474">
        <f t="shared" si="137"/>
        <v>89536</v>
      </c>
      <c r="S167" s="603">
        <f t="shared" ref="S167:T167" si="141">SUM(S160:S164)</f>
        <v>93448</v>
      </c>
      <c r="T167" s="604">
        <f t="shared" si="141"/>
        <v>89161</v>
      </c>
      <c r="U167" s="477">
        <f t="shared" si="137"/>
        <v>87036</v>
      </c>
      <c r="V167" s="603">
        <f t="shared" ref="V167:W167" si="142">SUM(V160:V164)</f>
        <v>94251</v>
      </c>
      <c r="W167" s="605">
        <f t="shared" si="142"/>
        <v>87875</v>
      </c>
      <c r="X167" s="474">
        <f t="shared" si="137"/>
        <v>84036</v>
      </c>
      <c r="Y167" s="603">
        <f t="shared" ref="Y167:Z167" si="143">SUM(Y160:Y164)</f>
        <v>86393</v>
      </c>
      <c r="Z167" s="604">
        <f t="shared" si="143"/>
        <v>0</v>
      </c>
      <c r="AA167" s="477">
        <f t="shared" si="137"/>
        <v>83036</v>
      </c>
      <c r="AB167" s="603">
        <f t="shared" ref="AB167:AC167" si="144">SUM(AB160:AB164)</f>
        <v>86393</v>
      </c>
      <c r="AC167" s="605">
        <f t="shared" si="144"/>
        <v>0</v>
      </c>
      <c r="AD167" s="474">
        <f t="shared" si="137"/>
        <v>87036</v>
      </c>
      <c r="AE167" s="603">
        <f t="shared" ref="AE167:AF167" si="145">SUM(AE160:AE164)</f>
        <v>86393</v>
      </c>
      <c r="AF167" s="604">
        <f t="shared" si="145"/>
        <v>0</v>
      </c>
      <c r="AG167" s="477">
        <f t="shared" si="137"/>
        <v>92036</v>
      </c>
      <c r="AH167" s="603">
        <f t="shared" ref="AH167:AI167" si="146">SUM(AH160:AH164)</f>
        <v>86393</v>
      </c>
      <c r="AI167" s="605">
        <f t="shared" si="146"/>
        <v>0</v>
      </c>
      <c r="AJ167" s="474">
        <f t="shared" si="137"/>
        <v>87376</v>
      </c>
      <c r="AK167" s="603">
        <f t="shared" ref="AK167:AL167" si="147">SUM(AK160:AK164)</f>
        <v>86393</v>
      </c>
      <c r="AL167" s="604">
        <f t="shared" si="147"/>
        <v>0</v>
      </c>
      <c r="AM167" s="477">
        <f t="shared" si="137"/>
        <v>87036</v>
      </c>
      <c r="AN167" s="603">
        <f t="shared" ref="AN167:AO167" si="148">SUM(AN160:AN164)</f>
        <v>84994</v>
      </c>
      <c r="AO167" s="475">
        <f t="shared" si="148"/>
        <v>0</v>
      </c>
    </row>
    <row r="168" spans="1:41" x14ac:dyDescent="0.2">
      <c r="A168" s="471" t="s">
        <v>688</v>
      </c>
      <c r="B168" s="472" t="s">
        <v>689</v>
      </c>
      <c r="C168" s="473">
        <f t="shared" si="135"/>
        <v>0</v>
      </c>
      <c r="D168" s="474">
        <f t="shared" si="135"/>
        <v>0</v>
      </c>
      <c r="E168" s="475">
        <f t="shared" si="135"/>
        <v>0</v>
      </c>
      <c r="F168" s="476"/>
      <c r="G168" s="603"/>
      <c r="H168" s="604"/>
      <c r="I168" s="477"/>
      <c r="J168" s="603"/>
      <c r="K168" s="605"/>
      <c r="L168" s="474"/>
      <c r="M168" s="603"/>
      <c r="N168" s="604"/>
      <c r="O168" s="477"/>
      <c r="P168" s="603"/>
      <c r="Q168" s="605"/>
      <c r="R168" s="474"/>
      <c r="S168" s="603"/>
      <c r="T168" s="604"/>
      <c r="U168" s="477"/>
      <c r="V168" s="603"/>
      <c r="W168" s="605"/>
      <c r="X168" s="474"/>
      <c r="Y168" s="603"/>
      <c r="Z168" s="604"/>
      <c r="AA168" s="477"/>
      <c r="AB168" s="603"/>
      <c r="AC168" s="605"/>
      <c r="AD168" s="474"/>
      <c r="AE168" s="603"/>
      <c r="AF168" s="604"/>
      <c r="AG168" s="477"/>
      <c r="AH168" s="603"/>
      <c r="AI168" s="605"/>
      <c r="AJ168" s="474"/>
      <c r="AK168" s="603"/>
      <c r="AL168" s="604"/>
      <c r="AM168" s="477"/>
      <c r="AN168" s="603"/>
      <c r="AO168" s="475"/>
    </row>
    <row r="169" spans="1:41" x14ac:dyDescent="0.2">
      <c r="A169" s="493" t="s">
        <v>660</v>
      </c>
      <c r="B169" s="494" t="s">
        <v>690</v>
      </c>
      <c r="C169" s="473">
        <f t="shared" si="135"/>
        <v>1059646</v>
      </c>
      <c r="D169" s="474">
        <f t="shared" si="135"/>
        <v>1043780</v>
      </c>
      <c r="E169" s="475">
        <f t="shared" si="135"/>
        <v>525416</v>
      </c>
      <c r="F169" s="495">
        <f>SUM(F167,F168)</f>
        <v>87994</v>
      </c>
      <c r="G169" s="603">
        <f t="shared" ref="G169:AO169" si="149">SUM(G167,G168)</f>
        <v>81616</v>
      </c>
      <c r="H169" s="604">
        <f t="shared" si="149"/>
        <v>89181</v>
      </c>
      <c r="I169" s="497">
        <f t="shared" si="149"/>
        <v>92494</v>
      </c>
      <c r="J169" s="603">
        <f t="shared" si="149"/>
        <v>71397</v>
      </c>
      <c r="K169" s="605">
        <f t="shared" si="149"/>
        <v>71093</v>
      </c>
      <c r="L169" s="495">
        <f t="shared" si="149"/>
        <v>89994</v>
      </c>
      <c r="M169" s="603">
        <f t="shared" si="149"/>
        <v>109174</v>
      </c>
      <c r="N169" s="604">
        <f t="shared" si="149"/>
        <v>95668</v>
      </c>
      <c r="O169" s="497">
        <f t="shared" si="149"/>
        <v>92036</v>
      </c>
      <c r="P169" s="603">
        <f t="shared" si="149"/>
        <v>76935</v>
      </c>
      <c r="Q169" s="605">
        <f t="shared" si="149"/>
        <v>92438</v>
      </c>
      <c r="R169" s="495">
        <f t="shared" si="149"/>
        <v>89536</v>
      </c>
      <c r="S169" s="603">
        <f t="shared" si="149"/>
        <v>93448</v>
      </c>
      <c r="T169" s="604">
        <f t="shared" si="149"/>
        <v>89161</v>
      </c>
      <c r="U169" s="497">
        <f t="shared" si="149"/>
        <v>87036</v>
      </c>
      <c r="V169" s="603">
        <f t="shared" si="149"/>
        <v>94251</v>
      </c>
      <c r="W169" s="605">
        <f t="shared" si="149"/>
        <v>87875</v>
      </c>
      <c r="X169" s="495">
        <f t="shared" si="149"/>
        <v>84036</v>
      </c>
      <c r="Y169" s="603">
        <f t="shared" si="149"/>
        <v>86393</v>
      </c>
      <c r="Z169" s="604">
        <f t="shared" si="149"/>
        <v>0</v>
      </c>
      <c r="AA169" s="497">
        <f t="shared" si="149"/>
        <v>83036</v>
      </c>
      <c r="AB169" s="603">
        <f t="shared" si="149"/>
        <v>86393</v>
      </c>
      <c r="AC169" s="605">
        <f t="shared" si="149"/>
        <v>0</v>
      </c>
      <c r="AD169" s="495">
        <f t="shared" si="149"/>
        <v>87036</v>
      </c>
      <c r="AE169" s="603">
        <f t="shared" si="149"/>
        <v>86393</v>
      </c>
      <c r="AF169" s="604">
        <f t="shared" si="149"/>
        <v>0</v>
      </c>
      <c r="AG169" s="497">
        <f t="shared" si="149"/>
        <v>92036</v>
      </c>
      <c r="AH169" s="603">
        <f t="shared" si="149"/>
        <v>86393</v>
      </c>
      <c r="AI169" s="605">
        <f t="shared" si="149"/>
        <v>0</v>
      </c>
      <c r="AJ169" s="495">
        <f t="shared" si="149"/>
        <v>87376</v>
      </c>
      <c r="AK169" s="603">
        <f t="shared" si="149"/>
        <v>86393</v>
      </c>
      <c r="AL169" s="604">
        <f t="shared" si="149"/>
        <v>0</v>
      </c>
      <c r="AM169" s="497">
        <f t="shared" si="149"/>
        <v>87036</v>
      </c>
      <c r="AN169" s="603">
        <f t="shared" si="149"/>
        <v>84994</v>
      </c>
      <c r="AO169" s="475">
        <f t="shared" si="149"/>
        <v>0</v>
      </c>
    </row>
    <row r="170" spans="1:41" x14ac:dyDescent="0.2">
      <c r="A170" s="466" t="s">
        <v>691</v>
      </c>
      <c r="B170" s="467" t="s">
        <v>692</v>
      </c>
      <c r="C170" s="468">
        <f t="shared" si="135"/>
        <v>42407</v>
      </c>
      <c r="D170" s="469">
        <f t="shared" si="135"/>
        <v>51807</v>
      </c>
      <c r="E170" s="470">
        <f t="shared" si="135"/>
        <v>41040</v>
      </c>
      <c r="F170" s="469">
        <v>4151</v>
      </c>
      <c r="G170" s="598">
        <v>4536</v>
      </c>
      <c r="H170" s="599">
        <v>4536</v>
      </c>
      <c r="I170" s="549">
        <v>2032</v>
      </c>
      <c r="J170" s="598">
        <v>4190</v>
      </c>
      <c r="K170" s="600">
        <v>4190</v>
      </c>
      <c r="L170" s="469">
        <f>2150+1115+1185+457</f>
        <v>4907</v>
      </c>
      <c r="M170" s="598">
        <v>3980</v>
      </c>
      <c r="N170" s="599">
        <v>3980</v>
      </c>
      <c r="O170" s="549">
        <f>508+2629</f>
        <v>3137</v>
      </c>
      <c r="P170" s="598">
        <v>21637</v>
      </c>
      <c r="Q170" s="600">
        <v>21637</v>
      </c>
      <c r="R170" s="469">
        <f>1858+1007</f>
        <v>2865</v>
      </c>
      <c r="S170" s="598">
        <v>2167</v>
      </c>
      <c r="T170" s="599">
        <v>2167</v>
      </c>
      <c r="U170" s="549">
        <v>4910</v>
      </c>
      <c r="V170" s="598">
        <v>4530</v>
      </c>
      <c r="W170" s="600">
        <v>4530</v>
      </c>
      <c r="X170" s="469">
        <v>9017</v>
      </c>
      <c r="Y170" s="598">
        <v>2500</v>
      </c>
      <c r="Z170" s="599"/>
      <c r="AA170" s="549">
        <v>9017</v>
      </c>
      <c r="AB170" s="598">
        <v>2500</v>
      </c>
      <c r="AC170" s="600"/>
      <c r="AD170" s="469">
        <f>386+356+635</f>
        <v>1377</v>
      </c>
      <c r="AE170" s="598">
        <v>2500</v>
      </c>
      <c r="AF170" s="599"/>
      <c r="AG170" s="549">
        <f>213+245</f>
        <v>458</v>
      </c>
      <c r="AH170" s="598">
        <v>2500</v>
      </c>
      <c r="AI170" s="600"/>
      <c r="AJ170" s="469">
        <f>254+282</f>
        <v>536</v>
      </c>
      <c r="AK170" s="598">
        <v>767</v>
      </c>
      <c r="AL170" s="599"/>
      <c r="AM170" s="549"/>
      <c r="AN170" s="598"/>
      <c r="AO170" s="470"/>
    </row>
    <row r="171" spans="1:41" x14ac:dyDescent="0.2">
      <c r="A171" s="466" t="s">
        <v>693</v>
      </c>
      <c r="B171" s="467" t="s">
        <v>694</v>
      </c>
      <c r="C171" s="468">
        <f t="shared" si="135"/>
        <v>9620</v>
      </c>
      <c r="D171" s="469">
        <f t="shared" si="135"/>
        <v>9620</v>
      </c>
      <c r="E171" s="470">
        <f t="shared" si="135"/>
        <v>6805</v>
      </c>
      <c r="F171" s="469">
        <v>3000</v>
      </c>
      <c r="G171" s="598"/>
      <c r="H171" s="599"/>
      <c r="I171" s="549">
        <v>1699</v>
      </c>
      <c r="J171" s="598"/>
      <c r="K171" s="600"/>
      <c r="L171" s="469"/>
      <c r="M171" s="598">
        <v>2334</v>
      </c>
      <c r="N171" s="599">
        <v>2334</v>
      </c>
      <c r="O171" s="549">
        <f>222+3429</f>
        <v>3651</v>
      </c>
      <c r="P171" s="598">
        <v>1042</v>
      </c>
      <c r="Q171" s="600">
        <v>1042</v>
      </c>
      <c r="R171" s="469"/>
      <c r="S171" s="598"/>
      <c r="T171" s="599"/>
      <c r="U171" s="549"/>
      <c r="V171" s="598">
        <v>3429</v>
      </c>
      <c r="W171" s="600">
        <v>3429</v>
      </c>
      <c r="X171" s="469">
        <v>1270</v>
      </c>
      <c r="Y171" s="598"/>
      <c r="Z171" s="599"/>
      <c r="AA171" s="549"/>
      <c r="AB171" s="598"/>
      <c r="AC171" s="600"/>
      <c r="AD171" s="469"/>
      <c r="AE171" s="598">
        <v>2815</v>
      </c>
      <c r="AF171" s="599"/>
      <c r="AG171" s="549"/>
      <c r="AH171" s="598"/>
      <c r="AI171" s="600"/>
      <c r="AJ171" s="469"/>
      <c r="AK171" s="598"/>
      <c r="AL171" s="599"/>
      <c r="AM171" s="549"/>
      <c r="AN171" s="598"/>
      <c r="AO171" s="470"/>
    </row>
    <row r="172" spans="1:41" x14ac:dyDescent="0.2">
      <c r="A172" s="553" t="s">
        <v>695</v>
      </c>
      <c r="B172" s="554" t="s">
        <v>696</v>
      </c>
      <c r="C172" s="468">
        <f t="shared" si="135"/>
        <v>0</v>
      </c>
      <c r="D172" s="469">
        <f t="shared" si="135"/>
        <v>0</v>
      </c>
      <c r="E172" s="470">
        <f t="shared" si="135"/>
        <v>0</v>
      </c>
      <c r="F172" s="640"/>
      <c r="G172" s="598"/>
      <c r="H172" s="599"/>
      <c r="I172" s="641"/>
      <c r="J172" s="598"/>
      <c r="K172" s="600"/>
      <c r="L172" s="640"/>
      <c r="M172" s="598"/>
      <c r="N172" s="599"/>
      <c r="O172" s="641"/>
      <c r="P172" s="598"/>
      <c r="Q172" s="600"/>
      <c r="R172" s="640"/>
      <c r="S172" s="598"/>
      <c r="T172" s="599"/>
      <c r="U172" s="641"/>
      <c r="V172" s="598"/>
      <c r="W172" s="600"/>
      <c r="X172" s="640"/>
      <c r="Y172" s="598"/>
      <c r="Z172" s="599"/>
      <c r="AA172" s="641"/>
      <c r="AB172" s="598"/>
      <c r="AC172" s="600"/>
      <c r="AD172" s="640"/>
      <c r="AE172" s="598"/>
      <c r="AF172" s="599"/>
      <c r="AG172" s="641"/>
      <c r="AH172" s="598"/>
      <c r="AI172" s="600"/>
      <c r="AJ172" s="640"/>
      <c r="AK172" s="598"/>
      <c r="AL172" s="599"/>
      <c r="AM172" s="641"/>
      <c r="AN172" s="598"/>
      <c r="AO172" s="470"/>
    </row>
    <row r="173" spans="1:41" x14ac:dyDescent="0.2">
      <c r="A173" s="471" t="s">
        <v>667</v>
      </c>
      <c r="B173" s="472" t="s">
        <v>697</v>
      </c>
      <c r="C173" s="473">
        <f t="shared" si="135"/>
        <v>52027</v>
      </c>
      <c r="D173" s="474">
        <f t="shared" si="135"/>
        <v>61427</v>
      </c>
      <c r="E173" s="475">
        <f t="shared" si="135"/>
        <v>47845</v>
      </c>
      <c r="F173" s="474">
        <f>SUM(F170:F172)</f>
        <v>7151</v>
      </c>
      <c r="G173" s="603">
        <f t="shared" ref="G173:AO173" si="150">SUM(G170:G172)</f>
        <v>4536</v>
      </c>
      <c r="H173" s="604">
        <f t="shared" si="150"/>
        <v>4536</v>
      </c>
      <c r="I173" s="477">
        <f t="shared" si="150"/>
        <v>3731</v>
      </c>
      <c r="J173" s="603">
        <f t="shared" si="150"/>
        <v>4190</v>
      </c>
      <c r="K173" s="605">
        <f t="shared" si="150"/>
        <v>4190</v>
      </c>
      <c r="L173" s="474">
        <f t="shared" si="150"/>
        <v>4907</v>
      </c>
      <c r="M173" s="603">
        <f t="shared" si="150"/>
        <v>6314</v>
      </c>
      <c r="N173" s="604">
        <f t="shared" si="150"/>
        <v>6314</v>
      </c>
      <c r="O173" s="477">
        <f t="shared" si="150"/>
        <v>6788</v>
      </c>
      <c r="P173" s="603">
        <f t="shared" si="150"/>
        <v>22679</v>
      </c>
      <c r="Q173" s="605">
        <f t="shared" si="150"/>
        <v>22679</v>
      </c>
      <c r="R173" s="474">
        <f t="shared" si="150"/>
        <v>2865</v>
      </c>
      <c r="S173" s="603">
        <f t="shared" si="150"/>
        <v>2167</v>
      </c>
      <c r="T173" s="604">
        <f t="shared" si="150"/>
        <v>2167</v>
      </c>
      <c r="U173" s="477">
        <f t="shared" si="150"/>
        <v>4910</v>
      </c>
      <c r="V173" s="603">
        <f t="shared" si="150"/>
        <v>7959</v>
      </c>
      <c r="W173" s="605">
        <f t="shared" si="150"/>
        <v>7959</v>
      </c>
      <c r="X173" s="474">
        <f t="shared" si="150"/>
        <v>10287</v>
      </c>
      <c r="Y173" s="603">
        <f t="shared" si="150"/>
        <v>2500</v>
      </c>
      <c r="Z173" s="604">
        <f t="shared" si="150"/>
        <v>0</v>
      </c>
      <c r="AA173" s="477">
        <f t="shared" si="150"/>
        <v>9017</v>
      </c>
      <c r="AB173" s="603">
        <f t="shared" si="150"/>
        <v>2500</v>
      </c>
      <c r="AC173" s="605">
        <f t="shared" si="150"/>
        <v>0</v>
      </c>
      <c r="AD173" s="474">
        <f t="shared" si="150"/>
        <v>1377</v>
      </c>
      <c r="AE173" s="603">
        <f t="shared" si="150"/>
        <v>5315</v>
      </c>
      <c r="AF173" s="604">
        <f t="shared" si="150"/>
        <v>0</v>
      </c>
      <c r="AG173" s="477">
        <f t="shared" si="150"/>
        <v>458</v>
      </c>
      <c r="AH173" s="603">
        <f t="shared" si="150"/>
        <v>2500</v>
      </c>
      <c r="AI173" s="605">
        <f t="shared" si="150"/>
        <v>0</v>
      </c>
      <c r="AJ173" s="474">
        <f t="shared" si="150"/>
        <v>536</v>
      </c>
      <c r="AK173" s="603">
        <f t="shared" si="150"/>
        <v>767</v>
      </c>
      <c r="AL173" s="604">
        <f t="shared" si="150"/>
        <v>0</v>
      </c>
      <c r="AM173" s="477">
        <f t="shared" si="150"/>
        <v>0</v>
      </c>
      <c r="AN173" s="603">
        <f t="shared" si="150"/>
        <v>0</v>
      </c>
      <c r="AO173" s="475">
        <f t="shared" si="150"/>
        <v>0</v>
      </c>
    </row>
    <row r="174" spans="1:41" x14ac:dyDescent="0.2">
      <c r="A174" s="505" t="s">
        <v>698</v>
      </c>
      <c r="B174" s="506" t="s">
        <v>699</v>
      </c>
      <c r="C174" s="473">
        <f t="shared" si="135"/>
        <v>0</v>
      </c>
      <c r="D174" s="474">
        <f t="shared" si="135"/>
        <v>0</v>
      </c>
      <c r="E174" s="475">
        <f t="shared" si="135"/>
        <v>0</v>
      </c>
      <c r="F174" s="642"/>
      <c r="G174" s="603"/>
      <c r="H174" s="604"/>
      <c r="I174" s="643"/>
      <c r="J174" s="603"/>
      <c r="K174" s="605"/>
      <c r="L174" s="644"/>
      <c r="M174" s="603"/>
      <c r="N174" s="604"/>
      <c r="O174" s="643"/>
      <c r="P174" s="603"/>
      <c r="Q174" s="605"/>
      <c r="R174" s="644"/>
      <c r="S174" s="603"/>
      <c r="T174" s="604"/>
      <c r="U174" s="643"/>
      <c r="V174" s="603"/>
      <c r="W174" s="605"/>
      <c r="X174" s="644"/>
      <c r="Y174" s="603"/>
      <c r="Z174" s="604"/>
      <c r="AA174" s="643"/>
      <c r="AB174" s="603"/>
      <c r="AC174" s="605"/>
      <c r="AD174" s="644"/>
      <c r="AE174" s="603"/>
      <c r="AF174" s="604"/>
      <c r="AG174" s="643"/>
      <c r="AH174" s="603"/>
      <c r="AI174" s="605"/>
      <c r="AJ174" s="644"/>
      <c r="AK174" s="603"/>
      <c r="AL174" s="604"/>
      <c r="AM174" s="643"/>
      <c r="AN174" s="603"/>
      <c r="AO174" s="475"/>
    </row>
    <row r="175" spans="1:41" x14ac:dyDescent="0.2">
      <c r="A175" s="471" t="s">
        <v>700</v>
      </c>
      <c r="B175" s="472" t="s">
        <v>689</v>
      </c>
      <c r="C175" s="473">
        <f t="shared" si="135"/>
        <v>0</v>
      </c>
      <c r="D175" s="474">
        <f t="shared" si="135"/>
        <v>0</v>
      </c>
      <c r="E175" s="475">
        <f t="shared" si="135"/>
        <v>0</v>
      </c>
      <c r="F175" s="474"/>
      <c r="G175" s="603">
        <v>0</v>
      </c>
      <c r="H175" s="604">
        <v>0</v>
      </c>
      <c r="I175" s="477"/>
      <c r="J175" s="603">
        <v>0</v>
      </c>
      <c r="K175" s="605">
        <v>0</v>
      </c>
      <c r="L175" s="474"/>
      <c r="M175" s="603">
        <v>0</v>
      </c>
      <c r="N175" s="604">
        <v>0</v>
      </c>
      <c r="O175" s="477"/>
      <c r="P175" s="603">
        <v>0</v>
      </c>
      <c r="Q175" s="605">
        <v>0</v>
      </c>
      <c r="R175" s="474"/>
      <c r="S175" s="603">
        <v>0</v>
      </c>
      <c r="T175" s="604">
        <v>0</v>
      </c>
      <c r="U175" s="477"/>
      <c r="V175" s="603">
        <v>0</v>
      </c>
      <c r="W175" s="605">
        <v>0</v>
      </c>
      <c r="X175" s="474"/>
      <c r="Y175" s="603">
        <v>0</v>
      </c>
      <c r="Z175" s="604">
        <v>0</v>
      </c>
      <c r="AA175" s="477"/>
      <c r="AB175" s="603">
        <v>0</v>
      </c>
      <c r="AC175" s="605">
        <v>0</v>
      </c>
      <c r="AD175" s="474"/>
      <c r="AE175" s="603">
        <v>0</v>
      </c>
      <c r="AF175" s="604">
        <v>0</v>
      </c>
      <c r="AG175" s="477"/>
      <c r="AH175" s="603">
        <v>0</v>
      </c>
      <c r="AI175" s="605">
        <v>0</v>
      </c>
      <c r="AJ175" s="474"/>
      <c r="AK175" s="603">
        <v>0</v>
      </c>
      <c r="AL175" s="604">
        <v>0</v>
      </c>
      <c r="AM175" s="477"/>
      <c r="AN175" s="603">
        <v>0</v>
      </c>
      <c r="AO175" s="475">
        <v>0</v>
      </c>
    </row>
    <row r="176" spans="1:41" ht="15" thickBot="1" x14ac:dyDescent="0.25">
      <c r="A176" s="555" t="s">
        <v>672</v>
      </c>
      <c r="B176" s="556" t="s">
        <v>701</v>
      </c>
      <c r="C176" s="557">
        <f t="shared" si="135"/>
        <v>52027</v>
      </c>
      <c r="D176" s="510">
        <f t="shared" si="135"/>
        <v>61427</v>
      </c>
      <c r="E176" s="558">
        <f t="shared" si="135"/>
        <v>47845</v>
      </c>
      <c r="F176" s="510">
        <f>SUM(F173,F174,F175)</f>
        <v>7151</v>
      </c>
      <c r="G176" s="610">
        <f t="shared" ref="G176:AO176" si="151">SUM(G173,G174,G175)</f>
        <v>4536</v>
      </c>
      <c r="H176" s="611">
        <f t="shared" si="151"/>
        <v>4536</v>
      </c>
      <c r="I176" s="512">
        <f t="shared" si="151"/>
        <v>3731</v>
      </c>
      <c r="J176" s="610">
        <f t="shared" si="151"/>
        <v>4190</v>
      </c>
      <c r="K176" s="612">
        <f t="shared" si="151"/>
        <v>4190</v>
      </c>
      <c r="L176" s="510">
        <f t="shared" si="151"/>
        <v>4907</v>
      </c>
      <c r="M176" s="610">
        <f t="shared" si="151"/>
        <v>6314</v>
      </c>
      <c r="N176" s="611">
        <f t="shared" si="151"/>
        <v>6314</v>
      </c>
      <c r="O176" s="512">
        <f t="shared" si="151"/>
        <v>6788</v>
      </c>
      <c r="P176" s="610">
        <f t="shared" si="151"/>
        <v>22679</v>
      </c>
      <c r="Q176" s="612">
        <f t="shared" si="151"/>
        <v>22679</v>
      </c>
      <c r="R176" s="510">
        <f t="shared" si="151"/>
        <v>2865</v>
      </c>
      <c r="S176" s="610">
        <f t="shared" si="151"/>
        <v>2167</v>
      </c>
      <c r="T176" s="611">
        <f t="shared" si="151"/>
        <v>2167</v>
      </c>
      <c r="U176" s="512">
        <f t="shared" si="151"/>
        <v>4910</v>
      </c>
      <c r="V176" s="610">
        <f t="shared" si="151"/>
        <v>7959</v>
      </c>
      <c r="W176" s="612">
        <f t="shared" si="151"/>
        <v>7959</v>
      </c>
      <c r="X176" s="510">
        <f t="shared" si="151"/>
        <v>10287</v>
      </c>
      <c r="Y176" s="610">
        <f t="shared" si="151"/>
        <v>2500</v>
      </c>
      <c r="Z176" s="611">
        <f t="shared" si="151"/>
        <v>0</v>
      </c>
      <c r="AA176" s="512">
        <f t="shared" si="151"/>
        <v>9017</v>
      </c>
      <c r="AB176" s="610">
        <f t="shared" si="151"/>
        <v>2500</v>
      </c>
      <c r="AC176" s="612">
        <f t="shared" si="151"/>
        <v>0</v>
      </c>
      <c r="AD176" s="510">
        <f t="shared" si="151"/>
        <v>1377</v>
      </c>
      <c r="AE176" s="610">
        <f t="shared" si="151"/>
        <v>5315</v>
      </c>
      <c r="AF176" s="611">
        <f t="shared" si="151"/>
        <v>0</v>
      </c>
      <c r="AG176" s="512">
        <f t="shared" si="151"/>
        <v>458</v>
      </c>
      <c r="AH176" s="610">
        <f t="shared" si="151"/>
        <v>2500</v>
      </c>
      <c r="AI176" s="612">
        <f t="shared" si="151"/>
        <v>0</v>
      </c>
      <c r="AJ176" s="510">
        <f t="shared" si="151"/>
        <v>536</v>
      </c>
      <c r="AK176" s="610">
        <f t="shared" si="151"/>
        <v>767</v>
      </c>
      <c r="AL176" s="611">
        <f t="shared" si="151"/>
        <v>0</v>
      </c>
      <c r="AM176" s="512">
        <f t="shared" si="151"/>
        <v>0</v>
      </c>
      <c r="AN176" s="610">
        <f t="shared" si="151"/>
        <v>0</v>
      </c>
      <c r="AO176" s="509">
        <f t="shared" si="151"/>
        <v>0</v>
      </c>
    </row>
    <row r="177" spans="1:42" ht="15" thickBot="1" x14ac:dyDescent="0.25">
      <c r="A177" s="560" t="s">
        <v>702</v>
      </c>
      <c r="B177" s="561" t="s">
        <v>703</v>
      </c>
      <c r="C177" s="645">
        <f>SUM(F177,I177,L177,O177,R177,U177,X177,AA177,AD177,AG177,AJ177,AM177)</f>
        <v>1111673</v>
      </c>
      <c r="D177" s="646">
        <f t="shared" ref="D177:E180" si="152">SUM(G177,J177,M177,P177,S177,V177,Y177,AB177,AE177,AH177,AK177,AN177)</f>
        <v>1105207</v>
      </c>
      <c r="E177" s="574">
        <f t="shared" si="152"/>
        <v>573261</v>
      </c>
      <c r="F177" s="564">
        <f>SUM(F169,F176)</f>
        <v>95145</v>
      </c>
      <c r="G177" s="564">
        <f t="shared" ref="G177:AO177" si="153">SUM(G169,G176)</f>
        <v>86152</v>
      </c>
      <c r="H177" s="565">
        <f t="shared" si="153"/>
        <v>93717</v>
      </c>
      <c r="I177" s="566">
        <f t="shared" si="153"/>
        <v>96225</v>
      </c>
      <c r="J177" s="564">
        <f t="shared" si="153"/>
        <v>75587</v>
      </c>
      <c r="K177" s="567">
        <f t="shared" si="153"/>
        <v>75283</v>
      </c>
      <c r="L177" s="564">
        <f t="shared" si="153"/>
        <v>94901</v>
      </c>
      <c r="M177" s="564">
        <f t="shared" si="153"/>
        <v>115488</v>
      </c>
      <c r="N177" s="565">
        <f t="shared" si="153"/>
        <v>101982</v>
      </c>
      <c r="O177" s="566">
        <f t="shared" si="153"/>
        <v>98824</v>
      </c>
      <c r="P177" s="564">
        <f t="shared" si="153"/>
        <v>99614</v>
      </c>
      <c r="Q177" s="567">
        <f t="shared" si="153"/>
        <v>115117</v>
      </c>
      <c r="R177" s="564">
        <f t="shared" si="153"/>
        <v>92401</v>
      </c>
      <c r="S177" s="564">
        <f t="shared" si="153"/>
        <v>95615</v>
      </c>
      <c r="T177" s="565">
        <f t="shared" si="153"/>
        <v>91328</v>
      </c>
      <c r="U177" s="566">
        <f t="shared" si="153"/>
        <v>91946</v>
      </c>
      <c r="V177" s="564">
        <f t="shared" si="153"/>
        <v>102210</v>
      </c>
      <c r="W177" s="567">
        <f t="shared" si="153"/>
        <v>95834</v>
      </c>
      <c r="X177" s="564">
        <f t="shared" si="153"/>
        <v>94323</v>
      </c>
      <c r="Y177" s="564">
        <f t="shared" si="153"/>
        <v>88893</v>
      </c>
      <c r="Z177" s="565">
        <f t="shared" si="153"/>
        <v>0</v>
      </c>
      <c r="AA177" s="566">
        <f t="shared" si="153"/>
        <v>92053</v>
      </c>
      <c r="AB177" s="564">
        <f t="shared" si="153"/>
        <v>88893</v>
      </c>
      <c r="AC177" s="567">
        <f t="shared" si="153"/>
        <v>0</v>
      </c>
      <c r="AD177" s="564">
        <f t="shared" si="153"/>
        <v>88413</v>
      </c>
      <c r="AE177" s="564">
        <f t="shared" si="153"/>
        <v>91708</v>
      </c>
      <c r="AF177" s="565">
        <f t="shared" si="153"/>
        <v>0</v>
      </c>
      <c r="AG177" s="566">
        <f t="shared" si="153"/>
        <v>92494</v>
      </c>
      <c r="AH177" s="564">
        <f t="shared" si="153"/>
        <v>88893</v>
      </c>
      <c r="AI177" s="567">
        <f t="shared" si="153"/>
        <v>0</v>
      </c>
      <c r="AJ177" s="564">
        <f t="shared" si="153"/>
        <v>87912</v>
      </c>
      <c r="AK177" s="564">
        <f t="shared" si="153"/>
        <v>87160</v>
      </c>
      <c r="AL177" s="565">
        <f t="shared" si="153"/>
        <v>0</v>
      </c>
      <c r="AM177" s="566">
        <f t="shared" si="153"/>
        <v>87036</v>
      </c>
      <c r="AN177" s="647">
        <f t="shared" si="153"/>
        <v>84994</v>
      </c>
      <c r="AO177" s="590">
        <f t="shared" si="153"/>
        <v>0</v>
      </c>
    </row>
    <row r="178" spans="1:42" ht="12" customHeight="1" thickBot="1" x14ac:dyDescent="0.25">
      <c r="A178" s="569"/>
      <c r="B178" s="570" t="s">
        <v>1334</v>
      </c>
      <c r="C178" s="571"/>
      <c r="D178" s="572"/>
      <c r="E178" s="573">
        <f t="shared" si="152"/>
        <v>0</v>
      </c>
      <c r="F178" s="571"/>
      <c r="G178" s="572"/>
      <c r="H178" s="627"/>
      <c r="I178" s="531"/>
      <c r="J178" s="572"/>
      <c r="K178" s="628"/>
      <c r="L178" s="530"/>
      <c r="M178" s="572"/>
      <c r="N178" s="627"/>
      <c r="O178" s="531"/>
      <c r="P178" s="572"/>
      <c r="Q178" s="628"/>
      <c r="R178" s="530"/>
      <c r="S178" s="572"/>
      <c r="T178" s="627"/>
      <c r="U178" s="531"/>
      <c r="V178" s="572"/>
      <c r="W178" s="628"/>
      <c r="X178" s="530"/>
      <c r="Y178" s="572"/>
      <c r="Z178" s="627"/>
      <c r="AA178" s="531"/>
      <c r="AB178" s="572"/>
      <c r="AC178" s="628"/>
      <c r="AD178" s="530"/>
      <c r="AE178" s="572"/>
      <c r="AF178" s="627"/>
      <c r="AG178" s="531"/>
      <c r="AH178" s="572"/>
      <c r="AI178" s="628"/>
      <c r="AJ178" s="530"/>
      <c r="AK178" s="572"/>
      <c r="AL178" s="627"/>
      <c r="AM178" s="531"/>
      <c r="AN178" s="572"/>
      <c r="AO178" s="573"/>
    </row>
    <row r="179" spans="1:42" ht="13.5" customHeight="1" thickBot="1" x14ac:dyDescent="0.25">
      <c r="A179" s="575"/>
      <c r="B179" s="576" t="s">
        <v>1335</v>
      </c>
      <c r="C179" s="528"/>
      <c r="D179" s="577"/>
      <c r="E179" s="563">
        <f t="shared" si="152"/>
        <v>573261</v>
      </c>
      <c r="F179" s="528"/>
      <c r="G179" s="577"/>
      <c r="H179" s="578">
        <f>SUM(H177:H178)</f>
        <v>93717</v>
      </c>
      <c r="I179" s="579"/>
      <c r="J179" s="577"/>
      <c r="K179" s="580">
        <f>SUM(K177:K178)</f>
        <v>75283</v>
      </c>
      <c r="L179" s="529"/>
      <c r="M179" s="577"/>
      <c r="N179" s="578">
        <f>SUM(N177:N178)</f>
        <v>101982</v>
      </c>
      <c r="O179" s="579"/>
      <c r="P179" s="577"/>
      <c r="Q179" s="580">
        <f>SUM(Q177:Q178)</f>
        <v>115117</v>
      </c>
      <c r="R179" s="529"/>
      <c r="S179" s="577"/>
      <c r="T179" s="578">
        <f>SUM(T177:T178)</f>
        <v>91328</v>
      </c>
      <c r="U179" s="579"/>
      <c r="V179" s="577"/>
      <c r="W179" s="580">
        <f>SUM(W177:W178)</f>
        <v>95834</v>
      </c>
      <c r="X179" s="529"/>
      <c r="Y179" s="577"/>
      <c r="Z179" s="578">
        <f>SUM(Z177:Z178)</f>
        <v>0</v>
      </c>
      <c r="AA179" s="579"/>
      <c r="AB179" s="577"/>
      <c r="AC179" s="580">
        <f>SUM(AC177:AC178)</f>
        <v>0</v>
      </c>
      <c r="AD179" s="529"/>
      <c r="AE179" s="577"/>
      <c r="AF179" s="578">
        <f>SUM(AF177:AF178)</f>
        <v>0</v>
      </c>
      <c r="AG179" s="579"/>
      <c r="AH179" s="577"/>
      <c r="AI179" s="580">
        <f>SUM(AI177:AI178)</f>
        <v>0</v>
      </c>
      <c r="AJ179" s="529"/>
      <c r="AK179" s="577"/>
      <c r="AL179" s="578">
        <f>SUM(AL177:AL178)</f>
        <v>0</v>
      </c>
      <c r="AM179" s="579"/>
      <c r="AN179" s="577"/>
      <c r="AO179" s="563">
        <f>SUM(AO177:AO178)</f>
        <v>0</v>
      </c>
    </row>
    <row r="180" spans="1:42" s="525" customFormat="1" ht="15" customHeight="1" thickBot="1" x14ac:dyDescent="0.25">
      <c r="A180" s="581"/>
      <c r="B180" s="582" t="s">
        <v>1336</v>
      </c>
      <c r="C180" s="583"/>
      <c r="D180" s="584"/>
      <c r="E180" s="563">
        <f t="shared" si="152"/>
        <v>11826</v>
      </c>
      <c r="F180" s="583"/>
      <c r="G180" s="584"/>
      <c r="H180" s="585">
        <f>SUM(H158-H179)</f>
        <v>-3958</v>
      </c>
      <c r="I180" s="586"/>
      <c r="J180" s="584"/>
      <c r="K180" s="587">
        <f>SUM(K158-K179)</f>
        <v>324</v>
      </c>
      <c r="L180" s="588"/>
      <c r="M180" s="584"/>
      <c r="N180" s="585">
        <f>SUM(N158-N179)</f>
        <v>13556</v>
      </c>
      <c r="O180" s="586"/>
      <c r="P180" s="584"/>
      <c r="Q180" s="587">
        <f>SUM(Q158-Q179)</f>
        <v>-15483</v>
      </c>
      <c r="R180" s="588"/>
      <c r="S180" s="584"/>
      <c r="T180" s="585">
        <f>SUM(T158-T179)</f>
        <v>4327</v>
      </c>
      <c r="U180" s="586"/>
      <c r="V180" s="584"/>
      <c r="W180" s="587">
        <f>SUM(W158-W179)</f>
        <v>13060</v>
      </c>
      <c r="X180" s="588"/>
      <c r="Y180" s="584"/>
      <c r="Z180" s="585">
        <f>SUM(Z158-Z179)</f>
        <v>0</v>
      </c>
      <c r="AA180" s="586"/>
      <c r="AB180" s="584"/>
      <c r="AC180" s="587">
        <f>SUM(AC158-AC179)</f>
        <v>0</v>
      </c>
      <c r="AD180" s="588"/>
      <c r="AE180" s="584"/>
      <c r="AF180" s="585">
        <f>SUM(AF158-AF179)</f>
        <v>0</v>
      </c>
      <c r="AG180" s="586"/>
      <c r="AH180" s="584"/>
      <c r="AI180" s="587">
        <f>SUM(AI158-AI179)</f>
        <v>0</v>
      </c>
      <c r="AJ180" s="588"/>
      <c r="AK180" s="584"/>
      <c r="AL180" s="585">
        <f>SUM(AL158-AL179)</f>
        <v>0</v>
      </c>
      <c r="AM180" s="586"/>
      <c r="AN180" s="589"/>
      <c r="AO180" s="590">
        <f>SUM(AO158-AO179)</f>
        <v>0</v>
      </c>
      <c r="AP180" s="479"/>
    </row>
    <row r="181" spans="1:42" ht="4.5" customHeight="1" x14ac:dyDescent="0.2"/>
    <row r="182" spans="1:42" s="444" customFormat="1" ht="12.75" x14ac:dyDescent="0.2">
      <c r="A182" s="1057" t="s">
        <v>426</v>
      </c>
      <c r="B182" s="1057"/>
      <c r="C182" s="1057"/>
      <c r="D182" s="1057"/>
      <c r="E182" s="1057"/>
      <c r="F182" s="1057"/>
      <c r="G182" s="1057"/>
      <c r="H182" s="1057"/>
      <c r="I182" s="1057"/>
      <c r="J182" s="1058" t="s">
        <v>630</v>
      </c>
      <c r="K182" s="1058"/>
      <c r="L182" s="1058"/>
      <c r="M182" s="1058"/>
      <c r="N182" s="1058"/>
      <c r="O182" s="1058"/>
      <c r="P182" s="1058"/>
      <c r="Q182" s="1058"/>
      <c r="R182" s="1058"/>
      <c r="S182" s="1058"/>
      <c r="T182" s="1058"/>
      <c r="U182" s="1058"/>
      <c r="V182" s="1058"/>
      <c r="W182" s="1058"/>
      <c r="X182" s="1058"/>
      <c r="Y182" s="1058"/>
      <c r="Z182" s="1058"/>
      <c r="AA182" s="1058"/>
      <c r="AB182" s="1058"/>
      <c r="AC182" s="1058"/>
      <c r="AD182" s="441"/>
      <c r="AE182" s="441"/>
      <c r="AF182" s="441"/>
      <c r="AG182" s="441"/>
      <c r="AH182" s="441"/>
      <c r="AI182" s="441"/>
      <c r="AJ182" s="441"/>
      <c r="AK182" s="441"/>
      <c r="AL182" s="441"/>
      <c r="AM182" s="441"/>
      <c r="AN182" s="442"/>
      <c r="AO182" s="443" t="s">
        <v>709</v>
      </c>
      <c r="AP182" s="442"/>
    </row>
    <row r="183" spans="1:42" ht="9.75" customHeight="1" thickBot="1" x14ac:dyDescent="0.25">
      <c r="A183" s="445"/>
      <c r="B183" s="445"/>
      <c r="C183" s="445"/>
      <c r="D183" s="445"/>
      <c r="E183" s="445"/>
      <c r="F183" s="445"/>
      <c r="G183" s="445"/>
      <c r="H183" s="445"/>
      <c r="I183" s="445"/>
      <c r="J183" s="445"/>
      <c r="K183" s="445"/>
      <c r="L183" s="445"/>
      <c r="M183" s="445"/>
      <c r="N183" s="445"/>
      <c r="O183" s="445"/>
      <c r="P183" s="445"/>
      <c r="Q183" s="445"/>
      <c r="R183" s="445"/>
      <c r="S183" s="445"/>
      <c r="T183" s="445"/>
      <c r="U183" s="445"/>
      <c r="V183" s="445"/>
      <c r="W183" s="445"/>
      <c r="X183" s="445"/>
      <c r="Y183" s="445"/>
      <c r="Z183" s="445"/>
      <c r="AA183" s="445"/>
      <c r="AB183" s="445"/>
      <c r="AC183" s="445"/>
      <c r="AD183" s="445"/>
      <c r="AE183" s="445"/>
      <c r="AF183" s="445"/>
      <c r="AG183" s="445"/>
      <c r="AH183" s="445"/>
      <c r="AI183" s="445"/>
      <c r="AJ183" s="445"/>
      <c r="AK183" s="445"/>
      <c r="AL183" s="445"/>
      <c r="AM183" s="445"/>
      <c r="AO183" s="447" t="s">
        <v>1338</v>
      </c>
    </row>
    <row r="184" spans="1:42" x14ac:dyDescent="0.2">
      <c r="A184" s="1046"/>
      <c r="B184" s="1048" t="s">
        <v>632</v>
      </c>
      <c r="C184" s="1050" t="s">
        <v>633</v>
      </c>
      <c r="D184" s="1052" t="s">
        <v>1326</v>
      </c>
      <c r="E184" s="1054" t="s">
        <v>1327</v>
      </c>
      <c r="F184" s="1044" t="s">
        <v>634</v>
      </c>
      <c r="G184" s="1044"/>
      <c r="H184" s="1044"/>
      <c r="I184" s="1043" t="s">
        <v>635</v>
      </c>
      <c r="J184" s="1044"/>
      <c r="K184" s="1045"/>
      <c r="L184" s="1044" t="s">
        <v>636</v>
      </c>
      <c r="M184" s="1044"/>
      <c r="N184" s="1044"/>
      <c r="O184" s="1043" t="s">
        <v>637</v>
      </c>
      <c r="P184" s="1044"/>
      <c r="Q184" s="1045"/>
      <c r="R184" s="1044" t="s">
        <v>638</v>
      </c>
      <c r="S184" s="1044"/>
      <c r="T184" s="1044"/>
      <c r="U184" s="1043" t="s">
        <v>639</v>
      </c>
      <c r="V184" s="1044"/>
      <c r="W184" s="1045"/>
      <c r="X184" s="1044" t="s">
        <v>640</v>
      </c>
      <c r="Y184" s="1044"/>
      <c r="Z184" s="1044"/>
      <c r="AA184" s="1043" t="s">
        <v>641</v>
      </c>
      <c r="AB184" s="1044"/>
      <c r="AC184" s="1045"/>
      <c r="AD184" s="1044" t="s">
        <v>642</v>
      </c>
      <c r="AE184" s="1044"/>
      <c r="AF184" s="1044"/>
      <c r="AG184" s="1043" t="s">
        <v>643</v>
      </c>
      <c r="AH184" s="1044"/>
      <c r="AI184" s="1045"/>
      <c r="AJ184" s="1044" t="s">
        <v>644</v>
      </c>
      <c r="AK184" s="1044"/>
      <c r="AL184" s="1044"/>
      <c r="AM184" s="1043" t="s">
        <v>645</v>
      </c>
      <c r="AN184" s="1044"/>
      <c r="AO184" s="1056"/>
    </row>
    <row r="185" spans="1:42" x14ac:dyDescent="0.2">
      <c r="A185" s="1047"/>
      <c r="B185" s="1049"/>
      <c r="C185" s="1051"/>
      <c r="D185" s="1053"/>
      <c r="E185" s="1055"/>
      <c r="F185" s="450" t="s">
        <v>1328</v>
      </c>
      <c r="G185" s="451" t="s">
        <v>1329</v>
      </c>
      <c r="H185" s="452" t="s">
        <v>1330</v>
      </c>
      <c r="I185" s="453" t="s">
        <v>1328</v>
      </c>
      <c r="J185" s="451" t="s">
        <v>1329</v>
      </c>
      <c r="K185" s="454" t="s">
        <v>1330</v>
      </c>
      <c r="L185" s="455" t="s">
        <v>1328</v>
      </c>
      <c r="M185" s="451" t="s">
        <v>1329</v>
      </c>
      <c r="N185" s="452" t="s">
        <v>1330</v>
      </c>
      <c r="O185" s="453" t="s">
        <v>1328</v>
      </c>
      <c r="P185" s="451" t="s">
        <v>1329</v>
      </c>
      <c r="Q185" s="454" t="s">
        <v>1330</v>
      </c>
      <c r="R185" s="455" t="s">
        <v>1328</v>
      </c>
      <c r="S185" s="451" t="s">
        <v>1329</v>
      </c>
      <c r="T185" s="452" t="s">
        <v>1330</v>
      </c>
      <c r="U185" s="453" t="s">
        <v>1328</v>
      </c>
      <c r="V185" s="451" t="s">
        <v>1329</v>
      </c>
      <c r="W185" s="454" t="s">
        <v>1330</v>
      </c>
      <c r="X185" s="455" t="s">
        <v>1328</v>
      </c>
      <c r="Y185" s="451" t="s">
        <v>1329</v>
      </c>
      <c r="Z185" s="452" t="s">
        <v>1330</v>
      </c>
      <c r="AA185" s="453" t="s">
        <v>1328</v>
      </c>
      <c r="AB185" s="451" t="s">
        <v>1329</v>
      </c>
      <c r="AC185" s="454" t="s">
        <v>1330</v>
      </c>
      <c r="AD185" s="455" t="s">
        <v>1328</v>
      </c>
      <c r="AE185" s="451" t="s">
        <v>1329</v>
      </c>
      <c r="AF185" s="452" t="s">
        <v>1330</v>
      </c>
      <c r="AG185" s="453" t="s">
        <v>1328</v>
      </c>
      <c r="AH185" s="451" t="s">
        <v>1329</v>
      </c>
      <c r="AI185" s="454" t="s">
        <v>1330</v>
      </c>
      <c r="AJ185" s="455" t="s">
        <v>1328</v>
      </c>
      <c r="AK185" s="451" t="s">
        <v>1329</v>
      </c>
      <c r="AL185" s="452" t="s">
        <v>1330</v>
      </c>
      <c r="AM185" s="453" t="s">
        <v>1328</v>
      </c>
      <c r="AN185" s="451" t="s">
        <v>1329</v>
      </c>
      <c r="AO185" s="456" t="s">
        <v>1330</v>
      </c>
    </row>
    <row r="186" spans="1:42" x14ac:dyDescent="0.2">
      <c r="A186" s="466" t="s">
        <v>646</v>
      </c>
      <c r="B186" s="467" t="s">
        <v>647</v>
      </c>
      <c r="C186" s="591">
        <f>SUM(F186,I186,L186,O186,R186,U186,X186,AA186,AD186,AG186,AJ186,AM186)</f>
        <v>0</v>
      </c>
      <c r="D186" s="543">
        <f t="shared" ref="D186:E201" si="154">SUM(G186,J186,M186,P186,S186,V186,Y186,AB186,AE186,AH186,AK186,AN186)</f>
        <v>0</v>
      </c>
      <c r="E186" s="465">
        <f t="shared" si="154"/>
        <v>0</v>
      </c>
      <c r="F186" s="469"/>
      <c r="G186" s="592"/>
      <c r="H186" s="593"/>
      <c r="I186" s="549"/>
      <c r="J186" s="592"/>
      <c r="K186" s="595"/>
      <c r="L186" s="469"/>
      <c r="M186" s="592"/>
      <c r="N186" s="593"/>
      <c r="O186" s="549"/>
      <c r="P186" s="592"/>
      <c r="Q186" s="595"/>
      <c r="R186" s="469"/>
      <c r="S186" s="592"/>
      <c r="T186" s="593"/>
      <c r="U186" s="549"/>
      <c r="V186" s="592"/>
      <c r="W186" s="595"/>
      <c r="X186" s="469"/>
      <c r="Y186" s="592"/>
      <c r="Z186" s="593"/>
      <c r="AA186" s="549"/>
      <c r="AB186" s="592"/>
      <c r="AC186" s="595"/>
      <c r="AD186" s="469"/>
      <c r="AE186" s="592"/>
      <c r="AF186" s="593"/>
      <c r="AG186" s="549"/>
      <c r="AH186" s="592"/>
      <c r="AI186" s="595"/>
      <c r="AJ186" s="469"/>
      <c r="AK186" s="592"/>
      <c r="AL186" s="593"/>
      <c r="AM186" s="549"/>
      <c r="AN186" s="592"/>
      <c r="AO186" s="465"/>
    </row>
    <row r="187" spans="1:42" x14ac:dyDescent="0.2">
      <c r="A187" s="466" t="s">
        <v>650</v>
      </c>
      <c r="B187" s="467" t="s">
        <v>649</v>
      </c>
      <c r="C187" s="468">
        <f t="shared" ref="C187:C191" si="155">SUM(F187,I187,L187,O187,R187,U187,X187,AA187,AD187,AG187,AJ187,AM187)</f>
        <v>0</v>
      </c>
      <c r="D187" s="469">
        <f t="shared" si="154"/>
        <v>0</v>
      </c>
      <c r="E187" s="470">
        <f t="shared" si="154"/>
        <v>0</v>
      </c>
      <c r="F187" s="469"/>
      <c r="G187" s="598"/>
      <c r="H187" s="599"/>
      <c r="I187" s="549"/>
      <c r="J187" s="598"/>
      <c r="K187" s="600"/>
      <c r="L187" s="469"/>
      <c r="M187" s="598"/>
      <c r="N187" s="599"/>
      <c r="O187" s="549"/>
      <c r="P187" s="598"/>
      <c r="Q187" s="600"/>
      <c r="R187" s="469"/>
      <c r="S187" s="598"/>
      <c r="T187" s="599"/>
      <c r="U187" s="549"/>
      <c r="V187" s="598"/>
      <c r="W187" s="600"/>
      <c r="X187" s="469"/>
      <c r="Y187" s="598"/>
      <c r="Z187" s="599"/>
      <c r="AA187" s="549"/>
      <c r="AB187" s="598"/>
      <c r="AC187" s="600"/>
      <c r="AD187" s="469"/>
      <c r="AE187" s="598"/>
      <c r="AF187" s="599"/>
      <c r="AG187" s="549"/>
      <c r="AH187" s="598"/>
      <c r="AI187" s="600"/>
      <c r="AJ187" s="469"/>
      <c r="AK187" s="598"/>
      <c r="AL187" s="599"/>
      <c r="AM187" s="549"/>
      <c r="AN187" s="598"/>
      <c r="AO187" s="470"/>
    </row>
    <row r="188" spans="1:42" x14ac:dyDescent="0.2">
      <c r="A188" s="466" t="s">
        <v>652</v>
      </c>
      <c r="B188" s="467" t="s">
        <v>651</v>
      </c>
      <c r="C188" s="468">
        <f t="shared" si="155"/>
        <v>95755</v>
      </c>
      <c r="D188" s="469">
        <f t="shared" si="154"/>
        <v>95755</v>
      </c>
      <c r="E188" s="470">
        <f t="shared" si="154"/>
        <v>44269</v>
      </c>
      <c r="F188" s="469">
        <v>8555</v>
      </c>
      <c r="G188" s="598">
        <v>5809</v>
      </c>
      <c r="H188" s="599">
        <v>5809</v>
      </c>
      <c r="I188" s="549">
        <v>8555</v>
      </c>
      <c r="J188" s="598">
        <v>6725</v>
      </c>
      <c r="K188" s="600">
        <v>6725</v>
      </c>
      <c r="L188" s="469">
        <v>8555</v>
      </c>
      <c r="M188" s="598">
        <v>10711</v>
      </c>
      <c r="N188" s="599">
        <v>10711</v>
      </c>
      <c r="O188" s="549">
        <v>8480</v>
      </c>
      <c r="P188" s="598">
        <v>8630</v>
      </c>
      <c r="Q188" s="600">
        <v>8630</v>
      </c>
      <c r="R188" s="469">
        <v>8783</v>
      </c>
      <c r="S188" s="598">
        <v>6072</v>
      </c>
      <c r="T188" s="599">
        <v>6072</v>
      </c>
      <c r="U188" s="549">
        <v>6825</v>
      </c>
      <c r="V188" s="598">
        <v>6322</v>
      </c>
      <c r="W188" s="600">
        <v>6322</v>
      </c>
      <c r="X188" s="469">
        <v>5835</v>
      </c>
      <c r="Y188" s="598">
        <v>5149</v>
      </c>
      <c r="Z188" s="599"/>
      <c r="AA188" s="549">
        <v>5973</v>
      </c>
      <c r="AB188" s="598">
        <v>5149</v>
      </c>
      <c r="AC188" s="600"/>
      <c r="AD188" s="469">
        <v>9565</v>
      </c>
      <c r="AE188" s="598">
        <v>10297</v>
      </c>
      <c r="AF188" s="599"/>
      <c r="AG188" s="549">
        <v>8534</v>
      </c>
      <c r="AH188" s="598">
        <v>10297</v>
      </c>
      <c r="AI188" s="600"/>
      <c r="AJ188" s="469">
        <v>8834</v>
      </c>
      <c r="AK188" s="598">
        <v>10297</v>
      </c>
      <c r="AL188" s="599"/>
      <c r="AM188" s="549">
        <v>7261</v>
      </c>
      <c r="AN188" s="598">
        <v>10297</v>
      </c>
      <c r="AO188" s="470"/>
    </row>
    <row r="189" spans="1:42" x14ac:dyDescent="0.2">
      <c r="A189" s="466" t="s">
        <v>1331</v>
      </c>
      <c r="B189" s="467" t="s">
        <v>653</v>
      </c>
      <c r="C189" s="468">
        <f t="shared" si="155"/>
        <v>0</v>
      </c>
      <c r="D189" s="469">
        <f t="shared" si="154"/>
        <v>0</v>
      </c>
      <c r="E189" s="470">
        <f t="shared" si="154"/>
        <v>0</v>
      </c>
      <c r="F189" s="469"/>
      <c r="G189" s="598"/>
      <c r="H189" s="599"/>
      <c r="I189" s="549"/>
      <c r="J189" s="598"/>
      <c r="K189" s="600"/>
      <c r="L189" s="469"/>
      <c r="M189" s="598"/>
      <c r="N189" s="599"/>
      <c r="O189" s="549"/>
      <c r="P189" s="598"/>
      <c r="Q189" s="600"/>
      <c r="R189" s="469"/>
      <c r="S189" s="598"/>
      <c r="T189" s="599"/>
      <c r="U189" s="549"/>
      <c r="V189" s="598"/>
      <c r="W189" s="600"/>
      <c r="X189" s="469"/>
      <c r="Y189" s="598"/>
      <c r="Z189" s="599"/>
      <c r="AA189" s="549"/>
      <c r="AB189" s="598"/>
      <c r="AC189" s="600"/>
      <c r="AD189" s="469"/>
      <c r="AE189" s="598"/>
      <c r="AF189" s="599"/>
      <c r="AG189" s="549"/>
      <c r="AH189" s="598"/>
      <c r="AI189" s="600"/>
      <c r="AJ189" s="469"/>
      <c r="AK189" s="598"/>
      <c r="AL189" s="599"/>
      <c r="AM189" s="549"/>
      <c r="AN189" s="598"/>
      <c r="AO189" s="470"/>
    </row>
    <row r="190" spans="1:42" x14ac:dyDescent="0.2">
      <c r="A190" s="471" t="s">
        <v>654</v>
      </c>
      <c r="B190" s="472" t="s">
        <v>655</v>
      </c>
      <c r="C190" s="473">
        <f t="shared" si="155"/>
        <v>95755</v>
      </c>
      <c r="D190" s="474">
        <f t="shared" si="154"/>
        <v>95755</v>
      </c>
      <c r="E190" s="475">
        <f t="shared" si="154"/>
        <v>44269</v>
      </c>
      <c r="F190" s="474">
        <f>SUM(F186:F189)</f>
        <v>8555</v>
      </c>
      <c r="G190" s="603">
        <f t="shared" ref="G190:AO190" si="156">SUM(G186:G189)</f>
        <v>5809</v>
      </c>
      <c r="H190" s="604">
        <f t="shared" si="156"/>
        <v>5809</v>
      </c>
      <c r="I190" s="477">
        <f t="shared" si="156"/>
        <v>8555</v>
      </c>
      <c r="J190" s="603">
        <f t="shared" si="156"/>
        <v>6725</v>
      </c>
      <c r="K190" s="605">
        <f t="shared" si="156"/>
        <v>6725</v>
      </c>
      <c r="L190" s="474">
        <f t="shared" si="156"/>
        <v>8555</v>
      </c>
      <c r="M190" s="603">
        <f t="shared" si="156"/>
        <v>10711</v>
      </c>
      <c r="N190" s="604">
        <f t="shared" si="156"/>
        <v>10711</v>
      </c>
      <c r="O190" s="477">
        <f t="shared" si="156"/>
        <v>8480</v>
      </c>
      <c r="P190" s="603">
        <f t="shared" si="156"/>
        <v>8630</v>
      </c>
      <c r="Q190" s="605">
        <f t="shared" si="156"/>
        <v>8630</v>
      </c>
      <c r="R190" s="474">
        <f t="shared" si="156"/>
        <v>8783</v>
      </c>
      <c r="S190" s="603">
        <f t="shared" si="156"/>
        <v>6072</v>
      </c>
      <c r="T190" s="604">
        <f t="shared" si="156"/>
        <v>6072</v>
      </c>
      <c r="U190" s="477">
        <f t="shared" si="156"/>
        <v>6825</v>
      </c>
      <c r="V190" s="603">
        <f t="shared" si="156"/>
        <v>6322</v>
      </c>
      <c r="W190" s="605">
        <f t="shared" si="156"/>
        <v>6322</v>
      </c>
      <c r="X190" s="474">
        <f t="shared" si="156"/>
        <v>5835</v>
      </c>
      <c r="Y190" s="603">
        <f t="shared" si="156"/>
        <v>5149</v>
      </c>
      <c r="Z190" s="604">
        <f t="shared" si="156"/>
        <v>0</v>
      </c>
      <c r="AA190" s="477">
        <f t="shared" si="156"/>
        <v>5973</v>
      </c>
      <c r="AB190" s="603">
        <f t="shared" si="156"/>
        <v>5149</v>
      </c>
      <c r="AC190" s="605">
        <f t="shared" si="156"/>
        <v>0</v>
      </c>
      <c r="AD190" s="474">
        <f t="shared" si="156"/>
        <v>9565</v>
      </c>
      <c r="AE190" s="603">
        <f t="shared" si="156"/>
        <v>10297</v>
      </c>
      <c r="AF190" s="604">
        <f t="shared" si="156"/>
        <v>0</v>
      </c>
      <c r="AG190" s="477">
        <f t="shared" si="156"/>
        <v>8534</v>
      </c>
      <c r="AH190" s="603">
        <f t="shared" si="156"/>
        <v>10297</v>
      </c>
      <c r="AI190" s="605">
        <f t="shared" si="156"/>
        <v>0</v>
      </c>
      <c r="AJ190" s="474">
        <f t="shared" si="156"/>
        <v>8834</v>
      </c>
      <c r="AK190" s="603">
        <f t="shared" si="156"/>
        <v>10297</v>
      </c>
      <c r="AL190" s="604">
        <f t="shared" si="156"/>
        <v>0</v>
      </c>
      <c r="AM190" s="477">
        <f t="shared" si="156"/>
        <v>7261</v>
      </c>
      <c r="AN190" s="603">
        <f t="shared" si="156"/>
        <v>10297</v>
      </c>
      <c r="AO190" s="475">
        <f t="shared" si="156"/>
        <v>0</v>
      </c>
    </row>
    <row r="191" spans="1:42" x14ac:dyDescent="0.2">
      <c r="A191" s="471" t="s">
        <v>656</v>
      </c>
      <c r="B191" s="472" t="s">
        <v>657</v>
      </c>
      <c r="C191" s="473">
        <f t="shared" si="155"/>
        <v>571853</v>
      </c>
      <c r="D191" s="474">
        <f t="shared" si="154"/>
        <v>590124</v>
      </c>
      <c r="E191" s="475">
        <f t="shared" si="154"/>
        <v>290393</v>
      </c>
      <c r="F191" s="474">
        <v>46074</v>
      </c>
      <c r="G191" s="603">
        <v>17626</v>
      </c>
      <c r="H191" s="604">
        <v>17626</v>
      </c>
      <c r="I191" s="477">
        <v>46460</v>
      </c>
      <c r="J191" s="603">
        <v>49353</v>
      </c>
      <c r="K191" s="605">
        <v>49353</v>
      </c>
      <c r="L191" s="474">
        <v>47275</v>
      </c>
      <c r="M191" s="603">
        <v>52181</v>
      </c>
      <c r="N191" s="604">
        <v>52181</v>
      </c>
      <c r="O191" s="477">
        <v>45379</v>
      </c>
      <c r="P191" s="603">
        <v>46018</v>
      </c>
      <c r="Q191" s="605">
        <v>46018</v>
      </c>
      <c r="R191" s="474">
        <v>48543</v>
      </c>
      <c r="S191" s="603">
        <v>49949</v>
      </c>
      <c r="T191" s="604">
        <v>49949</v>
      </c>
      <c r="U191" s="477">
        <v>51244</v>
      </c>
      <c r="V191" s="603">
        <v>75266</v>
      </c>
      <c r="W191" s="605">
        <v>75266</v>
      </c>
      <c r="X191" s="474">
        <v>47747</v>
      </c>
      <c r="Y191" s="603">
        <v>53007</v>
      </c>
      <c r="Z191" s="604"/>
      <c r="AA191" s="477">
        <v>53033</v>
      </c>
      <c r="AB191" s="603">
        <v>53471</v>
      </c>
      <c r="AC191" s="605"/>
      <c r="AD191" s="474">
        <v>47055</v>
      </c>
      <c r="AE191" s="603">
        <v>47859</v>
      </c>
      <c r="AF191" s="604"/>
      <c r="AG191" s="477">
        <v>47361</v>
      </c>
      <c r="AH191" s="603">
        <v>47861</v>
      </c>
      <c r="AI191" s="605"/>
      <c r="AJ191" s="474">
        <v>44706</v>
      </c>
      <c r="AK191" s="603">
        <v>47859</v>
      </c>
      <c r="AL191" s="604"/>
      <c r="AM191" s="477">
        <v>46976</v>
      </c>
      <c r="AN191" s="603">
        <v>49674</v>
      </c>
      <c r="AO191" s="475"/>
    </row>
    <row r="192" spans="1:42" x14ac:dyDescent="0.2">
      <c r="A192" s="481" t="s">
        <v>658</v>
      </c>
      <c r="B192" s="482" t="s">
        <v>659</v>
      </c>
      <c r="C192" s="483">
        <f>SUM(F192,I192,L192,O192,R192,U192,X192,AA192,AD192,AG192,AJ192,AM192)</f>
        <v>3293</v>
      </c>
      <c r="D192" s="484">
        <f t="shared" si="154"/>
        <v>3293</v>
      </c>
      <c r="E192" s="485">
        <f t="shared" si="154"/>
        <v>0</v>
      </c>
      <c r="F192" s="487">
        <v>3293</v>
      </c>
      <c r="G192" s="606"/>
      <c r="H192" s="607"/>
      <c r="I192" s="487"/>
      <c r="J192" s="606"/>
      <c r="K192" s="608"/>
      <c r="L192" s="484"/>
      <c r="M192" s="606"/>
      <c r="N192" s="607"/>
      <c r="O192" s="487"/>
      <c r="P192" s="606"/>
      <c r="Q192" s="608"/>
      <c r="R192" s="484"/>
      <c r="S192" s="606"/>
      <c r="T192" s="607"/>
      <c r="U192" s="487"/>
      <c r="V192" s="606"/>
      <c r="W192" s="608"/>
      <c r="X192" s="484"/>
      <c r="Y192" s="606">
        <v>3293</v>
      </c>
      <c r="Z192" s="607"/>
      <c r="AA192" s="487"/>
      <c r="AB192" s="606"/>
      <c r="AC192" s="608"/>
      <c r="AD192" s="484"/>
      <c r="AE192" s="606"/>
      <c r="AF192" s="607"/>
      <c r="AG192" s="487"/>
      <c r="AH192" s="606"/>
      <c r="AI192" s="608"/>
      <c r="AJ192" s="484"/>
      <c r="AK192" s="606"/>
      <c r="AL192" s="607"/>
      <c r="AM192" s="487"/>
      <c r="AN192" s="606"/>
      <c r="AO192" s="485"/>
    </row>
    <row r="193" spans="1:42" x14ac:dyDescent="0.2">
      <c r="A193" s="471" t="s">
        <v>660</v>
      </c>
      <c r="B193" s="472" t="s">
        <v>661</v>
      </c>
      <c r="C193" s="473">
        <f>SUM(F193,I193,L193,O193,R193,U193,X193,AA193,AD193,AG193,AJ193,AM193)</f>
        <v>667608</v>
      </c>
      <c r="D193" s="474">
        <f t="shared" si="154"/>
        <v>685879</v>
      </c>
      <c r="E193" s="475">
        <f t="shared" si="154"/>
        <v>334662</v>
      </c>
      <c r="F193" s="474">
        <f>SUM(+F190,F191)</f>
        <v>54629</v>
      </c>
      <c r="G193" s="603">
        <f t="shared" ref="G193:H193" si="157">SUM(G190,G191)</f>
        <v>23435</v>
      </c>
      <c r="H193" s="604">
        <f t="shared" si="157"/>
        <v>23435</v>
      </c>
      <c r="I193" s="477">
        <f>SUM(I190,I191)</f>
        <v>55015</v>
      </c>
      <c r="J193" s="603">
        <f t="shared" ref="J193:AO193" si="158">SUM(J190,J191)</f>
        <v>56078</v>
      </c>
      <c r="K193" s="605">
        <f t="shared" si="158"/>
        <v>56078</v>
      </c>
      <c r="L193" s="474">
        <f t="shared" si="158"/>
        <v>55830</v>
      </c>
      <c r="M193" s="603">
        <f t="shared" si="158"/>
        <v>62892</v>
      </c>
      <c r="N193" s="604">
        <f t="shared" si="158"/>
        <v>62892</v>
      </c>
      <c r="O193" s="477">
        <f t="shared" si="158"/>
        <v>53859</v>
      </c>
      <c r="P193" s="603">
        <f t="shared" si="158"/>
        <v>54648</v>
      </c>
      <c r="Q193" s="605">
        <f t="shared" si="158"/>
        <v>54648</v>
      </c>
      <c r="R193" s="474">
        <f t="shared" si="158"/>
        <v>57326</v>
      </c>
      <c r="S193" s="603">
        <f t="shared" si="158"/>
        <v>56021</v>
      </c>
      <c r="T193" s="604">
        <f t="shared" si="158"/>
        <v>56021</v>
      </c>
      <c r="U193" s="477">
        <f t="shared" si="158"/>
        <v>58069</v>
      </c>
      <c r="V193" s="603">
        <f t="shared" si="158"/>
        <v>81588</v>
      </c>
      <c r="W193" s="605">
        <f t="shared" si="158"/>
        <v>81588</v>
      </c>
      <c r="X193" s="474">
        <f t="shared" si="158"/>
        <v>53582</v>
      </c>
      <c r="Y193" s="603">
        <f t="shared" si="158"/>
        <v>58156</v>
      </c>
      <c r="Z193" s="604">
        <f t="shared" si="158"/>
        <v>0</v>
      </c>
      <c r="AA193" s="477">
        <f t="shared" si="158"/>
        <v>59006</v>
      </c>
      <c r="AB193" s="603">
        <f t="shared" si="158"/>
        <v>58620</v>
      </c>
      <c r="AC193" s="605">
        <f t="shared" si="158"/>
        <v>0</v>
      </c>
      <c r="AD193" s="474">
        <f t="shared" si="158"/>
        <v>56620</v>
      </c>
      <c r="AE193" s="603">
        <f t="shared" si="158"/>
        <v>58156</v>
      </c>
      <c r="AF193" s="604">
        <f t="shared" si="158"/>
        <v>0</v>
      </c>
      <c r="AG193" s="477">
        <f t="shared" si="158"/>
        <v>55895</v>
      </c>
      <c r="AH193" s="603">
        <f t="shared" si="158"/>
        <v>58158</v>
      </c>
      <c r="AI193" s="605">
        <f t="shared" si="158"/>
        <v>0</v>
      </c>
      <c r="AJ193" s="474">
        <f t="shared" si="158"/>
        <v>53540</v>
      </c>
      <c r="AK193" s="603">
        <f t="shared" si="158"/>
        <v>58156</v>
      </c>
      <c r="AL193" s="604">
        <f t="shared" si="158"/>
        <v>0</v>
      </c>
      <c r="AM193" s="477">
        <f t="shared" si="158"/>
        <v>54237</v>
      </c>
      <c r="AN193" s="603">
        <f t="shared" si="158"/>
        <v>59971</v>
      </c>
      <c r="AO193" s="475">
        <f t="shared" si="158"/>
        <v>0</v>
      </c>
    </row>
    <row r="194" spans="1:42" x14ac:dyDescent="0.2">
      <c r="A194" s="466" t="s">
        <v>648</v>
      </c>
      <c r="B194" s="467" t="s">
        <v>662</v>
      </c>
      <c r="C194" s="468">
        <f t="shared" ref="C194:C198" si="159">SUM(F194,I194,L194,O194,R194,U194,X194,AA194,AD194,AG194,AJ194,AM194)</f>
        <v>0</v>
      </c>
      <c r="D194" s="469">
        <f t="shared" si="154"/>
        <v>0</v>
      </c>
      <c r="E194" s="470">
        <f t="shared" si="154"/>
        <v>0</v>
      </c>
      <c r="F194" s="469"/>
      <c r="G194" s="598"/>
      <c r="H194" s="599"/>
      <c r="I194" s="549"/>
      <c r="J194" s="598"/>
      <c r="K194" s="600"/>
      <c r="L194" s="469"/>
      <c r="M194" s="598"/>
      <c r="N194" s="599"/>
      <c r="O194" s="549"/>
      <c r="P194" s="598"/>
      <c r="Q194" s="600"/>
      <c r="R194" s="469"/>
      <c r="S194" s="598"/>
      <c r="T194" s="599"/>
      <c r="U194" s="549"/>
      <c r="V194" s="598"/>
      <c r="W194" s="600"/>
      <c r="X194" s="469"/>
      <c r="Y194" s="598"/>
      <c r="Z194" s="599"/>
      <c r="AA194" s="549"/>
      <c r="AB194" s="598"/>
      <c r="AC194" s="600"/>
      <c r="AD194" s="469"/>
      <c r="AE194" s="598"/>
      <c r="AF194" s="599"/>
      <c r="AG194" s="549"/>
      <c r="AH194" s="598"/>
      <c r="AI194" s="600"/>
      <c r="AJ194" s="469"/>
      <c r="AK194" s="598"/>
      <c r="AL194" s="599"/>
      <c r="AM194" s="549"/>
      <c r="AN194" s="598"/>
      <c r="AO194" s="470"/>
    </row>
    <row r="195" spans="1:42" x14ac:dyDescent="0.2">
      <c r="A195" s="491" t="s">
        <v>663</v>
      </c>
      <c r="B195" s="492" t="s">
        <v>664</v>
      </c>
      <c r="C195" s="468">
        <f t="shared" si="159"/>
        <v>0</v>
      </c>
      <c r="D195" s="469">
        <f t="shared" si="154"/>
        <v>0</v>
      </c>
      <c r="E195" s="470">
        <f t="shared" si="154"/>
        <v>0</v>
      </c>
      <c r="F195" s="630"/>
      <c r="G195" s="598"/>
      <c r="H195" s="599"/>
      <c r="I195" s="631"/>
      <c r="J195" s="598"/>
      <c r="K195" s="600"/>
      <c r="L195" s="630"/>
      <c r="M195" s="598"/>
      <c r="N195" s="599"/>
      <c r="O195" s="631"/>
      <c r="P195" s="598"/>
      <c r="Q195" s="600"/>
      <c r="R195" s="630"/>
      <c r="S195" s="598"/>
      <c r="T195" s="599"/>
      <c r="U195" s="631"/>
      <c r="V195" s="598"/>
      <c r="W195" s="600"/>
      <c r="X195" s="630"/>
      <c r="Y195" s="598"/>
      <c r="Z195" s="599"/>
      <c r="AA195" s="631"/>
      <c r="AB195" s="598"/>
      <c r="AC195" s="600"/>
      <c r="AD195" s="630"/>
      <c r="AE195" s="598"/>
      <c r="AF195" s="599"/>
      <c r="AG195" s="631"/>
      <c r="AH195" s="598"/>
      <c r="AI195" s="600"/>
      <c r="AJ195" s="630"/>
      <c r="AK195" s="598"/>
      <c r="AL195" s="599"/>
      <c r="AM195" s="631"/>
      <c r="AN195" s="598"/>
      <c r="AO195" s="470"/>
    </row>
    <row r="196" spans="1:42" x14ac:dyDescent="0.2">
      <c r="A196" s="491" t="s">
        <v>665</v>
      </c>
      <c r="B196" s="492" t="s">
        <v>666</v>
      </c>
      <c r="C196" s="468">
        <f t="shared" si="159"/>
        <v>0</v>
      </c>
      <c r="D196" s="469">
        <f t="shared" si="154"/>
        <v>0</v>
      </c>
      <c r="E196" s="470">
        <f t="shared" si="154"/>
        <v>0</v>
      </c>
      <c r="F196" s="630"/>
      <c r="G196" s="598"/>
      <c r="H196" s="599"/>
      <c r="I196" s="631"/>
      <c r="J196" s="598"/>
      <c r="K196" s="600"/>
      <c r="L196" s="630"/>
      <c r="M196" s="598"/>
      <c r="N196" s="599"/>
      <c r="O196" s="631"/>
      <c r="P196" s="598"/>
      <c r="Q196" s="600"/>
      <c r="R196" s="630"/>
      <c r="S196" s="598"/>
      <c r="T196" s="599"/>
      <c r="U196" s="631"/>
      <c r="V196" s="598"/>
      <c r="W196" s="600"/>
      <c r="X196" s="630"/>
      <c r="Y196" s="598"/>
      <c r="Z196" s="599"/>
      <c r="AA196" s="631"/>
      <c r="AB196" s="598"/>
      <c r="AC196" s="600"/>
      <c r="AD196" s="630"/>
      <c r="AE196" s="598"/>
      <c r="AF196" s="599"/>
      <c r="AG196" s="631"/>
      <c r="AH196" s="598"/>
      <c r="AI196" s="600"/>
      <c r="AJ196" s="630"/>
      <c r="AK196" s="598"/>
      <c r="AL196" s="599"/>
      <c r="AM196" s="631"/>
      <c r="AN196" s="598"/>
      <c r="AO196" s="470"/>
    </row>
    <row r="197" spans="1:42" x14ac:dyDescent="0.2">
      <c r="A197" s="471" t="s">
        <v>667</v>
      </c>
      <c r="B197" s="472" t="s">
        <v>668</v>
      </c>
      <c r="C197" s="473">
        <f t="shared" si="159"/>
        <v>0</v>
      </c>
      <c r="D197" s="474">
        <f t="shared" si="154"/>
        <v>0</v>
      </c>
      <c r="E197" s="475">
        <f t="shared" si="154"/>
        <v>0</v>
      </c>
      <c r="F197" s="473">
        <f>SUM(F194:F196)</f>
        <v>0</v>
      </c>
      <c r="G197" s="603">
        <f t="shared" ref="G197:AO197" si="160">SUM(G194:G196)</f>
        <v>0</v>
      </c>
      <c r="H197" s="604">
        <f t="shared" si="160"/>
        <v>0</v>
      </c>
      <c r="I197" s="477">
        <f t="shared" si="160"/>
        <v>0</v>
      </c>
      <c r="J197" s="603">
        <f t="shared" si="160"/>
        <v>0</v>
      </c>
      <c r="K197" s="605">
        <f t="shared" si="160"/>
        <v>0</v>
      </c>
      <c r="L197" s="474">
        <f t="shared" si="160"/>
        <v>0</v>
      </c>
      <c r="M197" s="603">
        <f t="shared" si="160"/>
        <v>0</v>
      </c>
      <c r="N197" s="604">
        <f t="shared" si="160"/>
        <v>0</v>
      </c>
      <c r="O197" s="477">
        <f t="shared" si="160"/>
        <v>0</v>
      </c>
      <c r="P197" s="603">
        <f t="shared" si="160"/>
        <v>0</v>
      </c>
      <c r="Q197" s="605">
        <f t="shared" si="160"/>
        <v>0</v>
      </c>
      <c r="R197" s="474">
        <f t="shared" si="160"/>
        <v>0</v>
      </c>
      <c r="S197" s="603">
        <f t="shared" si="160"/>
        <v>0</v>
      </c>
      <c r="T197" s="604">
        <f t="shared" si="160"/>
        <v>0</v>
      </c>
      <c r="U197" s="477">
        <f t="shared" si="160"/>
        <v>0</v>
      </c>
      <c r="V197" s="603">
        <f t="shared" si="160"/>
        <v>0</v>
      </c>
      <c r="W197" s="605">
        <f t="shared" si="160"/>
        <v>0</v>
      </c>
      <c r="X197" s="474">
        <f t="shared" si="160"/>
        <v>0</v>
      </c>
      <c r="Y197" s="603">
        <f t="shared" si="160"/>
        <v>0</v>
      </c>
      <c r="Z197" s="604">
        <f t="shared" si="160"/>
        <v>0</v>
      </c>
      <c r="AA197" s="477">
        <f t="shared" si="160"/>
        <v>0</v>
      </c>
      <c r="AB197" s="603">
        <f t="shared" si="160"/>
        <v>0</v>
      </c>
      <c r="AC197" s="605">
        <f t="shared" si="160"/>
        <v>0</v>
      </c>
      <c r="AD197" s="474">
        <f t="shared" si="160"/>
        <v>0</v>
      </c>
      <c r="AE197" s="603">
        <f t="shared" si="160"/>
        <v>0</v>
      </c>
      <c r="AF197" s="604">
        <f t="shared" si="160"/>
        <v>0</v>
      </c>
      <c r="AG197" s="477">
        <f t="shared" si="160"/>
        <v>0</v>
      </c>
      <c r="AH197" s="603">
        <f t="shared" si="160"/>
        <v>0</v>
      </c>
      <c r="AI197" s="605">
        <f t="shared" si="160"/>
        <v>0</v>
      </c>
      <c r="AJ197" s="474">
        <f t="shared" si="160"/>
        <v>0</v>
      </c>
      <c r="AK197" s="603">
        <f t="shared" si="160"/>
        <v>0</v>
      </c>
      <c r="AL197" s="604">
        <f t="shared" si="160"/>
        <v>0</v>
      </c>
      <c r="AM197" s="477">
        <f t="shared" si="160"/>
        <v>0</v>
      </c>
      <c r="AN197" s="603">
        <f t="shared" si="160"/>
        <v>0</v>
      </c>
      <c r="AO197" s="475">
        <f t="shared" si="160"/>
        <v>0</v>
      </c>
    </row>
    <row r="198" spans="1:42" x14ac:dyDescent="0.2">
      <c r="A198" s="493" t="s">
        <v>669</v>
      </c>
      <c r="B198" s="494" t="s">
        <v>657</v>
      </c>
      <c r="C198" s="473">
        <f t="shared" si="159"/>
        <v>2831</v>
      </c>
      <c r="D198" s="474">
        <f t="shared" si="154"/>
        <v>2831</v>
      </c>
      <c r="E198" s="475">
        <f t="shared" si="154"/>
        <v>910</v>
      </c>
      <c r="F198" s="632">
        <f>+F218</f>
        <v>0</v>
      </c>
      <c r="G198" s="603"/>
      <c r="H198" s="604"/>
      <c r="I198" s="497">
        <v>0</v>
      </c>
      <c r="J198" s="603">
        <v>39</v>
      </c>
      <c r="K198" s="605">
        <v>39</v>
      </c>
      <c r="L198" s="495">
        <f t="shared" ref="L198:AM198" si="161">+L218</f>
        <v>127</v>
      </c>
      <c r="M198" s="603">
        <v>130</v>
      </c>
      <c r="N198" s="604">
        <v>130</v>
      </c>
      <c r="O198" s="497">
        <f t="shared" si="161"/>
        <v>1000</v>
      </c>
      <c r="P198" s="603"/>
      <c r="Q198" s="605"/>
      <c r="R198" s="495">
        <f t="shared" si="161"/>
        <v>704</v>
      </c>
      <c r="S198" s="603">
        <v>540</v>
      </c>
      <c r="T198" s="604">
        <v>540</v>
      </c>
      <c r="U198" s="497">
        <f t="shared" si="161"/>
        <v>0</v>
      </c>
      <c r="V198" s="603">
        <v>201</v>
      </c>
      <c r="W198" s="605">
        <v>201</v>
      </c>
      <c r="X198" s="495">
        <f t="shared" si="161"/>
        <v>0</v>
      </c>
      <c r="Y198" s="603"/>
      <c r="Z198" s="604"/>
      <c r="AA198" s="497">
        <f t="shared" si="161"/>
        <v>0</v>
      </c>
      <c r="AB198" s="603"/>
      <c r="AC198" s="605"/>
      <c r="AD198" s="495">
        <f t="shared" si="161"/>
        <v>1000</v>
      </c>
      <c r="AE198" s="603">
        <v>1921</v>
      </c>
      <c r="AF198" s="604"/>
      <c r="AG198" s="497">
        <f t="shared" si="161"/>
        <v>0</v>
      </c>
      <c r="AH198" s="603"/>
      <c r="AI198" s="605"/>
      <c r="AJ198" s="495">
        <f t="shared" si="161"/>
        <v>0</v>
      </c>
      <c r="AK198" s="603"/>
      <c r="AL198" s="604"/>
      <c r="AM198" s="477">
        <f t="shared" si="161"/>
        <v>0</v>
      </c>
      <c r="AN198" s="603"/>
      <c r="AO198" s="475"/>
    </row>
    <row r="199" spans="1:42" x14ac:dyDescent="0.2">
      <c r="A199" s="481" t="s">
        <v>658</v>
      </c>
      <c r="B199" s="482" t="s">
        <v>659</v>
      </c>
      <c r="C199" s="483">
        <f>SUM(F199,I199,L199,O199,R199,U199,X199,AA199,AD199,AG199,AJ199,AM199)</f>
        <v>0</v>
      </c>
      <c r="D199" s="484">
        <f t="shared" si="154"/>
        <v>0</v>
      </c>
      <c r="E199" s="485">
        <f t="shared" si="154"/>
        <v>0</v>
      </c>
      <c r="F199" s="460"/>
      <c r="G199" s="598"/>
      <c r="H199" s="599"/>
      <c r="I199" s="463"/>
      <c r="J199" s="598"/>
      <c r="K199" s="600"/>
      <c r="L199" s="460"/>
      <c r="M199" s="598"/>
      <c r="N199" s="599"/>
      <c r="O199" s="463"/>
      <c r="P199" s="598"/>
      <c r="Q199" s="600"/>
      <c r="R199" s="460"/>
      <c r="S199" s="598"/>
      <c r="T199" s="599"/>
      <c r="U199" s="463"/>
      <c r="V199" s="598"/>
      <c r="W199" s="600"/>
      <c r="X199" s="460"/>
      <c r="Y199" s="598"/>
      <c r="Z199" s="599"/>
      <c r="AA199" s="463"/>
      <c r="AB199" s="598"/>
      <c r="AC199" s="600"/>
      <c r="AD199" s="460"/>
      <c r="AE199" s="598"/>
      <c r="AF199" s="599"/>
      <c r="AG199" s="463"/>
      <c r="AH199" s="598"/>
      <c r="AI199" s="600"/>
      <c r="AJ199" s="460"/>
      <c r="AK199" s="598"/>
      <c r="AL199" s="599"/>
      <c r="AM199" s="463"/>
      <c r="AN199" s="598"/>
      <c r="AO199" s="470"/>
    </row>
    <row r="200" spans="1:42" s="480" customFormat="1" ht="15.75" thickBot="1" x14ac:dyDescent="0.25">
      <c r="A200" s="505" t="s">
        <v>670</v>
      </c>
      <c r="B200" s="506" t="s">
        <v>671</v>
      </c>
      <c r="C200" s="507">
        <f>SUM(F200,I200,L200,O200,R200,U200,X200,AA200,AD200,AG200,AJ200,AM200)</f>
        <v>2831</v>
      </c>
      <c r="D200" s="508">
        <f t="shared" si="154"/>
        <v>2831</v>
      </c>
      <c r="E200" s="509">
        <f t="shared" si="154"/>
        <v>910</v>
      </c>
      <c r="F200" s="557">
        <f>SUM(F197,F198)</f>
        <v>0</v>
      </c>
      <c r="G200" s="610">
        <f t="shared" ref="G200:H200" si="162">SUM(G197,G198)</f>
        <v>0</v>
      </c>
      <c r="H200" s="611">
        <f t="shared" si="162"/>
        <v>0</v>
      </c>
      <c r="I200" s="512">
        <f>SUM(I197,I198)</f>
        <v>0</v>
      </c>
      <c r="J200" s="610">
        <f t="shared" ref="J200:AO200" si="163">SUM(J197,J198)</f>
        <v>39</v>
      </c>
      <c r="K200" s="612">
        <f t="shared" si="163"/>
        <v>39</v>
      </c>
      <c r="L200" s="510">
        <f t="shared" si="163"/>
        <v>127</v>
      </c>
      <c r="M200" s="610">
        <f t="shared" si="163"/>
        <v>130</v>
      </c>
      <c r="N200" s="611">
        <f t="shared" si="163"/>
        <v>130</v>
      </c>
      <c r="O200" s="512">
        <f t="shared" si="163"/>
        <v>1000</v>
      </c>
      <c r="P200" s="610">
        <f t="shared" si="163"/>
        <v>0</v>
      </c>
      <c r="Q200" s="612">
        <f t="shared" si="163"/>
        <v>0</v>
      </c>
      <c r="R200" s="510">
        <f t="shared" si="163"/>
        <v>704</v>
      </c>
      <c r="S200" s="610">
        <f t="shared" si="163"/>
        <v>540</v>
      </c>
      <c r="T200" s="611">
        <f t="shared" si="163"/>
        <v>540</v>
      </c>
      <c r="U200" s="512">
        <f t="shared" si="163"/>
        <v>0</v>
      </c>
      <c r="V200" s="610">
        <f t="shared" si="163"/>
        <v>201</v>
      </c>
      <c r="W200" s="612">
        <f t="shared" si="163"/>
        <v>201</v>
      </c>
      <c r="X200" s="510">
        <f t="shared" si="163"/>
        <v>0</v>
      </c>
      <c r="Y200" s="610">
        <f t="shared" si="163"/>
        <v>0</v>
      </c>
      <c r="Z200" s="611">
        <f t="shared" si="163"/>
        <v>0</v>
      </c>
      <c r="AA200" s="512">
        <f t="shared" si="163"/>
        <v>0</v>
      </c>
      <c r="AB200" s="610">
        <f t="shared" si="163"/>
        <v>0</v>
      </c>
      <c r="AC200" s="612">
        <f t="shared" si="163"/>
        <v>0</v>
      </c>
      <c r="AD200" s="510">
        <f t="shared" si="163"/>
        <v>1000</v>
      </c>
      <c r="AE200" s="610">
        <f t="shared" si="163"/>
        <v>1921</v>
      </c>
      <c r="AF200" s="611">
        <f t="shared" si="163"/>
        <v>0</v>
      </c>
      <c r="AG200" s="512">
        <f t="shared" si="163"/>
        <v>0</v>
      </c>
      <c r="AH200" s="610">
        <f t="shared" si="163"/>
        <v>0</v>
      </c>
      <c r="AI200" s="612">
        <f t="shared" si="163"/>
        <v>0</v>
      </c>
      <c r="AJ200" s="510">
        <f t="shared" si="163"/>
        <v>0</v>
      </c>
      <c r="AK200" s="610">
        <f t="shared" si="163"/>
        <v>0</v>
      </c>
      <c r="AL200" s="611">
        <f t="shared" si="163"/>
        <v>0</v>
      </c>
      <c r="AM200" s="514">
        <f t="shared" si="163"/>
        <v>0</v>
      </c>
      <c r="AN200" s="610">
        <f t="shared" si="163"/>
        <v>0</v>
      </c>
      <c r="AO200" s="509">
        <f t="shared" si="163"/>
        <v>0</v>
      </c>
      <c r="AP200" s="479"/>
    </row>
    <row r="201" spans="1:42" ht="15" thickBot="1" x14ac:dyDescent="0.25">
      <c r="A201" s="515" t="s">
        <v>672</v>
      </c>
      <c r="B201" s="516" t="s">
        <v>673</v>
      </c>
      <c r="C201" s="632">
        <f>SUM(F201,I201,L201,O201,R201,U201,X201,AA201,AD201,AG201,AJ201,AM201)</f>
        <v>670439</v>
      </c>
      <c r="D201" s="633">
        <f t="shared" si="154"/>
        <v>688710</v>
      </c>
      <c r="E201" s="634">
        <f t="shared" si="154"/>
        <v>335572</v>
      </c>
      <c r="F201" s="520">
        <f>SUM(F200,F193)</f>
        <v>54629</v>
      </c>
      <c r="G201" s="520">
        <f t="shared" ref="G201:H201" si="164">SUM(G200,G193)</f>
        <v>23435</v>
      </c>
      <c r="H201" s="521">
        <f t="shared" si="164"/>
        <v>23435</v>
      </c>
      <c r="I201" s="522">
        <f t="shared" ref="I201:AM201" si="165">SUM(I193,I200)</f>
        <v>55015</v>
      </c>
      <c r="J201" s="520">
        <f t="shared" ref="J201:K201" si="166">SUM(J200,J193)</f>
        <v>56117</v>
      </c>
      <c r="K201" s="523">
        <f t="shared" si="166"/>
        <v>56117</v>
      </c>
      <c r="L201" s="520">
        <f t="shared" si="165"/>
        <v>55957</v>
      </c>
      <c r="M201" s="520">
        <f t="shared" ref="M201:N201" si="167">SUM(M200,M193)</f>
        <v>63022</v>
      </c>
      <c r="N201" s="521">
        <f t="shared" si="167"/>
        <v>63022</v>
      </c>
      <c r="O201" s="522">
        <f t="shared" si="165"/>
        <v>54859</v>
      </c>
      <c r="P201" s="520">
        <f t="shared" ref="P201:Q201" si="168">SUM(P200,P193)</f>
        <v>54648</v>
      </c>
      <c r="Q201" s="523">
        <f t="shared" si="168"/>
        <v>54648</v>
      </c>
      <c r="R201" s="520">
        <f t="shared" si="165"/>
        <v>58030</v>
      </c>
      <c r="S201" s="520">
        <f t="shared" ref="S201:T201" si="169">SUM(S200,S193)</f>
        <v>56561</v>
      </c>
      <c r="T201" s="521">
        <f t="shared" si="169"/>
        <v>56561</v>
      </c>
      <c r="U201" s="522">
        <f t="shared" si="165"/>
        <v>58069</v>
      </c>
      <c r="V201" s="520">
        <f t="shared" ref="V201:W201" si="170">SUM(V200,V193)</f>
        <v>81789</v>
      </c>
      <c r="W201" s="523">
        <f t="shared" si="170"/>
        <v>81789</v>
      </c>
      <c r="X201" s="520">
        <f t="shared" si="165"/>
        <v>53582</v>
      </c>
      <c r="Y201" s="520">
        <f t="shared" ref="Y201:Z201" si="171">SUM(Y200,Y193)</f>
        <v>58156</v>
      </c>
      <c r="Z201" s="521">
        <f t="shared" si="171"/>
        <v>0</v>
      </c>
      <c r="AA201" s="522">
        <f t="shared" si="165"/>
        <v>59006</v>
      </c>
      <c r="AB201" s="520">
        <f t="shared" ref="AB201:AC201" si="172">SUM(AB200,AB193)</f>
        <v>58620</v>
      </c>
      <c r="AC201" s="523">
        <f t="shared" si="172"/>
        <v>0</v>
      </c>
      <c r="AD201" s="520">
        <f t="shared" si="165"/>
        <v>57620</v>
      </c>
      <c r="AE201" s="520">
        <f t="shared" ref="AE201:AF201" si="173">SUM(AE200,AE193)</f>
        <v>60077</v>
      </c>
      <c r="AF201" s="521">
        <f t="shared" si="173"/>
        <v>0</v>
      </c>
      <c r="AG201" s="522">
        <f t="shared" si="165"/>
        <v>55895</v>
      </c>
      <c r="AH201" s="520">
        <f t="shared" ref="AH201:AI201" si="174">SUM(AH200,AH193)</f>
        <v>58158</v>
      </c>
      <c r="AI201" s="523">
        <f t="shared" si="174"/>
        <v>0</v>
      </c>
      <c r="AJ201" s="520">
        <f t="shared" si="165"/>
        <v>53540</v>
      </c>
      <c r="AK201" s="520">
        <f t="shared" ref="AK201:AL201" si="175">SUM(AK200,AK193)</f>
        <v>58156</v>
      </c>
      <c r="AL201" s="521">
        <f t="shared" si="175"/>
        <v>0</v>
      </c>
      <c r="AM201" s="522">
        <f t="shared" si="165"/>
        <v>54237</v>
      </c>
      <c r="AN201" s="635">
        <f t="shared" ref="AN201:AO201" si="176">SUM(AN200,AN193)</f>
        <v>59971</v>
      </c>
      <c r="AO201" s="563">
        <f t="shared" si="176"/>
        <v>0</v>
      </c>
    </row>
    <row r="202" spans="1:42" ht="15" thickBot="1" x14ac:dyDescent="0.25">
      <c r="A202" s="526"/>
      <c r="B202" s="527" t="s">
        <v>1332</v>
      </c>
      <c r="C202" s="528"/>
      <c r="D202" s="529"/>
      <c r="E202" s="519">
        <f t="shared" ref="E202:E203" si="177">SUM(H202,K202,N202,Q202,T202,W202,Z202,AC202,AF202,AI202,AL202,AO202)</f>
        <v>9262</v>
      </c>
      <c r="F202" s="530"/>
      <c r="G202" s="530"/>
      <c r="H202" s="536">
        <v>3293</v>
      </c>
      <c r="I202" s="531"/>
      <c r="J202" s="530"/>
      <c r="K202" s="537"/>
      <c r="L202" s="530"/>
      <c r="M202" s="530"/>
      <c r="N202" s="536"/>
      <c r="O202" s="531"/>
      <c r="P202" s="530"/>
      <c r="Q202" s="537"/>
      <c r="R202" s="530"/>
      <c r="S202" s="530"/>
      <c r="T202" s="536"/>
      <c r="U202" s="531"/>
      <c r="V202" s="530"/>
      <c r="W202" s="537">
        <v>5969</v>
      </c>
      <c r="X202" s="530"/>
      <c r="Y202" s="530"/>
      <c r="Z202" s="536"/>
      <c r="AA202" s="531"/>
      <c r="AB202" s="530"/>
      <c r="AC202" s="537"/>
      <c r="AD202" s="530"/>
      <c r="AE202" s="530"/>
      <c r="AF202" s="536"/>
      <c r="AG202" s="531"/>
      <c r="AH202" s="530"/>
      <c r="AI202" s="537"/>
      <c r="AJ202" s="530"/>
      <c r="AK202" s="532"/>
      <c r="AL202" s="536"/>
      <c r="AM202" s="531"/>
      <c r="AN202" s="532"/>
      <c r="AO202" s="613"/>
    </row>
    <row r="203" spans="1:42" ht="15" thickBot="1" x14ac:dyDescent="0.25">
      <c r="A203" s="526"/>
      <c r="B203" s="527" t="s">
        <v>1333</v>
      </c>
      <c r="C203" s="534"/>
      <c r="D203" s="535"/>
      <c r="E203" s="519">
        <f t="shared" si="177"/>
        <v>344834</v>
      </c>
      <c r="F203" s="530"/>
      <c r="G203" s="530"/>
      <c r="H203" s="536">
        <f>SUM(H201:H202)</f>
        <v>26728</v>
      </c>
      <c r="I203" s="531"/>
      <c r="J203" s="530"/>
      <c r="K203" s="537">
        <f>SUM(K201:K202)</f>
        <v>56117</v>
      </c>
      <c r="L203" s="530"/>
      <c r="M203" s="530"/>
      <c r="N203" s="536">
        <f>SUM(N201:N202)</f>
        <v>63022</v>
      </c>
      <c r="O203" s="531"/>
      <c r="P203" s="530"/>
      <c r="Q203" s="537">
        <f>SUM(Q201:Q202)</f>
        <v>54648</v>
      </c>
      <c r="R203" s="530"/>
      <c r="S203" s="530"/>
      <c r="T203" s="536">
        <f>SUM(T201:T202)</f>
        <v>56561</v>
      </c>
      <c r="U203" s="531"/>
      <c r="V203" s="530"/>
      <c r="W203" s="537">
        <f>SUM(W201:W202)</f>
        <v>87758</v>
      </c>
      <c r="X203" s="530"/>
      <c r="Y203" s="530"/>
      <c r="Z203" s="536">
        <f>SUM(Z201:Z202)</f>
        <v>0</v>
      </c>
      <c r="AA203" s="531"/>
      <c r="AB203" s="530"/>
      <c r="AC203" s="537">
        <f>SUM(AC201:AC202)</f>
        <v>0</v>
      </c>
      <c r="AD203" s="530"/>
      <c r="AE203" s="530"/>
      <c r="AF203" s="536">
        <f>SUM(AF201:AF202)</f>
        <v>0</v>
      </c>
      <c r="AG203" s="531"/>
      <c r="AH203" s="530"/>
      <c r="AI203" s="537">
        <f>SUM(AI201:AI202)</f>
        <v>0</v>
      </c>
      <c r="AJ203" s="530"/>
      <c r="AK203" s="532"/>
      <c r="AL203" s="536">
        <f>SUM(AL201:AL202)</f>
        <v>0</v>
      </c>
      <c r="AM203" s="531"/>
      <c r="AN203" s="532"/>
      <c r="AO203" s="524">
        <f>SUM(AO201:AO202)</f>
        <v>0</v>
      </c>
    </row>
    <row r="204" spans="1:42" x14ac:dyDescent="0.2">
      <c r="A204" s="538"/>
      <c r="B204" s="539" t="s">
        <v>674</v>
      </c>
      <c r="C204" s="614" t="s">
        <v>633</v>
      </c>
      <c r="D204" s="615" t="s">
        <v>1326</v>
      </c>
      <c r="E204" s="616" t="s">
        <v>1327</v>
      </c>
      <c r="F204" s="617"/>
      <c r="G204" s="617"/>
      <c r="H204" s="618"/>
      <c r="I204" s="619"/>
      <c r="J204" s="617"/>
      <c r="K204" s="636"/>
      <c r="L204" s="617"/>
      <c r="M204" s="617"/>
      <c r="N204" s="618"/>
      <c r="O204" s="619"/>
      <c r="P204" s="617"/>
      <c r="Q204" s="636"/>
      <c r="R204" s="617"/>
      <c r="S204" s="617"/>
      <c r="T204" s="618"/>
      <c r="U204" s="619"/>
      <c r="V204" s="617"/>
      <c r="W204" s="636"/>
      <c r="X204" s="617"/>
      <c r="Y204" s="617"/>
      <c r="Z204" s="618"/>
      <c r="AA204" s="619"/>
      <c r="AB204" s="617"/>
      <c r="AC204" s="636"/>
      <c r="AD204" s="617"/>
      <c r="AE204" s="617"/>
      <c r="AF204" s="618"/>
      <c r="AG204" s="619"/>
      <c r="AH204" s="617"/>
      <c r="AI204" s="636"/>
      <c r="AJ204" s="617"/>
      <c r="AK204" s="617"/>
      <c r="AL204" s="618"/>
      <c r="AM204" s="619"/>
      <c r="AN204" s="620"/>
      <c r="AO204" s="637"/>
    </row>
    <row r="205" spans="1:42" x14ac:dyDescent="0.2">
      <c r="A205" s="457" t="s">
        <v>675</v>
      </c>
      <c r="B205" s="458" t="s">
        <v>676</v>
      </c>
      <c r="C205" s="468">
        <f t="shared" ref="C205:E221" si="178">SUM(F205,I205,L205,O205,R205,U205,X205,AA205,AD205,AG205,AJ205,AM205)</f>
        <v>406963</v>
      </c>
      <c r="D205" s="543">
        <f t="shared" si="178"/>
        <v>421349</v>
      </c>
      <c r="E205" s="465">
        <f t="shared" si="178"/>
        <v>194483</v>
      </c>
      <c r="F205" s="469">
        <v>33449</v>
      </c>
      <c r="G205" s="592">
        <f>32687-22972</f>
        <v>9715</v>
      </c>
      <c r="H205" s="593">
        <v>32687</v>
      </c>
      <c r="I205" s="549">
        <v>33755</v>
      </c>
      <c r="J205" s="592">
        <f>32055-15</f>
        <v>32040</v>
      </c>
      <c r="K205" s="595">
        <v>32055</v>
      </c>
      <c r="L205" s="469">
        <v>33209</v>
      </c>
      <c r="M205" s="592">
        <f>31537+793</f>
        <v>32330</v>
      </c>
      <c r="N205" s="593">
        <v>31537</v>
      </c>
      <c r="O205" s="549">
        <v>33208</v>
      </c>
      <c r="P205" s="592">
        <f>31986-2448</f>
        <v>29538</v>
      </c>
      <c r="Q205" s="595">
        <v>31986</v>
      </c>
      <c r="R205" s="469">
        <v>34795</v>
      </c>
      <c r="S205" s="592">
        <f>34081-1315</f>
        <v>32766</v>
      </c>
      <c r="T205" s="593">
        <v>34081</v>
      </c>
      <c r="U205" s="549">
        <v>34972</v>
      </c>
      <c r="V205" s="592">
        <f>32137+23670</f>
        <v>55807</v>
      </c>
      <c r="W205" s="595">
        <v>32137</v>
      </c>
      <c r="X205" s="469">
        <v>33689</v>
      </c>
      <c r="Y205" s="592">
        <v>37811</v>
      </c>
      <c r="Z205" s="593"/>
      <c r="AA205" s="549">
        <v>36462</v>
      </c>
      <c r="AB205" s="592">
        <v>38275</v>
      </c>
      <c r="AC205" s="595"/>
      <c r="AD205" s="469">
        <v>34207</v>
      </c>
      <c r="AE205" s="592">
        <v>37811</v>
      </c>
      <c r="AF205" s="593"/>
      <c r="AG205" s="549">
        <v>33024</v>
      </c>
      <c r="AH205" s="592">
        <v>37811</v>
      </c>
      <c r="AI205" s="595"/>
      <c r="AJ205" s="469">
        <v>33024</v>
      </c>
      <c r="AK205" s="592">
        <v>37811</v>
      </c>
      <c r="AL205" s="593"/>
      <c r="AM205" s="594">
        <v>33169</v>
      </c>
      <c r="AN205" s="592">
        <v>39634</v>
      </c>
      <c r="AO205" s="465"/>
    </row>
    <row r="206" spans="1:42" x14ac:dyDescent="0.2">
      <c r="A206" s="466" t="s">
        <v>677</v>
      </c>
      <c r="B206" s="467" t="s">
        <v>678</v>
      </c>
      <c r="C206" s="468">
        <f t="shared" si="178"/>
        <v>111234</v>
      </c>
      <c r="D206" s="469">
        <f t="shared" si="178"/>
        <v>114920</v>
      </c>
      <c r="E206" s="470">
        <f t="shared" si="178"/>
        <v>56088</v>
      </c>
      <c r="F206" s="469">
        <v>8730</v>
      </c>
      <c r="G206" s="598">
        <v>8920</v>
      </c>
      <c r="H206" s="599">
        <v>8920</v>
      </c>
      <c r="I206" s="549">
        <v>8810</v>
      </c>
      <c r="J206" s="598">
        <v>9920</v>
      </c>
      <c r="K206" s="600">
        <v>9920</v>
      </c>
      <c r="L206" s="469">
        <v>10171</v>
      </c>
      <c r="M206" s="598">
        <v>8744</v>
      </c>
      <c r="N206" s="599">
        <v>8744</v>
      </c>
      <c r="O206" s="549">
        <v>8501</v>
      </c>
      <c r="P206" s="598">
        <v>10045</v>
      </c>
      <c r="Q206" s="600">
        <v>10045</v>
      </c>
      <c r="R206" s="469">
        <v>9081</v>
      </c>
      <c r="S206" s="598">
        <v>9506</v>
      </c>
      <c r="T206" s="599">
        <v>9506</v>
      </c>
      <c r="U206" s="549">
        <v>10647</v>
      </c>
      <c r="V206" s="598">
        <v>8953</v>
      </c>
      <c r="W206" s="600">
        <v>8953</v>
      </c>
      <c r="X206" s="469">
        <v>8793</v>
      </c>
      <c r="Y206" s="598">
        <v>9805</v>
      </c>
      <c r="Z206" s="599"/>
      <c r="AA206" s="549">
        <v>9844</v>
      </c>
      <c r="AB206" s="598">
        <v>9805</v>
      </c>
      <c r="AC206" s="600"/>
      <c r="AD206" s="469">
        <v>8963</v>
      </c>
      <c r="AE206" s="598">
        <v>9805</v>
      </c>
      <c r="AF206" s="599"/>
      <c r="AG206" s="549">
        <v>10121</v>
      </c>
      <c r="AH206" s="598">
        <v>9807</v>
      </c>
      <c r="AI206" s="600"/>
      <c r="AJ206" s="469">
        <v>8916</v>
      </c>
      <c r="AK206" s="598">
        <v>9805</v>
      </c>
      <c r="AL206" s="599"/>
      <c r="AM206" s="549">
        <v>8657</v>
      </c>
      <c r="AN206" s="598">
        <v>9805</v>
      </c>
      <c r="AO206" s="470"/>
    </row>
    <row r="207" spans="1:42" x14ac:dyDescent="0.2">
      <c r="A207" s="466" t="s">
        <v>679</v>
      </c>
      <c r="B207" s="467" t="s">
        <v>680</v>
      </c>
      <c r="C207" s="468">
        <f t="shared" si="178"/>
        <v>149411</v>
      </c>
      <c r="D207" s="469">
        <f t="shared" si="178"/>
        <v>149411</v>
      </c>
      <c r="E207" s="470">
        <f t="shared" si="178"/>
        <v>86179</v>
      </c>
      <c r="F207" s="469">
        <v>12450</v>
      </c>
      <c r="G207" s="598">
        <v>4800</v>
      </c>
      <c r="H207" s="599">
        <v>4800</v>
      </c>
      <c r="I207" s="549">
        <v>12450</v>
      </c>
      <c r="J207" s="598">
        <v>14118</v>
      </c>
      <c r="K207" s="600">
        <v>14118</v>
      </c>
      <c r="L207" s="469">
        <v>12450</v>
      </c>
      <c r="M207" s="598">
        <v>21818</v>
      </c>
      <c r="N207" s="599">
        <v>21818</v>
      </c>
      <c r="O207" s="549">
        <v>12150</v>
      </c>
      <c r="P207" s="598">
        <v>15065</v>
      </c>
      <c r="Q207" s="600">
        <v>15065</v>
      </c>
      <c r="R207" s="469">
        <v>13450</v>
      </c>
      <c r="S207" s="598">
        <v>13749</v>
      </c>
      <c r="T207" s="599">
        <v>13749</v>
      </c>
      <c r="U207" s="549">
        <v>12450</v>
      </c>
      <c r="V207" s="598">
        <v>16629</v>
      </c>
      <c r="W207" s="600">
        <v>16629</v>
      </c>
      <c r="X207" s="469">
        <v>11100</v>
      </c>
      <c r="Y207" s="598">
        <v>10540</v>
      </c>
      <c r="Z207" s="599"/>
      <c r="AA207" s="549">
        <v>12700</v>
      </c>
      <c r="AB207" s="598">
        <v>10540</v>
      </c>
      <c r="AC207" s="600"/>
      <c r="AD207" s="469">
        <v>13450</v>
      </c>
      <c r="AE207" s="598">
        <v>10540</v>
      </c>
      <c r="AF207" s="599"/>
      <c r="AG207" s="549">
        <v>12750</v>
      </c>
      <c r="AH207" s="598">
        <v>10540</v>
      </c>
      <c r="AI207" s="600"/>
      <c r="AJ207" s="469">
        <v>11600</v>
      </c>
      <c r="AK207" s="598">
        <v>10540</v>
      </c>
      <c r="AL207" s="599"/>
      <c r="AM207" s="549">
        <v>12411</v>
      </c>
      <c r="AN207" s="598">
        <v>10532</v>
      </c>
      <c r="AO207" s="470"/>
    </row>
    <row r="208" spans="1:42" x14ac:dyDescent="0.2">
      <c r="A208" s="466" t="s">
        <v>681</v>
      </c>
      <c r="B208" s="467" t="s">
        <v>682</v>
      </c>
      <c r="C208" s="468">
        <f t="shared" si="178"/>
        <v>0</v>
      </c>
      <c r="D208" s="469">
        <f t="shared" si="178"/>
        <v>0</v>
      </c>
      <c r="E208" s="470">
        <f t="shared" si="178"/>
        <v>0</v>
      </c>
      <c r="F208" s="469"/>
      <c r="G208" s="598"/>
      <c r="H208" s="599"/>
      <c r="I208" s="549"/>
      <c r="J208" s="598"/>
      <c r="K208" s="600"/>
      <c r="L208" s="469"/>
      <c r="M208" s="598"/>
      <c r="N208" s="599"/>
      <c r="O208" s="549"/>
      <c r="P208" s="598"/>
      <c r="Q208" s="600"/>
      <c r="R208" s="469"/>
      <c r="S208" s="598"/>
      <c r="T208" s="599"/>
      <c r="U208" s="549"/>
      <c r="V208" s="598"/>
      <c r="W208" s="600"/>
      <c r="X208" s="469"/>
      <c r="Y208" s="598"/>
      <c r="Z208" s="599"/>
      <c r="AA208" s="549"/>
      <c r="AB208" s="598"/>
      <c r="AC208" s="600"/>
      <c r="AD208" s="469"/>
      <c r="AE208" s="598"/>
      <c r="AF208" s="599"/>
      <c r="AG208" s="549"/>
      <c r="AH208" s="598"/>
      <c r="AI208" s="600"/>
      <c r="AJ208" s="469"/>
      <c r="AK208" s="598"/>
      <c r="AL208" s="599"/>
      <c r="AM208" s="549"/>
      <c r="AN208" s="598"/>
      <c r="AO208" s="470"/>
    </row>
    <row r="209" spans="1:41" x14ac:dyDescent="0.2">
      <c r="A209" s="466" t="s">
        <v>683</v>
      </c>
      <c r="B209" s="467" t="s">
        <v>684</v>
      </c>
      <c r="C209" s="468">
        <f t="shared" si="178"/>
        <v>0</v>
      </c>
      <c r="D209" s="469">
        <f t="shared" si="178"/>
        <v>199</v>
      </c>
      <c r="E209" s="470">
        <f t="shared" si="178"/>
        <v>199</v>
      </c>
      <c r="F209" s="469"/>
      <c r="G209" s="598"/>
      <c r="H209" s="599"/>
      <c r="I209" s="549"/>
      <c r="J209" s="598"/>
      <c r="K209" s="600"/>
      <c r="L209" s="469"/>
      <c r="M209" s="598"/>
      <c r="N209" s="599"/>
      <c r="O209" s="549"/>
      <c r="P209" s="598"/>
      <c r="Q209" s="600"/>
      <c r="R209" s="469"/>
      <c r="S209" s="598"/>
      <c r="T209" s="599"/>
      <c r="U209" s="549"/>
      <c r="V209" s="598">
        <v>199</v>
      </c>
      <c r="W209" s="600">
        <v>199</v>
      </c>
      <c r="X209" s="469"/>
      <c r="Y209" s="598"/>
      <c r="Z209" s="599"/>
      <c r="AA209" s="549"/>
      <c r="AB209" s="598"/>
      <c r="AC209" s="600"/>
      <c r="AD209" s="469"/>
      <c r="AE209" s="598"/>
      <c r="AF209" s="599"/>
      <c r="AG209" s="549"/>
      <c r="AH209" s="598"/>
      <c r="AI209" s="600"/>
      <c r="AJ209" s="469"/>
      <c r="AK209" s="598"/>
      <c r="AL209" s="599"/>
      <c r="AM209" s="549"/>
      <c r="AN209" s="598"/>
      <c r="AO209" s="470"/>
    </row>
    <row r="210" spans="1:41" x14ac:dyDescent="0.2">
      <c r="A210" s="481"/>
      <c r="B210" s="482" t="s">
        <v>685</v>
      </c>
      <c r="C210" s="483">
        <f t="shared" si="178"/>
        <v>0</v>
      </c>
      <c r="D210" s="484">
        <f t="shared" si="178"/>
        <v>0</v>
      </c>
      <c r="E210" s="485">
        <f t="shared" si="178"/>
        <v>0</v>
      </c>
      <c r="F210" s="484"/>
      <c r="G210" s="606"/>
      <c r="H210" s="607"/>
      <c r="I210" s="487"/>
      <c r="J210" s="606"/>
      <c r="K210" s="608"/>
      <c r="L210" s="484"/>
      <c r="M210" s="606"/>
      <c r="N210" s="607"/>
      <c r="O210" s="487"/>
      <c r="P210" s="606"/>
      <c r="Q210" s="608"/>
      <c r="R210" s="484"/>
      <c r="S210" s="606"/>
      <c r="T210" s="607"/>
      <c r="U210" s="487"/>
      <c r="V210" s="606"/>
      <c r="W210" s="608"/>
      <c r="X210" s="484"/>
      <c r="Y210" s="606"/>
      <c r="Z210" s="607"/>
      <c r="AA210" s="487"/>
      <c r="AB210" s="606"/>
      <c r="AC210" s="608"/>
      <c r="AD210" s="484"/>
      <c r="AE210" s="606"/>
      <c r="AF210" s="607"/>
      <c r="AG210" s="487"/>
      <c r="AH210" s="606"/>
      <c r="AI210" s="608"/>
      <c r="AJ210" s="484"/>
      <c r="AK210" s="606"/>
      <c r="AL210" s="607"/>
      <c r="AM210" s="487"/>
      <c r="AN210" s="606"/>
      <c r="AO210" s="485"/>
    </row>
    <row r="211" spans="1:41" x14ac:dyDescent="0.2">
      <c r="A211" s="544"/>
      <c r="B211" s="545" t="s">
        <v>686</v>
      </c>
      <c r="C211" s="483">
        <f t="shared" si="178"/>
        <v>0</v>
      </c>
      <c r="D211" s="484">
        <f t="shared" si="178"/>
        <v>0</v>
      </c>
      <c r="E211" s="485">
        <f t="shared" si="178"/>
        <v>0</v>
      </c>
      <c r="F211" s="638"/>
      <c r="G211" s="606"/>
      <c r="H211" s="607"/>
      <c r="I211" s="639"/>
      <c r="J211" s="606"/>
      <c r="K211" s="608"/>
      <c r="L211" s="638"/>
      <c r="M211" s="606"/>
      <c r="N211" s="607"/>
      <c r="O211" s="639"/>
      <c r="P211" s="606"/>
      <c r="Q211" s="608"/>
      <c r="R211" s="638"/>
      <c r="S211" s="606"/>
      <c r="T211" s="607"/>
      <c r="U211" s="639"/>
      <c r="V211" s="606"/>
      <c r="W211" s="608"/>
      <c r="X211" s="638"/>
      <c r="Y211" s="606"/>
      <c r="Z211" s="607"/>
      <c r="AA211" s="639"/>
      <c r="AB211" s="606"/>
      <c r="AC211" s="608"/>
      <c r="AD211" s="638"/>
      <c r="AE211" s="606"/>
      <c r="AF211" s="607"/>
      <c r="AG211" s="639"/>
      <c r="AH211" s="606"/>
      <c r="AI211" s="608"/>
      <c r="AJ211" s="638"/>
      <c r="AK211" s="606"/>
      <c r="AL211" s="607"/>
      <c r="AM211" s="639"/>
      <c r="AN211" s="606"/>
      <c r="AO211" s="485"/>
    </row>
    <row r="212" spans="1:41" x14ac:dyDescent="0.2">
      <c r="A212" s="471" t="s">
        <v>654</v>
      </c>
      <c r="B212" s="472" t="s">
        <v>687</v>
      </c>
      <c r="C212" s="473">
        <f t="shared" si="178"/>
        <v>667608</v>
      </c>
      <c r="D212" s="474">
        <f t="shared" si="178"/>
        <v>685879</v>
      </c>
      <c r="E212" s="475">
        <f t="shared" si="178"/>
        <v>336949</v>
      </c>
      <c r="F212" s="476">
        <f>SUM(F205:F211)</f>
        <v>54629</v>
      </c>
      <c r="G212" s="603">
        <f t="shared" ref="G212:H212" si="179">SUM(G205:G209)</f>
        <v>23435</v>
      </c>
      <c r="H212" s="604">
        <f t="shared" si="179"/>
        <v>46407</v>
      </c>
      <c r="I212" s="477">
        <f t="shared" ref="I212:AM212" si="180">SUM(I205:I211)</f>
        <v>55015</v>
      </c>
      <c r="J212" s="603">
        <f t="shared" ref="J212:K212" si="181">SUM(J205:J209)</f>
        <v>56078</v>
      </c>
      <c r="K212" s="605">
        <f t="shared" si="181"/>
        <v>56093</v>
      </c>
      <c r="L212" s="474">
        <f t="shared" si="180"/>
        <v>55830</v>
      </c>
      <c r="M212" s="603">
        <f t="shared" ref="M212:N212" si="182">SUM(M205:M209)</f>
        <v>62892</v>
      </c>
      <c r="N212" s="604">
        <f t="shared" si="182"/>
        <v>62099</v>
      </c>
      <c r="O212" s="477">
        <f t="shared" si="180"/>
        <v>53859</v>
      </c>
      <c r="P212" s="603">
        <f t="shared" ref="P212:Q212" si="183">SUM(P205:P209)</f>
        <v>54648</v>
      </c>
      <c r="Q212" s="605">
        <f t="shared" si="183"/>
        <v>57096</v>
      </c>
      <c r="R212" s="474">
        <f t="shared" si="180"/>
        <v>57326</v>
      </c>
      <c r="S212" s="603">
        <f t="shared" ref="S212:T212" si="184">SUM(S205:S209)</f>
        <v>56021</v>
      </c>
      <c r="T212" s="604">
        <f t="shared" si="184"/>
        <v>57336</v>
      </c>
      <c r="U212" s="477">
        <f t="shared" si="180"/>
        <v>58069</v>
      </c>
      <c r="V212" s="603">
        <f t="shared" ref="V212:W212" si="185">SUM(V205:V209)</f>
        <v>81588</v>
      </c>
      <c r="W212" s="605">
        <f t="shared" si="185"/>
        <v>57918</v>
      </c>
      <c r="X212" s="474">
        <f t="shared" si="180"/>
        <v>53582</v>
      </c>
      <c r="Y212" s="603">
        <f t="shared" ref="Y212:Z212" si="186">SUM(Y205:Y209)</f>
        <v>58156</v>
      </c>
      <c r="Z212" s="604">
        <f t="shared" si="186"/>
        <v>0</v>
      </c>
      <c r="AA212" s="477">
        <f t="shared" si="180"/>
        <v>59006</v>
      </c>
      <c r="AB212" s="603">
        <f t="shared" ref="AB212:AC212" si="187">SUM(AB205:AB209)</f>
        <v>58620</v>
      </c>
      <c r="AC212" s="605">
        <f t="shared" si="187"/>
        <v>0</v>
      </c>
      <c r="AD212" s="474">
        <f t="shared" si="180"/>
        <v>56620</v>
      </c>
      <c r="AE212" s="603">
        <f t="shared" ref="AE212:AF212" si="188">SUM(AE205:AE209)</f>
        <v>58156</v>
      </c>
      <c r="AF212" s="604">
        <f t="shared" si="188"/>
        <v>0</v>
      </c>
      <c r="AG212" s="477">
        <f t="shared" si="180"/>
        <v>55895</v>
      </c>
      <c r="AH212" s="603">
        <f t="shared" ref="AH212:AI212" si="189">SUM(AH205:AH209)</f>
        <v>58158</v>
      </c>
      <c r="AI212" s="605">
        <f t="shared" si="189"/>
        <v>0</v>
      </c>
      <c r="AJ212" s="474">
        <f t="shared" si="180"/>
        <v>53540</v>
      </c>
      <c r="AK212" s="603">
        <f t="shared" ref="AK212:AL212" si="190">SUM(AK205:AK209)</f>
        <v>58156</v>
      </c>
      <c r="AL212" s="604">
        <f t="shared" si="190"/>
        <v>0</v>
      </c>
      <c r="AM212" s="477">
        <f t="shared" si="180"/>
        <v>54237</v>
      </c>
      <c r="AN212" s="603">
        <f t="shared" ref="AN212:AO212" si="191">SUM(AN205:AN209)</f>
        <v>59971</v>
      </c>
      <c r="AO212" s="475">
        <f t="shared" si="191"/>
        <v>0</v>
      </c>
    </row>
    <row r="213" spans="1:41" x14ac:dyDescent="0.2">
      <c r="A213" s="471" t="s">
        <v>688</v>
      </c>
      <c r="B213" s="472" t="s">
        <v>689</v>
      </c>
      <c r="C213" s="473">
        <f t="shared" si="178"/>
        <v>0</v>
      </c>
      <c r="D213" s="474">
        <f t="shared" si="178"/>
        <v>0</v>
      </c>
      <c r="E213" s="475">
        <f t="shared" si="178"/>
        <v>0</v>
      </c>
      <c r="F213" s="476"/>
      <c r="G213" s="603"/>
      <c r="H213" s="604"/>
      <c r="I213" s="477"/>
      <c r="J213" s="603"/>
      <c r="K213" s="605"/>
      <c r="L213" s="474"/>
      <c r="M213" s="603"/>
      <c r="N213" s="604"/>
      <c r="O213" s="477"/>
      <c r="P213" s="603"/>
      <c r="Q213" s="605"/>
      <c r="R213" s="474"/>
      <c r="S213" s="603"/>
      <c r="T213" s="604"/>
      <c r="U213" s="477"/>
      <c r="V213" s="603"/>
      <c r="W213" s="605"/>
      <c r="X213" s="474"/>
      <c r="Y213" s="603"/>
      <c r="Z213" s="604"/>
      <c r="AA213" s="477"/>
      <c r="AB213" s="603"/>
      <c r="AC213" s="605"/>
      <c r="AD213" s="474"/>
      <c r="AE213" s="603"/>
      <c r="AF213" s="604"/>
      <c r="AG213" s="477"/>
      <c r="AH213" s="603"/>
      <c r="AI213" s="605"/>
      <c r="AJ213" s="474"/>
      <c r="AK213" s="603"/>
      <c r="AL213" s="604"/>
      <c r="AM213" s="477"/>
      <c r="AN213" s="603"/>
      <c r="AO213" s="475"/>
    </row>
    <row r="214" spans="1:41" x14ac:dyDescent="0.2">
      <c r="A214" s="493" t="s">
        <v>660</v>
      </c>
      <c r="B214" s="494" t="s">
        <v>690</v>
      </c>
      <c r="C214" s="473">
        <f t="shared" si="178"/>
        <v>667608</v>
      </c>
      <c r="D214" s="474">
        <f t="shared" si="178"/>
        <v>685879</v>
      </c>
      <c r="E214" s="475">
        <f t="shared" si="178"/>
        <v>336949</v>
      </c>
      <c r="F214" s="495">
        <f>SUM(F212,F213)</f>
        <v>54629</v>
      </c>
      <c r="G214" s="603">
        <f t="shared" ref="G214:AO214" si="192">SUM(G212,G213)</f>
        <v>23435</v>
      </c>
      <c r="H214" s="604">
        <f t="shared" si="192"/>
        <v>46407</v>
      </c>
      <c r="I214" s="497">
        <f t="shared" si="192"/>
        <v>55015</v>
      </c>
      <c r="J214" s="603">
        <f t="shared" si="192"/>
        <v>56078</v>
      </c>
      <c r="K214" s="605">
        <f t="shared" si="192"/>
        <v>56093</v>
      </c>
      <c r="L214" s="495">
        <f t="shared" si="192"/>
        <v>55830</v>
      </c>
      <c r="M214" s="603">
        <f t="shared" si="192"/>
        <v>62892</v>
      </c>
      <c r="N214" s="604">
        <f t="shared" si="192"/>
        <v>62099</v>
      </c>
      <c r="O214" s="497">
        <f t="shared" si="192"/>
        <v>53859</v>
      </c>
      <c r="P214" s="603">
        <f t="shared" si="192"/>
        <v>54648</v>
      </c>
      <c r="Q214" s="605">
        <f t="shared" si="192"/>
        <v>57096</v>
      </c>
      <c r="R214" s="495">
        <f t="shared" si="192"/>
        <v>57326</v>
      </c>
      <c r="S214" s="603">
        <f t="shared" si="192"/>
        <v>56021</v>
      </c>
      <c r="T214" s="604">
        <f t="shared" si="192"/>
        <v>57336</v>
      </c>
      <c r="U214" s="497">
        <f t="shared" si="192"/>
        <v>58069</v>
      </c>
      <c r="V214" s="603">
        <f t="shared" si="192"/>
        <v>81588</v>
      </c>
      <c r="W214" s="605">
        <f t="shared" si="192"/>
        <v>57918</v>
      </c>
      <c r="X214" s="495">
        <f t="shared" si="192"/>
        <v>53582</v>
      </c>
      <c r="Y214" s="603">
        <f t="shared" si="192"/>
        <v>58156</v>
      </c>
      <c r="Z214" s="604">
        <f t="shared" si="192"/>
        <v>0</v>
      </c>
      <c r="AA214" s="497">
        <f t="shared" si="192"/>
        <v>59006</v>
      </c>
      <c r="AB214" s="603">
        <f t="shared" si="192"/>
        <v>58620</v>
      </c>
      <c r="AC214" s="605">
        <f t="shared" si="192"/>
        <v>0</v>
      </c>
      <c r="AD214" s="495">
        <f t="shared" si="192"/>
        <v>56620</v>
      </c>
      <c r="AE214" s="603">
        <f t="shared" si="192"/>
        <v>58156</v>
      </c>
      <c r="AF214" s="604">
        <f t="shared" si="192"/>
        <v>0</v>
      </c>
      <c r="AG214" s="497">
        <f t="shared" si="192"/>
        <v>55895</v>
      </c>
      <c r="AH214" s="603">
        <f t="shared" si="192"/>
        <v>58158</v>
      </c>
      <c r="AI214" s="605">
        <f t="shared" si="192"/>
        <v>0</v>
      </c>
      <c r="AJ214" s="495">
        <f t="shared" si="192"/>
        <v>53540</v>
      </c>
      <c r="AK214" s="603">
        <f t="shared" si="192"/>
        <v>58156</v>
      </c>
      <c r="AL214" s="604">
        <f t="shared" si="192"/>
        <v>0</v>
      </c>
      <c r="AM214" s="497">
        <f t="shared" si="192"/>
        <v>54237</v>
      </c>
      <c r="AN214" s="603">
        <f t="shared" si="192"/>
        <v>59971</v>
      </c>
      <c r="AO214" s="475">
        <f t="shared" si="192"/>
        <v>0</v>
      </c>
    </row>
    <row r="215" spans="1:41" x14ac:dyDescent="0.2">
      <c r="A215" s="466" t="s">
        <v>691</v>
      </c>
      <c r="B215" s="467" t="s">
        <v>692</v>
      </c>
      <c r="C215" s="468">
        <f t="shared" si="178"/>
        <v>2704</v>
      </c>
      <c r="D215" s="469">
        <f t="shared" si="178"/>
        <v>2704</v>
      </c>
      <c r="E215" s="470">
        <f t="shared" si="178"/>
        <v>910</v>
      </c>
      <c r="F215" s="469"/>
      <c r="G215" s="598"/>
      <c r="H215" s="599"/>
      <c r="I215" s="549"/>
      <c r="J215" s="598">
        <v>39</v>
      </c>
      <c r="K215" s="600">
        <v>39</v>
      </c>
      <c r="L215" s="469"/>
      <c r="M215" s="598">
        <v>130</v>
      </c>
      <c r="N215" s="599">
        <v>130</v>
      </c>
      <c r="O215" s="549">
        <v>1000</v>
      </c>
      <c r="P215" s="598"/>
      <c r="Q215" s="600"/>
      <c r="R215" s="469">
        <v>704</v>
      </c>
      <c r="S215" s="598">
        <v>540</v>
      </c>
      <c r="T215" s="599">
        <v>540</v>
      </c>
      <c r="U215" s="549"/>
      <c r="V215" s="598">
        <v>201</v>
      </c>
      <c r="W215" s="600">
        <v>201</v>
      </c>
      <c r="X215" s="469"/>
      <c r="Y215" s="598"/>
      <c r="Z215" s="599"/>
      <c r="AA215" s="549"/>
      <c r="AB215" s="598"/>
      <c r="AC215" s="600"/>
      <c r="AD215" s="469">
        <v>1000</v>
      </c>
      <c r="AE215" s="598">
        <v>1794</v>
      </c>
      <c r="AF215" s="599"/>
      <c r="AG215" s="549"/>
      <c r="AH215" s="598"/>
      <c r="AI215" s="600"/>
      <c r="AJ215" s="469"/>
      <c r="AK215" s="598"/>
      <c r="AL215" s="599"/>
      <c r="AM215" s="549"/>
      <c r="AN215" s="598"/>
      <c r="AO215" s="470"/>
    </row>
    <row r="216" spans="1:41" x14ac:dyDescent="0.2">
      <c r="A216" s="466" t="s">
        <v>693</v>
      </c>
      <c r="B216" s="467" t="s">
        <v>694</v>
      </c>
      <c r="C216" s="468">
        <f t="shared" si="178"/>
        <v>127</v>
      </c>
      <c r="D216" s="469">
        <f t="shared" si="178"/>
        <v>127</v>
      </c>
      <c r="E216" s="470">
        <f t="shared" si="178"/>
        <v>0</v>
      </c>
      <c r="F216" s="469"/>
      <c r="G216" s="598"/>
      <c r="H216" s="599"/>
      <c r="I216" s="549"/>
      <c r="J216" s="598"/>
      <c r="K216" s="600"/>
      <c r="L216" s="469">
        <v>127</v>
      </c>
      <c r="M216" s="598"/>
      <c r="N216" s="599"/>
      <c r="O216" s="549"/>
      <c r="P216" s="598"/>
      <c r="Q216" s="600"/>
      <c r="R216" s="469"/>
      <c r="S216" s="598"/>
      <c r="T216" s="599"/>
      <c r="U216" s="549"/>
      <c r="V216" s="598"/>
      <c r="W216" s="600"/>
      <c r="X216" s="469"/>
      <c r="Y216" s="598"/>
      <c r="Z216" s="599"/>
      <c r="AA216" s="549"/>
      <c r="AB216" s="598"/>
      <c r="AC216" s="600"/>
      <c r="AD216" s="469"/>
      <c r="AE216" s="598">
        <v>127</v>
      </c>
      <c r="AF216" s="599"/>
      <c r="AG216" s="549"/>
      <c r="AH216" s="598"/>
      <c r="AI216" s="600"/>
      <c r="AJ216" s="469"/>
      <c r="AK216" s="598"/>
      <c r="AL216" s="599"/>
      <c r="AM216" s="549"/>
      <c r="AN216" s="598"/>
      <c r="AO216" s="470"/>
    </row>
    <row r="217" spans="1:41" x14ac:dyDescent="0.2">
      <c r="A217" s="553" t="s">
        <v>695</v>
      </c>
      <c r="B217" s="554" t="s">
        <v>696</v>
      </c>
      <c r="C217" s="468">
        <f t="shared" si="178"/>
        <v>0</v>
      </c>
      <c r="D217" s="469">
        <f t="shared" si="178"/>
        <v>0</v>
      </c>
      <c r="E217" s="470">
        <f t="shared" si="178"/>
        <v>0</v>
      </c>
      <c r="F217" s="640"/>
      <c r="G217" s="598"/>
      <c r="H217" s="599"/>
      <c r="I217" s="641"/>
      <c r="J217" s="598"/>
      <c r="K217" s="600"/>
      <c r="L217" s="640"/>
      <c r="M217" s="598"/>
      <c r="N217" s="599"/>
      <c r="O217" s="641"/>
      <c r="P217" s="598"/>
      <c r="Q217" s="600"/>
      <c r="R217" s="640"/>
      <c r="S217" s="598"/>
      <c r="T217" s="599"/>
      <c r="U217" s="641"/>
      <c r="V217" s="598"/>
      <c r="W217" s="600"/>
      <c r="X217" s="640"/>
      <c r="Y217" s="598"/>
      <c r="Z217" s="599"/>
      <c r="AA217" s="641"/>
      <c r="AB217" s="598"/>
      <c r="AC217" s="600"/>
      <c r="AD217" s="640"/>
      <c r="AE217" s="598"/>
      <c r="AF217" s="599"/>
      <c r="AG217" s="641"/>
      <c r="AH217" s="598"/>
      <c r="AI217" s="600"/>
      <c r="AJ217" s="640"/>
      <c r="AK217" s="598"/>
      <c r="AL217" s="599"/>
      <c r="AM217" s="641"/>
      <c r="AN217" s="598"/>
      <c r="AO217" s="470"/>
    </row>
    <row r="218" spans="1:41" x14ac:dyDescent="0.2">
      <c r="A218" s="471" t="s">
        <v>667</v>
      </c>
      <c r="B218" s="472" t="s">
        <v>697</v>
      </c>
      <c r="C218" s="473">
        <f t="shared" si="178"/>
        <v>2831</v>
      </c>
      <c r="D218" s="474">
        <f t="shared" si="178"/>
        <v>2831</v>
      </c>
      <c r="E218" s="475">
        <f t="shared" si="178"/>
        <v>910</v>
      </c>
      <c r="F218" s="474">
        <f>SUM(F215:F217)</f>
        <v>0</v>
      </c>
      <c r="G218" s="603">
        <f t="shared" ref="G218:AO218" si="193">SUM(G215:G217)</f>
        <v>0</v>
      </c>
      <c r="H218" s="604">
        <f t="shared" si="193"/>
        <v>0</v>
      </c>
      <c r="I218" s="477">
        <f t="shared" si="193"/>
        <v>0</v>
      </c>
      <c r="J218" s="603">
        <f t="shared" si="193"/>
        <v>39</v>
      </c>
      <c r="K218" s="605">
        <f t="shared" si="193"/>
        <v>39</v>
      </c>
      <c r="L218" s="474">
        <f t="shared" si="193"/>
        <v>127</v>
      </c>
      <c r="M218" s="603">
        <f t="shared" si="193"/>
        <v>130</v>
      </c>
      <c r="N218" s="604">
        <f t="shared" si="193"/>
        <v>130</v>
      </c>
      <c r="O218" s="477">
        <f t="shared" si="193"/>
        <v>1000</v>
      </c>
      <c r="P218" s="603">
        <f t="shared" si="193"/>
        <v>0</v>
      </c>
      <c r="Q218" s="605">
        <f t="shared" si="193"/>
        <v>0</v>
      </c>
      <c r="R218" s="474">
        <f t="shared" si="193"/>
        <v>704</v>
      </c>
      <c r="S218" s="603">
        <f t="shared" si="193"/>
        <v>540</v>
      </c>
      <c r="T218" s="604">
        <f t="shared" si="193"/>
        <v>540</v>
      </c>
      <c r="U218" s="477">
        <f t="shared" si="193"/>
        <v>0</v>
      </c>
      <c r="V218" s="603">
        <f t="shared" si="193"/>
        <v>201</v>
      </c>
      <c r="W218" s="605">
        <f t="shared" si="193"/>
        <v>201</v>
      </c>
      <c r="X218" s="474">
        <f t="shared" si="193"/>
        <v>0</v>
      </c>
      <c r="Y218" s="603">
        <f t="shared" si="193"/>
        <v>0</v>
      </c>
      <c r="Z218" s="604">
        <f t="shared" si="193"/>
        <v>0</v>
      </c>
      <c r="AA218" s="477">
        <f t="shared" si="193"/>
        <v>0</v>
      </c>
      <c r="AB218" s="603">
        <f t="shared" si="193"/>
        <v>0</v>
      </c>
      <c r="AC218" s="605">
        <f t="shared" si="193"/>
        <v>0</v>
      </c>
      <c r="AD218" s="474">
        <f t="shared" si="193"/>
        <v>1000</v>
      </c>
      <c r="AE218" s="603">
        <f t="shared" si="193"/>
        <v>1921</v>
      </c>
      <c r="AF218" s="604">
        <f t="shared" si="193"/>
        <v>0</v>
      </c>
      <c r="AG218" s="477">
        <f t="shared" si="193"/>
        <v>0</v>
      </c>
      <c r="AH218" s="603">
        <f t="shared" si="193"/>
        <v>0</v>
      </c>
      <c r="AI218" s="605">
        <f t="shared" si="193"/>
        <v>0</v>
      </c>
      <c r="AJ218" s="474">
        <f t="shared" si="193"/>
        <v>0</v>
      </c>
      <c r="AK218" s="603">
        <f t="shared" si="193"/>
        <v>0</v>
      </c>
      <c r="AL218" s="604">
        <f t="shared" si="193"/>
        <v>0</v>
      </c>
      <c r="AM218" s="477">
        <f t="shared" si="193"/>
        <v>0</v>
      </c>
      <c r="AN218" s="603">
        <f t="shared" si="193"/>
        <v>0</v>
      </c>
      <c r="AO218" s="475">
        <f t="shared" si="193"/>
        <v>0</v>
      </c>
    </row>
    <row r="219" spans="1:41" x14ac:dyDescent="0.2">
      <c r="A219" s="505" t="s">
        <v>698</v>
      </c>
      <c r="B219" s="506" t="s">
        <v>699</v>
      </c>
      <c r="C219" s="473">
        <f t="shared" si="178"/>
        <v>0</v>
      </c>
      <c r="D219" s="474">
        <f t="shared" si="178"/>
        <v>0</v>
      </c>
      <c r="E219" s="475">
        <f t="shared" si="178"/>
        <v>0</v>
      </c>
      <c r="F219" s="642"/>
      <c r="G219" s="603"/>
      <c r="H219" s="604"/>
      <c r="I219" s="643"/>
      <c r="J219" s="603"/>
      <c r="K219" s="605"/>
      <c r="L219" s="644"/>
      <c r="M219" s="603"/>
      <c r="N219" s="604"/>
      <c r="O219" s="643"/>
      <c r="P219" s="603"/>
      <c r="Q219" s="605"/>
      <c r="R219" s="644"/>
      <c r="S219" s="603"/>
      <c r="T219" s="604"/>
      <c r="U219" s="643"/>
      <c r="V219" s="603"/>
      <c r="W219" s="605"/>
      <c r="X219" s="644"/>
      <c r="Y219" s="603"/>
      <c r="Z219" s="604"/>
      <c r="AA219" s="643"/>
      <c r="AB219" s="603"/>
      <c r="AC219" s="605"/>
      <c r="AD219" s="644"/>
      <c r="AE219" s="603"/>
      <c r="AF219" s="604"/>
      <c r="AG219" s="643"/>
      <c r="AH219" s="603"/>
      <c r="AI219" s="605"/>
      <c r="AJ219" s="644"/>
      <c r="AK219" s="603"/>
      <c r="AL219" s="604"/>
      <c r="AM219" s="643"/>
      <c r="AN219" s="603"/>
      <c r="AO219" s="475"/>
    </row>
    <row r="220" spans="1:41" x14ac:dyDescent="0.2">
      <c r="A220" s="471" t="s">
        <v>700</v>
      </c>
      <c r="B220" s="472" t="s">
        <v>689</v>
      </c>
      <c r="C220" s="473">
        <f t="shared" si="178"/>
        <v>0</v>
      </c>
      <c r="D220" s="474">
        <f t="shared" si="178"/>
        <v>0</v>
      </c>
      <c r="E220" s="475">
        <f t="shared" si="178"/>
        <v>0</v>
      </c>
      <c r="F220" s="474"/>
      <c r="G220" s="603">
        <v>0</v>
      </c>
      <c r="H220" s="604">
        <v>0</v>
      </c>
      <c r="I220" s="477"/>
      <c r="J220" s="603">
        <v>0</v>
      </c>
      <c r="K220" s="605">
        <v>0</v>
      </c>
      <c r="L220" s="474"/>
      <c r="M220" s="603">
        <v>0</v>
      </c>
      <c r="N220" s="604">
        <v>0</v>
      </c>
      <c r="O220" s="477"/>
      <c r="P220" s="603">
        <v>0</v>
      </c>
      <c r="Q220" s="605">
        <v>0</v>
      </c>
      <c r="R220" s="474"/>
      <c r="S220" s="603">
        <v>0</v>
      </c>
      <c r="T220" s="604">
        <v>0</v>
      </c>
      <c r="U220" s="477"/>
      <c r="V220" s="603">
        <v>0</v>
      </c>
      <c r="W220" s="605">
        <v>0</v>
      </c>
      <c r="X220" s="474"/>
      <c r="Y220" s="603">
        <v>0</v>
      </c>
      <c r="Z220" s="604">
        <v>0</v>
      </c>
      <c r="AA220" s="477"/>
      <c r="AB220" s="603">
        <v>0</v>
      </c>
      <c r="AC220" s="605">
        <v>0</v>
      </c>
      <c r="AD220" s="474"/>
      <c r="AE220" s="603">
        <v>0</v>
      </c>
      <c r="AF220" s="604">
        <v>0</v>
      </c>
      <c r="AG220" s="477"/>
      <c r="AH220" s="603">
        <v>0</v>
      </c>
      <c r="AI220" s="605">
        <v>0</v>
      </c>
      <c r="AJ220" s="474"/>
      <c r="AK220" s="603">
        <v>0</v>
      </c>
      <c r="AL220" s="604">
        <v>0</v>
      </c>
      <c r="AM220" s="477"/>
      <c r="AN220" s="603">
        <v>0</v>
      </c>
      <c r="AO220" s="475">
        <v>0</v>
      </c>
    </row>
    <row r="221" spans="1:41" ht="15" thickBot="1" x14ac:dyDescent="0.25">
      <c r="A221" s="555" t="s">
        <v>672</v>
      </c>
      <c r="B221" s="556" t="s">
        <v>701</v>
      </c>
      <c r="C221" s="557">
        <f t="shared" si="178"/>
        <v>2831</v>
      </c>
      <c r="D221" s="510">
        <f t="shared" si="178"/>
        <v>2831</v>
      </c>
      <c r="E221" s="558">
        <f t="shared" si="178"/>
        <v>910</v>
      </c>
      <c r="F221" s="510">
        <f>SUM(F218,F219,F220)</f>
        <v>0</v>
      </c>
      <c r="G221" s="610">
        <f t="shared" ref="G221:AO221" si="194">SUM(G218,G219,G220)</f>
        <v>0</v>
      </c>
      <c r="H221" s="611">
        <f t="shared" si="194"/>
        <v>0</v>
      </c>
      <c r="I221" s="512">
        <f t="shared" si="194"/>
        <v>0</v>
      </c>
      <c r="J221" s="610">
        <f t="shared" si="194"/>
        <v>39</v>
      </c>
      <c r="K221" s="612">
        <f t="shared" si="194"/>
        <v>39</v>
      </c>
      <c r="L221" s="510">
        <f t="shared" si="194"/>
        <v>127</v>
      </c>
      <c r="M221" s="610">
        <f t="shared" si="194"/>
        <v>130</v>
      </c>
      <c r="N221" s="611">
        <f t="shared" si="194"/>
        <v>130</v>
      </c>
      <c r="O221" s="512">
        <f t="shared" si="194"/>
        <v>1000</v>
      </c>
      <c r="P221" s="610">
        <f t="shared" si="194"/>
        <v>0</v>
      </c>
      <c r="Q221" s="612">
        <f t="shared" si="194"/>
        <v>0</v>
      </c>
      <c r="R221" s="510">
        <f t="shared" si="194"/>
        <v>704</v>
      </c>
      <c r="S221" s="610">
        <f t="shared" si="194"/>
        <v>540</v>
      </c>
      <c r="T221" s="611">
        <f t="shared" si="194"/>
        <v>540</v>
      </c>
      <c r="U221" s="512">
        <f t="shared" si="194"/>
        <v>0</v>
      </c>
      <c r="V221" s="610">
        <f t="shared" si="194"/>
        <v>201</v>
      </c>
      <c r="W221" s="612">
        <f t="shared" si="194"/>
        <v>201</v>
      </c>
      <c r="X221" s="510">
        <f t="shared" si="194"/>
        <v>0</v>
      </c>
      <c r="Y221" s="610">
        <f t="shared" si="194"/>
        <v>0</v>
      </c>
      <c r="Z221" s="611">
        <f t="shared" si="194"/>
        <v>0</v>
      </c>
      <c r="AA221" s="512">
        <f t="shared" si="194"/>
        <v>0</v>
      </c>
      <c r="AB221" s="610">
        <f t="shared" si="194"/>
        <v>0</v>
      </c>
      <c r="AC221" s="612">
        <f t="shared" si="194"/>
        <v>0</v>
      </c>
      <c r="AD221" s="510">
        <f t="shared" si="194"/>
        <v>1000</v>
      </c>
      <c r="AE221" s="610">
        <f t="shared" si="194"/>
        <v>1921</v>
      </c>
      <c r="AF221" s="611">
        <f t="shared" si="194"/>
        <v>0</v>
      </c>
      <c r="AG221" s="512">
        <f t="shared" si="194"/>
        <v>0</v>
      </c>
      <c r="AH221" s="610">
        <f t="shared" si="194"/>
        <v>0</v>
      </c>
      <c r="AI221" s="612">
        <f t="shared" si="194"/>
        <v>0</v>
      </c>
      <c r="AJ221" s="510">
        <f t="shared" si="194"/>
        <v>0</v>
      </c>
      <c r="AK221" s="610">
        <f t="shared" si="194"/>
        <v>0</v>
      </c>
      <c r="AL221" s="611">
        <f t="shared" si="194"/>
        <v>0</v>
      </c>
      <c r="AM221" s="512">
        <f t="shared" si="194"/>
        <v>0</v>
      </c>
      <c r="AN221" s="610">
        <f t="shared" si="194"/>
        <v>0</v>
      </c>
      <c r="AO221" s="509">
        <f t="shared" si="194"/>
        <v>0</v>
      </c>
    </row>
    <row r="222" spans="1:41" ht="15" thickBot="1" x14ac:dyDescent="0.25">
      <c r="A222" s="560" t="s">
        <v>702</v>
      </c>
      <c r="B222" s="561" t="s">
        <v>703</v>
      </c>
      <c r="C222" s="645">
        <f>SUM(F222,I222,L222,O222,R222,U222,X222,AA222,AD222,AG222,AJ222,AM222)</f>
        <v>670439</v>
      </c>
      <c r="D222" s="646">
        <f t="shared" ref="D222:E225" si="195">SUM(G222,J222,M222,P222,S222,V222,Y222,AB222,AE222,AH222,AK222,AN222)</f>
        <v>688710</v>
      </c>
      <c r="E222" s="574">
        <f t="shared" si="195"/>
        <v>337859</v>
      </c>
      <c r="F222" s="564">
        <f>SUM(F214,F221)</f>
        <v>54629</v>
      </c>
      <c r="G222" s="564">
        <f t="shared" ref="G222:AO222" si="196">SUM(G214,G221)</f>
        <v>23435</v>
      </c>
      <c r="H222" s="565">
        <f t="shared" si="196"/>
        <v>46407</v>
      </c>
      <c r="I222" s="566">
        <f t="shared" si="196"/>
        <v>55015</v>
      </c>
      <c r="J222" s="564">
        <f t="shared" si="196"/>
        <v>56117</v>
      </c>
      <c r="K222" s="567">
        <f t="shared" si="196"/>
        <v>56132</v>
      </c>
      <c r="L222" s="564">
        <f t="shared" si="196"/>
        <v>55957</v>
      </c>
      <c r="M222" s="564">
        <f t="shared" si="196"/>
        <v>63022</v>
      </c>
      <c r="N222" s="565">
        <f t="shared" si="196"/>
        <v>62229</v>
      </c>
      <c r="O222" s="566">
        <f t="shared" si="196"/>
        <v>54859</v>
      </c>
      <c r="P222" s="564">
        <f t="shared" si="196"/>
        <v>54648</v>
      </c>
      <c r="Q222" s="567">
        <f t="shared" si="196"/>
        <v>57096</v>
      </c>
      <c r="R222" s="564">
        <f t="shared" si="196"/>
        <v>58030</v>
      </c>
      <c r="S222" s="564">
        <f t="shared" si="196"/>
        <v>56561</v>
      </c>
      <c r="T222" s="565">
        <f t="shared" si="196"/>
        <v>57876</v>
      </c>
      <c r="U222" s="566">
        <f t="shared" si="196"/>
        <v>58069</v>
      </c>
      <c r="V222" s="564">
        <f t="shared" si="196"/>
        <v>81789</v>
      </c>
      <c r="W222" s="567">
        <f t="shared" si="196"/>
        <v>58119</v>
      </c>
      <c r="X222" s="564">
        <f t="shared" si="196"/>
        <v>53582</v>
      </c>
      <c r="Y222" s="564">
        <f t="shared" si="196"/>
        <v>58156</v>
      </c>
      <c r="Z222" s="565">
        <f t="shared" si="196"/>
        <v>0</v>
      </c>
      <c r="AA222" s="566">
        <f t="shared" si="196"/>
        <v>59006</v>
      </c>
      <c r="AB222" s="564">
        <f t="shared" si="196"/>
        <v>58620</v>
      </c>
      <c r="AC222" s="567">
        <f t="shared" si="196"/>
        <v>0</v>
      </c>
      <c r="AD222" s="564">
        <f t="shared" si="196"/>
        <v>57620</v>
      </c>
      <c r="AE222" s="564">
        <f t="shared" si="196"/>
        <v>60077</v>
      </c>
      <c r="AF222" s="565">
        <f t="shared" si="196"/>
        <v>0</v>
      </c>
      <c r="AG222" s="566">
        <f t="shared" si="196"/>
        <v>55895</v>
      </c>
      <c r="AH222" s="564">
        <f t="shared" si="196"/>
        <v>58158</v>
      </c>
      <c r="AI222" s="567">
        <f t="shared" si="196"/>
        <v>0</v>
      </c>
      <c r="AJ222" s="564">
        <f t="shared" si="196"/>
        <v>53540</v>
      </c>
      <c r="AK222" s="564">
        <f t="shared" si="196"/>
        <v>58156</v>
      </c>
      <c r="AL222" s="565">
        <f t="shared" si="196"/>
        <v>0</v>
      </c>
      <c r="AM222" s="566">
        <f t="shared" si="196"/>
        <v>54237</v>
      </c>
      <c r="AN222" s="647">
        <f t="shared" si="196"/>
        <v>59971</v>
      </c>
      <c r="AO222" s="590">
        <f t="shared" si="196"/>
        <v>0</v>
      </c>
    </row>
    <row r="223" spans="1:41" ht="15" thickBot="1" x14ac:dyDescent="0.25">
      <c r="A223" s="569"/>
      <c r="B223" s="570" t="s">
        <v>1334</v>
      </c>
      <c r="C223" s="571"/>
      <c r="D223" s="572"/>
      <c r="E223" s="573">
        <f t="shared" si="195"/>
        <v>0</v>
      </c>
      <c r="F223" s="571"/>
      <c r="G223" s="572"/>
      <c r="H223" s="627"/>
      <c r="I223" s="531"/>
      <c r="J223" s="572"/>
      <c r="K223" s="628"/>
      <c r="L223" s="530"/>
      <c r="M223" s="572"/>
      <c r="N223" s="627"/>
      <c r="O223" s="531"/>
      <c r="P223" s="572"/>
      <c r="Q223" s="628"/>
      <c r="R223" s="530"/>
      <c r="S223" s="572"/>
      <c r="T223" s="627"/>
      <c r="U223" s="531"/>
      <c r="V223" s="572"/>
      <c r="W223" s="628"/>
      <c r="X223" s="530"/>
      <c r="Y223" s="572"/>
      <c r="Z223" s="627"/>
      <c r="AA223" s="531"/>
      <c r="AB223" s="572"/>
      <c r="AC223" s="628"/>
      <c r="AD223" s="530"/>
      <c r="AE223" s="572"/>
      <c r="AF223" s="627"/>
      <c r="AG223" s="531"/>
      <c r="AH223" s="572"/>
      <c r="AI223" s="628"/>
      <c r="AJ223" s="530"/>
      <c r="AK223" s="572"/>
      <c r="AL223" s="627"/>
      <c r="AM223" s="531"/>
      <c r="AN223" s="572"/>
      <c r="AO223" s="573"/>
    </row>
    <row r="224" spans="1:41" ht="15" thickBot="1" x14ac:dyDescent="0.25">
      <c r="A224" s="575"/>
      <c r="B224" s="576" t="s">
        <v>1335</v>
      </c>
      <c r="C224" s="528"/>
      <c r="D224" s="577"/>
      <c r="E224" s="563">
        <f t="shared" si="195"/>
        <v>337859</v>
      </c>
      <c r="F224" s="528"/>
      <c r="G224" s="577"/>
      <c r="H224" s="578">
        <f>SUM(H222:H223)</f>
        <v>46407</v>
      </c>
      <c r="I224" s="579"/>
      <c r="J224" s="577"/>
      <c r="K224" s="580">
        <f>SUM(K222:K223)</f>
        <v>56132</v>
      </c>
      <c r="L224" s="529"/>
      <c r="M224" s="577"/>
      <c r="N224" s="578">
        <f>SUM(N222:N223)</f>
        <v>62229</v>
      </c>
      <c r="O224" s="579"/>
      <c r="P224" s="577"/>
      <c r="Q224" s="580">
        <f>SUM(Q222:Q223)</f>
        <v>57096</v>
      </c>
      <c r="R224" s="529"/>
      <c r="S224" s="577"/>
      <c r="T224" s="578">
        <f>SUM(T222:T223)</f>
        <v>57876</v>
      </c>
      <c r="U224" s="579"/>
      <c r="V224" s="577"/>
      <c r="W224" s="580">
        <f>SUM(W222:W223)</f>
        <v>58119</v>
      </c>
      <c r="X224" s="529"/>
      <c r="Y224" s="577"/>
      <c r="Z224" s="578">
        <f>SUM(Z222:Z223)</f>
        <v>0</v>
      </c>
      <c r="AA224" s="579"/>
      <c r="AB224" s="577"/>
      <c r="AC224" s="580">
        <f>SUM(AC222:AC223)</f>
        <v>0</v>
      </c>
      <c r="AD224" s="529"/>
      <c r="AE224" s="577"/>
      <c r="AF224" s="578">
        <f>SUM(AF222:AF223)</f>
        <v>0</v>
      </c>
      <c r="AG224" s="579"/>
      <c r="AH224" s="577"/>
      <c r="AI224" s="580">
        <f>SUM(AI222:AI223)</f>
        <v>0</v>
      </c>
      <c r="AJ224" s="529"/>
      <c r="AK224" s="577"/>
      <c r="AL224" s="578">
        <f>SUM(AL222:AL223)</f>
        <v>0</v>
      </c>
      <c r="AM224" s="579"/>
      <c r="AN224" s="577"/>
      <c r="AO224" s="563">
        <f>SUM(AO222:AO223)</f>
        <v>0</v>
      </c>
    </row>
    <row r="225" spans="1:42" s="525" customFormat="1" ht="15" customHeight="1" thickBot="1" x14ac:dyDescent="0.25">
      <c r="A225" s="581"/>
      <c r="B225" s="582" t="s">
        <v>1336</v>
      </c>
      <c r="C225" s="583"/>
      <c r="D225" s="584"/>
      <c r="E225" s="563">
        <f t="shared" si="195"/>
        <v>6975</v>
      </c>
      <c r="F225" s="583"/>
      <c r="G225" s="584"/>
      <c r="H225" s="585">
        <f>SUM(H203-H224)</f>
        <v>-19679</v>
      </c>
      <c r="I225" s="586"/>
      <c r="J225" s="584"/>
      <c r="K225" s="587">
        <f>SUM(K203-K224)</f>
        <v>-15</v>
      </c>
      <c r="L225" s="588"/>
      <c r="M225" s="584"/>
      <c r="N225" s="585">
        <f>SUM(N203-N224)</f>
        <v>793</v>
      </c>
      <c r="O225" s="586"/>
      <c r="P225" s="584"/>
      <c r="Q225" s="587">
        <f>SUM(Q203-Q224)</f>
        <v>-2448</v>
      </c>
      <c r="R225" s="588"/>
      <c r="S225" s="584"/>
      <c r="T225" s="585">
        <f>SUM(T203-T224)</f>
        <v>-1315</v>
      </c>
      <c r="U225" s="586"/>
      <c r="V225" s="584"/>
      <c r="W225" s="587">
        <f>SUM(W203-W224)</f>
        <v>29639</v>
      </c>
      <c r="X225" s="588"/>
      <c r="Y225" s="584"/>
      <c r="Z225" s="585">
        <f>SUM(Z203-Z224)</f>
        <v>0</v>
      </c>
      <c r="AA225" s="586"/>
      <c r="AB225" s="584"/>
      <c r="AC225" s="587">
        <f>SUM(AC203-AC224)</f>
        <v>0</v>
      </c>
      <c r="AD225" s="588"/>
      <c r="AE225" s="584"/>
      <c r="AF225" s="585">
        <f>SUM(AF203-AF224)</f>
        <v>0</v>
      </c>
      <c r="AG225" s="586"/>
      <c r="AH225" s="584"/>
      <c r="AI225" s="587">
        <f>SUM(AI203-AI224)</f>
        <v>0</v>
      </c>
      <c r="AJ225" s="588"/>
      <c r="AK225" s="584"/>
      <c r="AL225" s="585">
        <f>SUM(AL203-AL224)</f>
        <v>0</v>
      </c>
      <c r="AM225" s="586"/>
      <c r="AN225" s="589"/>
      <c r="AO225" s="590">
        <f>SUM(AO203-AO224)</f>
        <v>0</v>
      </c>
      <c r="AP225" s="479"/>
    </row>
    <row r="226" spans="1:42" ht="9" customHeight="1" x14ac:dyDescent="0.2"/>
    <row r="227" spans="1:42" s="444" customFormat="1" ht="12.75" x14ac:dyDescent="0.2">
      <c r="A227" s="1057" t="s">
        <v>710</v>
      </c>
      <c r="B227" s="1057"/>
      <c r="C227" s="1057"/>
      <c r="D227" s="1057"/>
      <c r="E227" s="1057"/>
      <c r="F227" s="1057"/>
      <c r="G227" s="1057"/>
      <c r="H227" s="1057"/>
      <c r="I227" s="1057"/>
      <c r="J227" s="1058" t="s">
        <v>630</v>
      </c>
      <c r="K227" s="1058"/>
      <c r="L227" s="1058"/>
      <c r="M227" s="1058"/>
      <c r="N227" s="1058"/>
      <c r="O227" s="1058"/>
      <c r="P227" s="1058"/>
      <c r="Q227" s="1058"/>
      <c r="R227" s="1058"/>
      <c r="S227" s="1058"/>
      <c r="T227" s="1058"/>
      <c r="U227" s="1058"/>
      <c r="V227" s="1058"/>
      <c r="W227" s="1058"/>
      <c r="X227" s="1058"/>
      <c r="Y227" s="1058"/>
      <c r="Z227" s="1058"/>
      <c r="AA227" s="1058"/>
      <c r="AB227" s="1058"/>
      <c r="AC227" s="1058"/>
      <c r="AD227" s="441"/>
      <c r="AE227" s="441"/>
      <c r="AF227" s="441"/>
      <c r="AG227" s="441"/>
      <c r="AH227" s="441"/>
      <c r="AI227" s="441"/>
      <c r="AJ227" s="441"/>
      <c r="AK227" s="441"/>
      <c r="AL227" s="441"/>
      <c r="AM227" s="441"/>
      <c r="AN227" s="442"/>
      <c r="AO227" s="443" t="s">
        <v>711</v>
      </c>
      <c r="AP227" s="442"/>
    </row>
    <row r="228" spans="1:42" ht="10.5" customHeight="1" thickBot="1" x14ac:dyDescent="0.25">
      <c r="A228" s="445"/>
      <c r="B228" s="445"/>
      <c r="C228" s="445"/>
      <c r="D228" s="445"/>
      <c r="E228" s="445"/>
      <c r="F228" s="445"/>
      <c r="G228" s="445"/>
      <c r="H228" s="445"/>
      <c r="I228" s="445"/>
      <c r="J228" s="445"/>
      <c r="K228" s="445"/>
      <c r="L228" s="445"/>
      <c r="M228" s="445"/>
      <c r="N228" s="445"/>
      <c r="O228" s="445"/>
      <c r="P228" s="445"/>
      <c r="Q228" s="445"/>
      <c r="R228" s="445"/>
      <c r="S228" s="445"/>
      <c r="T228" s="445"/>
      <c r="U228" s="445"/>
      <c r="V228" s="445"/>
      <c r="W228" s="445"/>
      <c r="X228" s="445"/>
      <c r="Y228" s="445"/>
      <c r="Z228" s="445"/>
      <c r="AA228" s="445"/>
      <c r="AB228" s="445"/>
      <c r="AC228" s="445"/>
      <c r="AD228" s="445"/>
      <c r="AE228" s="445"/>
      <c r="AF228" s="445"/>
      <c r="AG228" s="445"/>
      <c r="AH228" s="445"/>
      <c r="AI228" s="445"/>
      <c r="AJ228" s="445"/>
      <c r="AK228" s="445"/>
      <c r="AL228" s="445"/>
      <c r="AM228" s="445"/>
      <c r="AO228" s="447" t="s">
        <v>1338</v>
      </c>
    </row>
    <row r="229" spans="1:42" x14ac:dyDescent="0.2">
      <c r="A229" s="1046"/>
      <c r="B229" s="1048" t="s">
        <v>632</v>
      </c>
      <c r="C229" s="1050" t="s">
        <v>633</v>
      </c>
      <c r="D229" s="1052" t="s">
        <v>1326</v>
      </c>
      <c r="E229" s="1054" t="s">
        <v>1327</v>
      </c>
      <c r="F229" s="1044" t="s">
        <v>634</v>
      </c>
      <c r="G229" s="1044"/>
      <c r="H229" s="1044"/>
      <c r="I229" s="1043" t="s">
        <v>635</v>
      </c>
      <c r="J229" s="1044"/>
      <c r="K229" s="1045"/>
      <c r="L229" s="1044" t="s">
        <v>636</v>
      </c>
      <c r="M229" s="1044"/>
      <c r="N229" s="1044"/>
      <c r="O229" s="1043" t="s">
        <v>637</v>
      </c>
      <c r="P229" s="1044"/>
      <c r="Q229" s="1045"/>
      <c r="R229" s="1044" t="s">
        <v>638</v>
      </c>
      <c r="S229" s="1044"/>
      <c r="T229" s="1044"/>
      <c r="U229" s="1043" t="s">
        <v>639</v>
      </c>
      <c r="V229" s="1044"/>
      <c r="W229" s="1045"/>
      <c r="X229" s="1044" t="s">
        <v>640</v>
      </c>
      <c r="Y229" s="1044"/>
      <c r="Z229" s="1044"/>
      <c r="AA229" s="1043" t="s">
        <v>641</v>
      </c>
      <c r="AB229" s="1044"/>
      <c r="AC229" s="1045"/>
      <c r="AD229" s="1044" t="s">
        <v>642</v>
      </c>
      <c r="AE229" s="1044"/>
      <c r="AF229" s="1044"/>
      <c r="AG229" s="1043" t="s">
        <v>643</v>
      </c>
      <c r="AH229" s="1044"/>
      <c r="AI229" s="1045"/>
      <c r="AJ229" s="1044" t="s">
        <v>644</v>
      </c>
      <c r="AK229" s="1044"/>
      <c r="AL229" s="1044"/>
      <c r="AM229" s="1043" t="s">
        <v>645</v>
      </c>
      <c r="AN229" s="1044"/>
      <c r="AO229" s="1056"/>
    </row>
    <row r="230" spans="1:42" x14ac:dyDescent="0.2">
      <c r="A230" s="1047"/>
      <c r="B230" s="1049"/>
      <c r="C230" s="1051"/>
      <c r="D230" s="1053"/>
      <c r="E230" s="1055"/>
      <c r="F230" s="450" t="s">
        <v>1328</v>
      </c>
      <c r="G230" s="451" t="s">
        <v>1329</v>
      </c>
      <c r="H230" s="452" t="s">
        <v>1330</v>
      </c>
      <c r="I230" s="453" t="s">
        <v>1328</v>
      </c>
      <c r="J230" s="451" t="s">
        <v>1329</v>
      </c>
      <c r="K230" s="454" t="s">
        <v>1330</v>
      </c>
      <c r="L230" s="455" t="s">
        <v>1328</v>
      </c>
      <c r="M230" s="451" t="s">
        <v>1329</v>
      </c>
      <c r="N230" s="452" t="s">
        <v>1330</v>
      </c>
      <c r="O230" s="453" t="s">
        <v>1328</v>
      </c>
      <c r="P230" s="451" t="s">
        <v>1329</v>
      </c>
      <c r="Q230" s="454" t="s">
        <v>1330</v>
      </c>
      <c r="R230" s="455" t="s">
        <v>1328</v>
      </c>
      <c r="S230" s="451" t="s">
        <v>1329</v>
      </c>
      <c r="T230" s="452" t="s">
        <v>1330</v>
      </c>
      <c r="U230" s="453" t="s">
        <v>1328</v>
      </c>
      <c r="V230" s="451" t="s">
        <v>1329</v>
      </c>
      <c r="W230" s="454" t="s">
        <v>1330</v>
      </c>
      <c r="X230" s="455" t="s">
        <v>1328</v>
      </c>
      <c r="Y230" s="451" t="s">
        <v>1329</v>
      </c>
      <c r="Z230" s="452" t="s">
        <v>1330</v>
      </c>
      <c r="AA230" s="453" t="s">
        <v>1328</v>
      </c>
      <c r="AB230" s="451" t="s">
        <v>1329</v>
      </c>
      <c r="AC230" s="454" t="s">
        <v>1330</v>
      </c>
      <c r="AD230" s="455" t="s">
        <v>1328</v>
      </c>
      <c r="AE230" s="451" t="s">
        <v>1329</v>
      </c>
      <c r="AF230" s="452" t="s">
        <v>1330</v>
      </c>
      <c r="AG230" s="453" t="s">
        <v>1328</v>
      </c>
      <c r="AH230" s="451" t="s">
        <v>1329</v>
      </c>
      <c r="AI230" s="454" t="s">
        <v>1330</v>
      </c>
      <c r="AJ230" s="455" t="s">
        <v>1328</v>
      </c>
      <c r="AK230" s="451" t="s">
        <v>1329</v>
      </c>
      <c r="AL230" s="452" t="s">
        <v>1330</v>
      </c>
      <c r="AM230" s="453" t="s">
        <v>1328</v>
      </c>
      <c r="AN230" s="451" t="s">
        <v>1329</v>
      </c>
      <c r="AO230" s="456" t="s">
        <v>1330</v>
      </c>
    </row>
    <row r="231" spans="1:42" x14ac:dyDescent="0.2">
      <c r="A231" s="466" t="s">
        <v>646</v>
      </c>
      <c r="B231" s="467" t="s">
        <v>647</v>
      </c>
      <c r="C231" s="591">
        <f>SUM(F231,I231,L231,O231,R231,U231,X231,AA231,AD231,AG231,AJ231,AM231)</f>
        <v>0</v>
      </c>
      <c r="D231" s="543">
        <f t="shared" ref="D231:E246" si="197">SUM(G231,J231,M231,P231,S231,V231,Y231,AB231,AE231,AH231,AK231,AN231)</f>
        <v>0</v>
      </c>
      <c r="E231" s="465">
        <f t="shared" si="197"/>
        <v>0</v>
      </c>
      <c r="F231" s="469"/>
      <c r="G231" s="592"/>
      <c r="H231" s="593"/>
      <c r="I231" s="549"/>
      <c r="J231" s="592"/>
      <c r="K231" s="595"/>
      <c r="L231" s="469"/>
      <c r="M231" s="592"/>
      <c r="N231" s="593"/>
      <c r="O231" s="549"/>
      <c r="P231" s="592"/>
      <c r="Q231" s="595"/>
      <c r="R231" s="469"/>
      <c r="S231" s="592"/>
      <c r="T231" s="593"/>
      <c r="U231" s="549"/>
      <c r="V231" s="592"/>
      <c r="W231" s="595"/>
      <c r="X231" s="469"/>
      <c r="Y231" s="592"/>
      <c r="Z231" s="593"/>
      <c r="AA231" s="549"/>
      <c r="AB231" s="592"/>
      <c r="AC231" s="595"/>
      <c r="AD231" s="469"/>
      <c r="AE231" s="592"/>
      <c r="AF231" s="593"/>
      <c r="AG231" s="549"/>
      <c r="AH231" s="592"/>
      <c r="AI231" s="595"/>
      <c r="AJ231" s="469"/>
      <c r="AK231" s="592"/>
      <c r="AL231" s="593"/>
      <c r="AM231" s="549"/>
      <c r="AN231" s="592"/>
      <c r="AO231" s="465"/>
    </row>
    <row r="232" spans="1:42" x14ac:dyDescent="0.2">
      <c r="A232" s="466" t="s">
        <v>650</v>
      </c>
      <c r="B232" s="467" t="s">
        <v>649</v>
      </c>
      <c r="C232" s="468">
        <f t="shared" ref="C232:C236" si="198">SUM(F232,I232,L232,O232,R232,U232,X232,AA232,AD232,AG232,AJ232,AM232)</f>
        <v>0</v>
      </c>
      <c r="D232" s="469">
        <f t="shared" si="197"/>
        <v>0</v>
      </c>
      <c r="E232" s="470">
        <f t="shared" si="197"/>
        <v>0</v>
      </c>
      <c r="F232" s="469"/>
      <c r="G232" s="598"/>
      <c r="H232" s="599"/>
      <c r="I232" s="549"/>
      <c r="J232" s="598"/>
      <c r="K232" s="600"/>
      <c r="L232" s="469"/>
      <c r="M232" s="598"/>
      <c r="N232" s="599"/>
      <c r="O232" s="549"/>
      <c r="P232" s="598"/>
      <c r="Q232" s="600"/>
      <c r="R232" s="469"/>
      <c r="S232" s="598"/>
      <c r="T232" s="599"/>
      <c r="U232" s="549"/>
      <c r="V232" s="598"/>
      <c r="W232" s="600"/>
      <c r="X232" s="469"/>
      <c r="Y232" s="598"/>
      <c r="Z232" s="599"/>
      <c r="AA232" s="549"/>
      <c r="AB232" s="598"/>
      <c r="AC232" s="600"/>
      <c r="AD232" s="469"/>
      <c r="AE232" s="598"/>
      <c r="AF232" s="599"/>
      <c r="AG232" s="549"/>
      <c r="AH232" s="598"/>
      <c r="AI232" s="600"/>
      <c r="AJ232" s="469"/>
      <c r="AK232" s="598"/>
      <c r="AL232" s="599"/>
      <c r="AM232" s="549"/>
      <c r="AN232" s="598"/>
      <c r="AO232" s="470"/>
    </row>
    <row r="233" spans="1:42" x14ac:dyDescent="0.2">
      <c r="A233" s="466" t="s">
        <v>652</v>
      </c>
      <c r="B233" s="467" t="s">
        <v>651</v>
      </c>
      <c r="C233" s="468">
        <f t="shared" si="198"/>
        <v>28997</v>
      </c>
      <c r="D233" s="469">
        <f t="shared" si="197"/>
        <v>28997</v>
      </c>
      <c r="E233" s="470">
        <f t="shared" si="197"/>
        <v>13839</v>
      </c>
      <c r="F233" s="469">
        <v>1530</v>
      </c>
      <c r="G233" s="598">
        <v>1814</v>
      </c>
      <c r="H233" s="599">
        <v>1814</v>
      </c>
      <c r="I233" s="549">
        <v>2600</v>
      </c>
      <c r="J233" s="598">
        <v>2011</v>
      </c>
      <c r="K233" s="600">
        <v>2011</v>
      </c>
      <c r="L233" s="469">
        <v>2640</v>
      </c>
      <c r="M233" s="598">
        <v>2501</v>
      </c>
      <c r="N233" s="599">
        <v>2501</v>
      </c>
      <c r="O233" s="549">
        <v>2850</v>
      </c>
      <c r="P233" s="598">
        <v>1839</v>
      </c>
      <c r="Q233" s="600">
        <v>1839</v>
      </c>
      <c r="R233" s="469">
        <v>2850</v>
      </c>
      <c r="S233" s="598">
        <v>2237</v>
      </c>
      <c r="T233" s="599">
        <v>2237</v>
      </c>
      <c r="U233" s="549">
        <v>2850</v>
      </c>
      <c r="V233" s="598">
        <v>3437</v>
      </c>
      <c r="W233" s="600">
        <v>3437</v>
      </c>
      <c r="X233" s="469">
        <v>2640</v>
      </c>
      <c r="Y233" s="598">
        <v>2032</v>
      </c>
      <c r="Z233" s="599"/>
      <c r="AA233" s="549">
        <v>337</v>
      </c>
      <c r="AB233" s="598">
        <v>1000</v>
      </c>
      <c r="AC233" s="600"/>
      <c r="AD233" s="469">
        <v>2800</v>
      </c>
      <c r="AE233" s="598">
        <v>3032</v>
      </c>
      <c r="AF233" s="599"/>
      <c r="AG233" s="549">
        <v>2800</v>
      </c>
      <c r="AH233" s="598">
        <v>3032</v>
      </c>
      <c r="AI233" s="600"/>
      <c r="AJ233" s="469">
        <v>2800</v>
      </c>
      <c r="AK233" s="598">
        <v>3032</v>
      </c>
      <c r="AL233" s="599"/>
      <c r="AM233" s="549">
        <v>2300</v>
      </c>
      <c r="AN233" s="598">
        <v>3030</v>
      </c>
      <c r="AO233" s="470"/>
    </row>
    <row r="234" spans="1:42" x14ac:dyDescent="0.2">
      <c r="A234" s="466" t="s">
        <v>1331</v>
      </c>
      <c r="B234" s="467" t="s">
        <v>653</v>
      </c>
      <c r="C234" s="468">
        <f t="shared" si="198"/>
        <v>0</v>
      </c>
      <c r="D234" s="469">
        <f t="shared" si="197"/>
        <v>0</v>
      </c>
      <c r="E234" s="470">
        <f t="shared" si="197"/>
        <v>0</v>
      </c>
      <c r="F234" s="469"/>
      <c r="G234" s="598"/>
      <c r="H234" s="599"/>
      <c r="I234" s="549"/>
      <c r="J234" s="598"/>
      <c r="K234" s="600"/>
      <c r="L234" s="469"/>
      <c r="M234" s="598"/>
      <c r="N234" s="599"/>
      <c r="O234" s="549"/>
      <c r="P234" s="598"/>
      <c r="Q234" s="600"/>
      <c r="R234" s="469"/>
      <c r="S234" s="598"/>
      <c r="T234" s="599"/>
      <c r="U234" s="549"/>
      <c r="V234" s="598"/>
      <c r="W234" s="600"/>
      <c r="X234" s="469"/>
      <c r="Y234" s="598"/>
      <c r="Z234" s="599"/>
      <c r="AA234" s="549"/>
      <c r="AB234" s="598"/>
      <c r="AC234" s="600"/>
      <c r="AD234" s="469"/>
      <c r="AE234" s="598"/>
      <c r="AF234" s="599"/>
      <c r="AG234" s="549"/>
      <c r="AH234" s="598"/>
      <c r="AI234" s="600"/>
      <c r="AJ234" s="469"/>
      <c r="AK234" s="598"/>
      <c r="AL234" s="599"/>
      <c r="AM234" s="549"/>
      <c r="AN234" s="598"/>
      <c r="AO234" s="470"/>
    </row>
    <row r="235" spans="1:42" x14ac:dyDescent="0.2">
      <c r="A235" s="471" t="s">
        <v>654</v>
      </c>
      <c r="B235" s="472" t="s">
        <v>655</v>
      </c>
      <c r="C235" s="473">
        <f t="shared" si="198"/>
        <v>28997</v>
      </c>
      <c r="D235" s="474">
        <f t="shared" si="197"/>
        <v>28997</v>
      </c>
      <c r="E235" s="475">
        <f t="shared" si="197"/>
        <v>13839</v>
      </c>
      <c r="F235" s="474">
        <f>SUM(F231:F234)</f>
        <v>1530</v>
      </c>
      <c r="G235" s="603">
        <f t="shared" ref="G235:AO235" si="199">SUM(G231:G234)</f>
        <v>1814</v>
      </c>
      <c r="H235" s="604">
        <f t="shared" si="199"/>
        <v>1814</v>
      </c>
      <c r="I235" s="477">
        <f t="shared" si="199"/>
        <v>2600</v>
      </c>
      <c r="J235" s="603">
        <f t="shared" si="199"/>
        <v>2011</v>
      </c>
      <c r="K235" s="605">
        <f t="shared" si="199"/>
        <v>2011</v>
      </c>
      <c r="L235" s="474">
        <f t="shared" si="199"/>
        <v>2640</v>
      </c>
      <c r="M235" s="603">
        <f t="shared" si="199"/>
        <v>2501</v>
      </c>
      <c r="N235" s="604">
        <f t="shared" si="199"/>
        <v>2501</v>
      </c>
      <c r="O235" s="477">
        <f t="shared" si="199"/>
        <v>2850</v>
      </c>
      <c r="P235" s="603">
        <f t="shared" si="199"/>
        <v>1839</v>
      </c>
      <c r="Q235" s="605">
        <f t="shared" si="199"/>
        <v>1839</v>
      </c>
      <c r="R235" s="474">
        <f t="shared" si="199"/>
        <v>2850</v>
      </c>
      <c r="S235" s="603">
        <f t="shared" si="199"/>
        <v>2237</v>
      </c>
      <c r="T235" s="604">
        <f t="shared" si="199"/>
        <v>2237</v>
      </c>
      <c r="U235" s="477">
        <f t="shared" si="199"/>
        <v>2850</v>
      </c>
      <c r="V235" s="603">
        <f t="shared" si="199"/>
        <v>3437</v>
      </c>
      <c r="W235" s="605">
        <f t="shared" si="199"/>
        <v>3437</v>
      </c>
      <c r="X235" s="474">
        <f t="shared" si="199"/>
        <v>2640</v>
      </c>
      <c r="Y235" s="603">
        <f t="shared" si="199"/>
        <v>2032</v>
      </c>
      <c r="Z235" s="604">
        <f t="shared" si="199"/>
        <v>0</v>
      </c>
      <c r="AA235" s="477">
        <f t="shared" si="199"/>
        <v>337</v>
      </c>
      <c r="AB235" s="603">
        <f t="shared" si="199"/>
        <v>1000</v>
      </c>
      <c r="AC235" s="605">
        <f t="shared" si="199"/>
        <v>0</v>
      </c>
      <c r="AD235" s="474">
        <f t="shared" si="199"/>
        <v>2800</v>
      </c>
      <c r="AE235" s="603">
        <f t="shared" si="199"/>
        <v>3032</v>
      </c>
      <c r="AF235" s="604">
        <f t="shared" si="199"/>
        <v>0</v>
      </c>
      <c r="AG235" s="477">
        <f t="shared" si="199"/>
        <v>2800</v>
      </c>
      <c r="AH235" s="603">
        <f t="shared" si="199"/>
        <v>3032</v>
      </c>
      <c r="AI235" s="605">
        <f t="shared" si="199"/>
        <v>0</v>
      </c>
      <c r="AJ235" s="474">
        <f t="shared" si="199"/>
        <v>2800</v>
      </c>
      <c r="AK235" s="603">
        <f t="shared" si="199"/>
        <v>3032</v>
      </c>
      <c r="AL235" s="604">
        <f t="shared" si="199"/>
        <v>0</v>
      </c>
      <c r="AM235" s="477">
        <f t="shared" si="199"/>
        <v>2300</v>
      </c>
      <c r="AN235" s="603">
        <f t="shared" si="199"/>
        <v>3030</v>
      </c>
      <c r="AO235" s="475">
        <f t="shared" si="199"/>
        <v>0</v>
      </c>
    </row>
    <row r="236" spans="1:42" x14ac:dyDescent="0.2">
      <c r="A236" s="471" t="s">
        <v>656</v>
      </c>
      <c r="B236" s="472" t="s">
        <v>657</v>
      </c>
      <c r="C236" s="473">
        <f t="shared" si="198"/>
        <v>95218</v>
      </c>
      <c r="D236" s="474">
        <f t="shared" si="197"/>
        <v>98078</v>
      </c>
      <c r="E236" s="475">
        <f t="shared" si="197"/>
        <v>50227</v>
      </c>
      <c r="F236" s="474">
        <v>9437</v>
      </c>
      <c r="G236" s="603">
        <v>5048</v>
      </c>
      <c r="H236" s="604">
        <v>5048</v>
      </c>
      <c r="I236" s="477">
        <v>8367</v>
      </c>
      <c r="J236" s="603">
        <v>6218</v>
      </c>
      <c r="K236" s="605">
        <v>6218</v>
      </c>
      <c r="L236" s="474">
        <v>7271</v>
      </c>
      <c r="M236" s="603">
        <v>8107</v>
      </c>
      <c r="N236" s="604">
        <v>8107</v>
      </c>
      <c r="O236" s="477">
        <v>7607</v>
      </c>
      <c r="P236" s="603">
        <v>8758</v>
      </c>
      <c r="Q236" s="605">
        <v>8758</v>
      </c>
      <c r="R236" s="474">
        <v>7607</v>
      </c>
      <c r="S236" s="603">
        <v>8733</v>
      </c>
      <c r="T236" s="604">
        <v>8733</v>
      </c>
      <c r="U236" s="477">
        <v>7607</v>
      </c>
      <c r="V236" s="603">
        <v>13363</v>
      </c>
      <c r="W236" s="605">
        <v>13363</v>
      </c>
      <c r="X236" s="474">
        <v>7817</v>
      </c>
      <c r="Y236" s="603">
        <v>7975</v>
      </c>
      <c r="Z236" s="604"/>
      <c r="AA236" s="477">
        <v>8337</v>
      </c>
      <c r="AB236" s="603">
        <v>3988</v>
      </c>
      <c r="AC236" s="605"/>
      <c r="AD236" s="474">
        <v>6967</v>
      </c>
      <c r="AE236" s="603">
        <v>7975</v>
      </c>
      <c r="AF236" s="604"/>
      <c r="AG236" s="477">
        <v>7367</v>
      </c>
      <c r="AH236" s="603">
        <v>11963</v>
      </c>
      <c r="AI236" s="605"/>
      <c r="AJ236" s="474">
        <v>8167</v>
      </c>
      <c r="AK236" s="603">
        <v>7975</v>
      </c>
      <c r="AL236" s="604"/>
      <c r="AM236" s="477">
        <v>8667</v>
      </c>
      <c r="AN236" s="603">
        <v>7975</v>
      </c>
      <c r="AO236" s="475"/>
    </row>
    <row r="237" spans="1:42" x14ac:dyDescent="0.2">
      <c r="A237" s="481" t="s">
        <v>658</v>
      </c>
      <c r="B237" s="482" t="s">
        <v>659</v>
      </c>
      <c r="C237" s="483">
        <f>SUM(F237,I237,L237,O237,R237,U237,X237,AA237,AD237,AG237,AJ237,AM237)</f>
        <v>8</v>
      </c>
      <c r="D237" s="484">
        <f t="shared" si="197"/>
        <v>8</v>
      </c>
      <c r="E237" s="485">
        <f t="shared" si="197"/>
        <v>0</v>
      </c>
      <c r="F237" s="487">
        <v>8</v>
      </c>
      <c r="G237" s="606"/>
      <c r="H237" s="607"/>
      <c r="I237" s="487"/>
      <c r="J237" s="606"/>
      <c r="K237" s="608"/>
      <c r="L237" s="484"/>
      <c r="M237" s="606"/>
      <c r="N237" s="607"/>
      <c r="O237" s="487"/>
      <c r="P237" s="606"/>
      <c r="Q237" s="608"/>
      <c r="R237" s="484"/>
      <c r="S237" s="606"/>
      <c r="T237" s="607"/>
      <c r="U237" s="487"/>
      <c r="V237" s="606"/>
      <c r="W237" s="608"/>
      <c r="X237" s="484"/>
      <c r="Y237" s="606">
        <v>8</v>
      </c>
      <c r="Z237" s="607"/>
      <c r="AA237" s="487"/>
      <c r="AB237" s="606"/>
      <c r="AC237" s="608"/>
      <c r="AD237" s="484"/>
      <c r="AE237" s="606"/>
      <c r="AF237" s="607"/>
      <c r="AG237" s="487"/>
      <c r="AH237" s="606"/>
      <c r="AI237" s="608"/>
      <c r="AJ237" s="484"/>
      <c r="AK237" s="606"/>
      <c r="AL237" s="607"/>
      <c r="AM237" s="487"/>
      <c r="AN237" s="606"/>
      <c r="AO237" s="485"/>
    </row>
    <row r="238" spans="1:42" x14ac:dyDescent="0.2">
      <c r="A238" s="471" t="s">
        <v>660</v>
      </c>
      <c r="B238" s="472" t="s">
        <v>661</v>
      </c>
      <c r="C238" s="473">
        <f>SUM(F238,I238,L238,O238,R238,U238,X238,AA238,AD238,AG238,AJ238,AM238)</f>
        <v>124215</v>
      </c>
      <c r="D238" s="474">
        <f t="shared" si="197"/>
        <v>127075</v>
      </c>
      <c r="E238" s="475">
        <f t="shared" si="197"/>
        <v>64066</v>
      </c>
      <c r="F238" s="474">
        <f>SUM(+F235,F236)</f>
        <v>10967</v>
      </c>
      <c r="G238" s="603">
        <f t="shared" ref="G238:H238" si="200">SUM(G235,G236)</f>
        <v>6862</v>
      </c>
      <c r="H238" s="604">
        <f t="shared" si="200"/>
        <v>6862</v>
      </c>
      <c r="I238" s="477">
        <f>SUM(I235,I236)</f>
        <v>10967</v>
      </c>
      <c r="J238" s="603">
        <f t="shared" ref="J238:AO238" si="201">SUM(J235,J236)</f>
        <v>8229</v>
      </c>
      <c r="K238" s="605">
        <f t="shared" si="201"/>
        <v>8229</v>
      </c>
      <c r="L238" s="474">
        <f t="shared" si="201"/>
        <v>9911</v>
      </c>
      <c r="M238" s="603">
        <f t="shared" si="201"/>
        <v>10608</v>
      </c>
      <c r="N238" s="604">
        <f t="shared" si="201"/>
        <v>10608</v>
      </c>
      <c r="O238" s="477">
        <f t="shared" si="201"/>
        <v>10457</v>
      </c>
      <c r="P238" s="603">
        <f t="shared" si="201"/>
        <v>10597</v>
      </c>
      <c r="Q238" s="605">
        <f t="shared" si="201"/>
        <v>10597</v>
      </c>
      <c r="R238" s="474">
        <f t="shared" si="201"/>
        <v>10457</v>
      </c>
      <c r="S238" s="603">
        <f t="shared" si="201"/>
        <v>10970</v>
      </c>
      <c r="T238" s="604">
        <f t="shared" si="201"/>
        <v>10970</v>
      </c>
      <c r="U238" s="477">
        <f t="shared" si="201"/>
        <v>10457</v>
      </c>
      <c r="V238" s="603">
        <f t="shared" si="201"/>
        <v>16800</v>
      </c>
      <c r="W238" s="605">
        <f t="shared" si="201"/>
        <v>16800</v>
      </c>
      <c r="X238" s="474">
        <f t="shared" si="201"/>
        <v>10457</v>
      </c>
      <c r="Y238" s="603">
        <f t="shared" si="201"/>
        <v>10007</v>
      </c>
      <c r="Z238" s="604">
        <f t="shared" si="201"/>
        <v>0</v>
      </c>
      <c r="AA238" s="477">
        <f t="shared" si="201"/>
        <v>8674</v>
      </c>
      <c r="AB238" s="603">
        <f t="shared" si="201"/>
        <v>4988</v>
      </c>
      <c r="AC238" s="605">
        <f t="shared" si="201"/>
        <v>0</v>
      </c>
      <c r="AD238" s="474">
        <f t="shared" si="201"/>
        <v>9767</v>
      </c>
      <c r="AE238" s="603">
        <f t="shared" si="201"/>
        <v>11007</v>
      </c>
      <c r="AF238" s="604">
        <f t="shared" si="201"/>
        <v>0</v>
      </c>
      <c r="AG238" s="477">
        <f t="shared" si="201"/>
        <v>10167</v>
      </c>
      <c r="AH238" s="603">
        <f t="shared" si="201"/>
        <v>14995</v>
      </c>
      <c r="AI238" s="605">
        <f t="shared" si="201"/>
        <v>0</v>
      </c>
      <c r="AJ238" s="474">
        <f t="shared" si="201"/>
        <v>10967</v>
      </c>
      <c r="AK238" s="603">
        <f t="shared" si="201"/>
        <v>11007</v>
      </c>
      <c r="AL238" s="604">
        <f t="shared" si="201"/>
        <v>0</v>
      </c>
      <c r="AM238" s="477">
        <f t="shared" si="201"/>
        <v>10967</v>
      </c>
      <c r="AN238" s="603">
        <f t="shared" si="201"/>
        <v>11005</v>
      </c>
      <c r="AO238" s="475">
        <f t="shared" si="201"/>
        <v>0</v>
      </c>
    </row>
    <row r="239" spans="1:42" x14ac:dyDescent="0.2">
      <c r="A239" s="466" t="s">
        <v>648</v>
      </c>
      <c r="B239" s="467" t="s">
        <v>662</v>
      </c>
      <c r="C239" s="468">
        <f t="shared" ref="C239:C243" si="202">SUM(F239,I239,L239,O239,R239,U239,X239,AA239,AD239,AG239,AJ239,AM239)</f>
        <v>0</v>
      </c>
      <c r="D239" s="469">
        <f t="shared" si="197"/>
        <v>0</v>
      </c>
      <c r="E239" s="470">
        <f t="shared" si="197"/>
        <v>0</v>
      </c>
      <c r="F239" s="469"/>
      <c r="G239" s="598"/>
      <c r="H239" s="599"/>
      <c r="I239" s="549"/>
      <c r="J239" s="598"/>
      <c r="K239" s="600"/>
      <c r="L239" s="469"/>
      <c r="M239" s="598"/>
      <c r="N239" s="599"/>
      <c r="O239" s="549"/>
      <c r="P239" s="598"/>
      <c r="Q239" s="600"/>
      <c r="R239" s="469"/>
      <c r="S239" s="598"/>
      <c r="T239" s="599"/>
      <c r="U239" s="549"/>
      <c r="V239" s="598"/>
      <c r="W239" s="600"/>
      <c r="X239" s="469"/>
      <c r="Y239" s="598"/>
      <c r="Z239" s="599"/>
      <c r="AA239" s="549"/>
      <c r="AB239" s="598"/>
      <c r="AC239" s="600"/>
      <c r="AD239" s="469"/>
      <c r="AE239" s="598"/>
      <c r="AF239" s="599"/>
      <c r="AG239" s="549"/>
      <c r="AH239" s="598"/>
      <c r="AI239" s="600"/>
      <c r="AJ239" s="469"/>
      <c r="AK239" s="598"/>
      <c r="AL239" s="599"/>
      <c r="AM239" s="549"/>
      <c r="AN239" s="598"/>
      <c r="AO239" s="470"/>
    </row>
    <row r="240" spans="1:42" x14ac:dyDescent="0.2">
      <c r="A240" s="491" t="s">
        <v>663</v>
      </c>
      <c r="B240" s="492" t="s">
        <v>664</v>
      </c>
      <c r="C240" s="468">
        <f t="shared" si="202"/>
        <v>0</v>
      </c>
      <c r="D240" s="469">
        <f t="shared" si="197"/>
        <v>0</v>
      </c>
      <c r="E240" s="470">
        <f t="shared" si="197"/>
        <v>0</v>
      </c>
      <c r="F240" s="630"/>
      <c r="G240" s="598"/>
      <c r="H240" s="599"/>
      <c r="I240" s="631"/>
      <c r="J240" s="598"/>
      <c r="K240" s="600"/>
      <c r="L240" s="630"/>
      <c r="M240" s="598"/>
      <c r="N240" s="599"/>
      <c r="O240" s="631"/>
      <c r="P240" s="598"/>
      <c r="Q240" s="600"/>
      <c r="R240" s="630"/>
      <c r="S240" s="598"/>
      <c r="T240" s="599"/>
      <c r="U240" s="631"/>
      <c r="V240" s="598"/>
      <c r="W240" s="600"/>
      <c r="X240" s="630"/>
      <c r="Y240" s="598"/>
      <c r="Z240" s="599"/>
      <c r="AA240" s="631"/>
      <c r="AB240" s="598"/>
      <c r="AC240" s="600"/>
      <c r="AD240" s="630"/>
      <c r="AE240" s="598"/>
      <c r="AF240" s="599"/>
      <c r="AG240" s="631"/>
      <c r="AH240" s="598"/>
      <c r="AI240" s="600"/>
      <c r="AJ240" s="630"/>
      <c r="AK240" s="598"/>
      <c r="AL240" s="599"/>
      <c r="AM240" s="631"/>
      <c r="AN240" s="598"/>
      <c r="AO240" s="470"/>
    </row>
    <row r="241" spans="1:42" x14ac:dyDescent="0.2">
      <c r="A241" s="491" t="s">
        <v>665</v>
      </c>
      <c r="B241" s="492" t="s">
        <v>666</v>
      </c>
      <c r="C241" s="468">
        <f t="shared" si="202"/>
        <v>0</v>
      </c>
      <c r="D241" s="469">
        <f t="shared" si="197"/>
        <v>0</v>
      </c>
      <c r="E241" s="470">
        <f t="shared" si="197"/>
        <v>0</v>
      </c>
      <c r="F241" s="630"/>
      <c r="G241" s="598"/>
      <c r="H241" s="599"/>
      <c r="I241" s="631"/>
      <c r="J241" s="598"/>
      <c r="K241" s="600"/>
      <c r="L241" s="630"/>
      <c r="M241" s="598"/>
      <c r="N241" s="599"/>
      <c r="O241" s="631"/>
      <c r="P241" s="598"/>
      <c r="Q241" s="600"/>
      <c r="R241" s="630"/>
      <c r="S241" s="598"/>
      <c r="T241" s="599"/>
      <c r="U241" s="631"/>
      <c r="V241" s="598"/>
      <c r="W241" s="600"/>
      <c r="X241" s="630"/>
      <c r="Y241" s="598"/>
      <c r="Z241" s="599"/>
      <c r="AA241" s="631"/>
      <c r="AB241" s="598"/>
      <c r="AC241" s="600"/>
      <c r="AD241" s="630"/>
      <c r="AE241" s="598"/>
      <c r="AF241" s="599"/>
      <c r="AG241" s="631"/>
      <c r="AH241" s="598"/>
      <c r="AI241" s="600"/>
      <c r="AJ241" s="630"/>
      <c r="AK241" s="598"/>
      <c r="AL241" s="599"/>
      <c r="AM241" s="631"/>
      <c r="AN241" s="598"/>
      <c r="AO241" s="470"/>
    </row>
    <row r="242" spans="1:42" x14ac:dyDescent="0.2">
      <c r="A242" s="471" t="s">
        <v>667</v>
      </c>
      <c r="B242" s="472" t="s">
        <v>668</v>
      </c>
      <c r="C242" s="473">
        <f t="shared" si="202"/>
        <v>0</v>
      </c>
      <c r="D242" s="474">
        <f t="shared" si="197"/>
        <v>0</v>
      </c>
      <c r="E242" s="475">
        <f t="shared" si="197"/>
        <v>0</v>
      </c>
      <c r="F242" s="473">
        <f>SUM(F239:F241)</f>
        <v>0</v>
      </c>
      <c r="G242" s="603">
        <f t="shared" ref="G242:AO242" si="203">SUM(G239:G241)</f>
        <v>0</v>
      </c>
      <c r="H242" s="604">
        <f t="shared" si="203"/>
        <v>0</v>
      </c>
      <c r="I242" s="477">
        <f t="shared" si="203"/>
        <v>0</v>
      </c>
      <c r="J242" s="603">
        <f t="shared" si="203"/>
        <v>0</v>
      </c>
      <c r="K242" s="605">
        <f t="shared" si="203"/>
        <v>0</v>
      </c>
      <c r="L242" s="474">
        <f t="shared" si="203"/>
        <v>0</v>
      </c>
      <c r="M242" s="603">
        <f t="shared" si="203"/>
        <v>0</v>
      </c>
      <c r="N242" s="604">
        <f t="shared" si="203"/>
        <v>0</v>
      </c>
      <c r="O242" s="477">
        <f t="shared" si="203"/>
        <v>0</v>
      </c>
      <c r="P242" s="603">
        <f t="shared" si="203"/>
        <v>0</v>
      </c>
      <c r="Q242" s="605">
        <f t="shared" si="203"/>
        <v>0</v>
      </c>
      <c r="R242" s="474">
        <f t="shared" si="203"/>
        <v>0</v>
      </c>
      <c r="S242" s="603">
        <f t="shared" si="203"/>
        <v>0</v>
      </c>
      <c r="T242" s="604">
        <f t="shared" si="203"/>
        <v>0</v>
      </c>
      <c r="U242" s="477">
        <f t="shared" si="203"/>
        <v>0</v>
      </c>
      <c r="V242" s="603">
        <f t="shared" si="203"/>
        <v>0</v>
      </c>
      <c r="W242" s="605">
        <f t="shared" si="203"/>
        <v>0</v>
      </c>
      <c r="X242" s="474">
        <f t="shared" si="203"/>
        <v>0</v>
      </c>
      <c r="Y242" s="603">
        <f t="shared" si="203"/>
        <v>0</v>
      </c>
      <c r="Z242" s="604">
        <f t="shared" si="203"/>
        <v>0</v>
      </c>
      <c r="AA242" s="477">
        <f t="shared" si="203"/>
        <v>0</v>
      </c>
      <c r="AB242" s="603">
        <f t="shared" si="203"/>
        <v>0</v>
      </c>
      <c r="AC242" s="605">
        <f t="shared" si="203"/>
        <v>0</v>
      </c>
      <c r="AD242" s="474">
        <f t="shared" si="203"/>
        <v>0</v>
      </c>
      <c r="AE242" s="603">
        <f t="shared" si="203"/>
        <v>0</v>
      </c>
      <c r="AF242" s="604">
        <f t="shared" si="203"/>
        <v>0</v>
      </c>
      <c r="AG242" s="477">
        <f t="shared" si="203"/>
        <v>0</v>
      </c>
      <c r="AH242" s="603">
        <f t="shared" si="203"/>
        <v>0</v>
      </c>
      <c r="AI242" s="605">
        <f t="shared" si="203"/>
        <v>0</v>
      </c>
      <c r="AJ242" s="474">
        <f t="shared" si="203"/>
        <v>0</v>
      </c>
      <c r="AK242" s="603">
        <f t="shared" si="203"/>
        <v>0</v>
      </c>
      <c r="AL242" s="604">
        <f t="shared" si="203"/>
        <v>0</v>
      </c>
      <c r="AM242" s="477">
        <f t="shared" si="203"/>
        <v>0</v>
      </c>
      <c r="AN242" s="603">
        <f t="shared" si="203"/>
        <v>0</v>
      </c>
      <c r="AO242" s="475">
        <f t="shared" si="203"/>
        <v>0</v>
      </c>
    </row>
    <row r="243" spans="1:42" s="480" customFormat="1" ht="15" x14ac:dyDescent="0.2">
      <c r="A243" s="493" t="s">
        <v>669</v>
      </c>
      <c r="B243" s="494" t="s">
        <v>657</v>
      </c>
      <c r="C243" s="473">
        <f t="shared" si="202"/>
        <v>1264</v>
      </c>
      <c r="D243" s="474">
        <f t="shared" si="197"/>
        <v>1264</v>
      </c>
      <c r="E243" s="475">
        <f t="shared" si="197"/>
        <v>611</v>
      </c>
      <c r="F243" s="632">
        <f>+F263</f>
        <v>0</v>
      </c>
      <c r="G243" s="603"/>
      <c r="H243" s="604"/>
      <c r="I243" s="497">
        <f t="shared" ref="I243:AM243" si="204">+I263</f>
        <v>0</v>
      </c>
      <c r="J243" s="603"/>
      <c r="K243" s="605"/>
      <c r="L243" s="495">
        <f t="shared" si="204"/>
        <v>546</v>
      </c>
      <c r="M243" s="603">
        <v>135</v>
      </c>
      <c r="N243" s="604">
        <v>135</v>
      </c>
      <c r="O243" s="497">
        <f t="shared" si="204"/>
        <v>0</v>
      </c>
      <c r="P243" s="603">
        <v>37</v>
      </c>
      <c r="Q243" s="605">
        <v>37</v>
      </c>
      <c r="R243" s="495">
        <f t="shared" si="204"/>
        <v>0</v>
      </c>
      <c r="S243" s="603">
        <v>419</v>
      </c>
      <c r="T243" s="604">
        <v>419</v>
      </c>
      <c r="U243" s="497">
        <f t="shared" si="204"/>
        <v>0</v>
      </c>
      <c r="V243" s="603">
        <v>20</v>
      </c>
      <c r="W243" s="605">
        <v>20</v>
      </c>
      <c r="X243" s="495">
        <f t="shared" si="204"/>
        <v>0</v>
      </c>
      <c r="Y243" s="603"/>
      <c r="Z243" s="604"/>
      <c r="AA243" s="497">
        <f t="shared" si="204"/>
        <v>718</v>
      </c>
      <c r="AB243" s="603">
        <v>653</v>
      </c>
      <c r="AC243" s="605"/>
      <c r="AD243" s="495">
        <f t="shared" si="204"/>
        <v>0</v>
      </c>
      <c r="AE243" s="603"/>
      <c r="AF243" s="604"/>
      <c r="AG243" s="497">
        <f t="shared" si="204"/>
        <v>0</v>
      </c>
      <c r="AH243" s="603"/>
      <c r="AI243" s="605"/>
      <c r="AJ243" s="495">
        <f t="shared" si="204"/>
        <v>0</v>
      </c>
      <c r="AK243" s="603"/>
      <c r="AL243" s="604"/>
      <c r="AM243" s="477">
        <f t="shared" si="204"/>
        <v>0</v>
      </c>
      <c r="AN243" s="603"/>
      <c r="AO243" s="475"/>
      <c r="AP243" s="479"/>
    </row>
    <row r="244" spans="1:42" x14ac:dyDescent="0.2">
      <c r="A244" s="481" t="s">
        <v>658</v>
      </c>
      <c r="B244" s="482" t="s">
        <v>659</v>
      </c>
      <c r="C244" s="483">
        <f>SUM(F244,I244,L244,O244,R244,U244,X244,AA244,AD244,AG244,AJ244,AM244)</f>
        <v>0</v>
      </c>
      <c r="D244" s="484">
        <f t="shared" si="197"/>
        <v>0</v>
      </c>
      <c r="E244" s="485">
        <f t="shared" si="197"/>
        <v>0</v>
      </c>
      <c r="F244" s="460"/>
      <c r="G244" s="598"/>
      <c r="H244" s="599"/>
      <c r="I244" s="463"/>
      <c r="J244" s="598"/>
      <c r="K244" s="600"/>
      <c r="L244" s="460"/>
      <c r="M244" s="598"/>
      <c r="N244" s="599"/>
      <c r="O244" s="463"/>
      <c r="P244" s="598"/>
      <c r="Q244" s="600"/>
      <c r="R244" s="460"/>
      <c r="S244" s="598"/>
      <c r="T244" s="599"/>
      <c r="U244" s="463"/>
      <c r="V244" s="598"/>
      <c r="W244" s="600"/>
      <c r="X244" s="460"/>
      <c r="Y244" s="598"/>
      <c r="Z244" s="599"/>
      <c r="AA244" s="463"/>
      <c r="AB244" s="598"/>
      <c r="AC244" s="600"/>
      <c r="AD244" s="460"/>
      <c r="AE244" s="598"/>
      <c r="AF244" s="599"/>
      <c r="AG244" s="463"/>
      <c r="AH244" s="598"/>
      <c r="AI244" s="600"/>
      <c r="AJ244" s="460"/>
      <c r="AK244" s="598"/>
      <c r="AL244" s="599"/>
      <c r="AM244" s="463"/>
      <c r="AN244" s="598"/>
      <c r="AO244" s="470"/>
    </row>
    <row r="245" spans="1:42" s="480" customFormat="1" ht="15.75" thickBot="1" x14ac:dyDescent="0.25">
      <c r="A245" s="505" t="s">
        <v>670</v>
      </c>
      <c r="B245" s="506" t="s">
        <v>671</v>
      </c>
      <c r="C245" s="507">
        <f>SUM(F245,I245,L245,O245,R245,U245,X245,AA245,AD245,AG245,AJ245,AM245)</f>
        <v>1264</v>
      </c>
      <c r="D245" s="508">
        <f t="shared" si="197"/>
        <v>1264</v>
      </c>
      <c r="E245" s="509">
        <f t="shared" si="197"/>
        <v>611</v>
      </c>
      <c r="F245" s="557">
        <f>SUM(F242,F243)</f>
        <v>0</v>
      </c>
      <c r="G245" s="610">
        <f t="shared" ref="G245:H245" si="205">SUM(G242,G243)</f>
        <v>0</v>
      </c>
      <c r="H245" s="611">
        <f t="shared" si="205"/>
        <v>0</v>
      </c>
      <c r="I245" s="512">
        <f>SUM(I242,I243)</f>
        <v>0</v>
      </c>
      <c r="J245" s="610">
        <f t="shared" ref="J245:AO245" si="206">SUM(J242,J243)</f>
        <v>0</v>
      </c>
      <c r="K245" s="612">
        <f t="shared" si="206"/>
        <v>0</v>
      </c>
      <c r="L245" s="510">
        <f t="shared" si="206"/>
        <v>546</v>
      </c>
      <c r="M245" s="610">
        <f t="shared" si="206"/>
        <v>135</v>
      </c>
      <c r="N245" s="611">
        <f t="shared" si="206"/>
        <v>135</v>
      </c>
      <c r="O245" s="512">
        <f t="shared" si="206"/>
        <v>0</v>
      </c>
      <c r="P245" s="610">
        <f t="shared" si="206"/>
        <v>37</v>
      </c>
      <c r="Q245" s="612">
        <f t="shared" si="206"/>
        <v>37</v>
      </c>
      <c r="R245" s="510">
        <f t="shared" si="206"/>
        <v>0</v>
      </c>
      <c r="S245" s="610">
        <f t="shared" si="206"/>
        <v>419</v>
      </c>
      <c r="T245" s="611">
        <f t="shared" si="206"/>
        <v>419</v>
      </c>
      <c r="U245" s="512">
        <f t="shared" si="206"/>
        <v>0</v>
      </c>
      <c r="V245" s="610">
        <f t="shared" si="206"/>
        <v>20</v>
      </c>
      <c r="W245" s="612">
        <f t="shared" si="206"/>
        <v>20</v>
      </c>
      <c r="X245" s="510">
        <f t="shared" si="206"/>
        <v>0</v>
      </c>
      <c r="Y245" s="610">
        <f t="shared" si="206"/>
        <v>0</v>
      </c>
      <c r="Z245" s="611">
        <f t="shared" si="206"/>
        <v>0</v>
      </c>
      <c r="AA245" s="512">
        <f t="shared" si="206"/>
        <v>718</v>
      </c>
      <c r="AB245" s="610">
        <f t="shared" si="206"/>
        <v>653</v>
      </c>
      <c r="AC245" s="612">
        <f t="shared" si="206"/>
        <v>0</v>
      </c>
      <c r="AD245" s="510">
        <f t="shared" si="206"/>
        <v>0</v>
      </c>
      <c r="AE245" s="610">
        <f t="shared" si="206"/>
        <v>0</v>
      </c>
      <c r="AF245" s="611">
        <f t="shared" si="206"/>
        <v>0</v>
      </c>
      <c r="AG245" s="512">
        <f t="shared" si="206"/>
        <v>0</v>
      </c>
      <c r="AH245" s="610">
        <f t="shared" si="206"/>
        <v>0</v>
      </c>
      <c r="AI245" s="612">
        <f t="shared" si="206"/>
        <v>0</v>
      </c>
      <c r="AJ245" s="510">
        <f t="shared" si="206"/>
        <v>0</v>
      </c>
      <c r="AK245" s="610">
        <f t="shared" si="206"/>
        <v>0</v>
      </c>
      <c r="AL245" s="611">
        <f t="shared" si="206"/>
        <v>0</v>
      </c>
      <c r="AM245" s="514">
        <f t="shared" si="206"/>
        <v>0</v>
      </c>
      <c r="AN245" s="610">
        <f t="shared" si="206"/>
        <v>0</v>
      </c>
      <c r="AO245" s="509">
        <f t="shared" si="206"/>
        <v>0</v>
      </c>
      <c r="AP245" s="479"/>
    </row>
    <row r="246" spans="1:42" ht="15" thickBot="1" x14ac:dyDescent="0.25">
      <c r="A246" s="515" t="s">
        <v>672</v>
      </c>
      <c r="B246" s="516" t="s">
        <v>673</v>
      </c>
      <c r="C246" s="632">
        <f>SUM(F246,I246,L246,O246,R246,U246,X246,AA246,AD246,AG246,AJ246,AM246)</f>
        <v>125479</v>
      </c>
      <c r="D246" s="633">
        <f t="shared" si="197"/>
        <v>128339</v>
      </c>
      <c r="E246" s="634">
        <f t="shared" si="197"/>
        <v>64677</v>
      </c>
      <c r="F246" s="520">
        <f>SUM(F245,F238)</f>
        <v>10967</v>
      </c>
      <c r="G246" s="520">
        <f t="shared" ref="G246:H246" si="207">SUM(G245,G238)</f>
        <v>6862</v>
      </c>
      <c r="H246" s="521">
        <f t="shared" si="207"/>
        <v>6862</v>
      </c>
      <c r="I246" s="522">
        <f t="shared" ref="I246:AM246" si="208">SUM(I238,I245)</f>
        <v>10967</v>
      </c>
      <c r="J246" s="520">
        <f t="shared" ref="J246:K246" si="209">SUM(J245,J238)</f>
        <v>8229</v>
      </c>
      <c r="K246" s="523">
        <f t="shared" si="209"/>
        <v>8229</v>
      </c>
      <c r="L246" s="520">
        <f t="shared" si="208"/>
        <v>10457</v>
      </c>
      <c r="M246" s="520">
        <f t="shared" ref="M246:N246" si="210">SUM(M245,M238)</f>
        <v>10743</v>
      </c>
      <c r="N246" s="521">
        <f t="shared" si="210"/>
        <v>10743</v>
      </c>
      <c r="O246" s="522">
        <f t="shared" si="208"/>
        <v>10457</v>
      </c>
      <c r="P246" s="520">
        <f t="shared" ref="P246:Q246" si="211">SUM(P245,P238)</f>
        <v>10634</v>
      </c>
      <c r="Q246" s="523">
        <f t="shared" si="211"/>
        <v>10634</v>
      </c>
      <c r="R246" s="520">
        <f t="shared" si="208"/>
        <v>10457</v>
      </c>
      <c r="S246" s="520">
        <f t="shared" ref="S246:T246" si="212">SUM(S245,S238)</f>
        <v>11389</v>
      </c>
      <c r="T246" s="521">
        <f t="shared" si="212"/>
        <v>11389</v>
      </c>
      <c r="U246" s="522">
        <f t="shared" si="208"/>
        <v>10457</v>
      </c>
      <c r="V246" s="520">
        <f t="shared" ref="V246:W246" si="213">SUM(V245,V238)</f>
        <v>16820</v>
      </c>
      <c r="W246" s="523">
        <f t="shared" si="213"/>
        <v>16820</v>
      </c>
      <c r="X246" s="520">
        <f t="shared" si="208"/>
        <v>10457</v>
      </c>
      <c r="Y246" s="520">
        <f t="shared" ref="Y246:Z246" si="214">SUM(Y245,Y238)</f>
        <v>10007</v>
      </c>
      <c r="Z246" s="521">
        <f t="shared" si="214"/>
        <v>0</v>
      </c>
      <c r="AA246" s="522">
        <f t="shared" si="208"/>
        <v>9392</v>
      </c>
      <c r="AB246" s="520">
        <f t="shared" ref="AB246:AC246" si="215">SUM(AB245,AB238)</f>
        <v>5641</v>
      </c>
      <c r="AC246" s="523">
        <f t="shared" si="215"/>
        <v>0</v>
      </c>
      <c r="AD246" s="520">
        <f t="shared" si="208"/>
        <v>9767</v>
      </c>
      <c r="AE246" s="520">
        <f t="shared" ref="AE246:AF246" si="216">SUM(AE245,AE238)</f>
        <v>11007</v>
      </c>
      <c r="AF246" s="521">
        <f t="shared" si="216"/>
        <v>0</v>
      </c>
      <c r="AG246" s="522">
        <f t="shared" si="208"/>
        <v>10167</v>
      </c>
      <c r="AH246" s="520">
        <f t="shared" ref="AH246:AI246" si="217">SUM(AH245,AH238)</f>
        <v>14995</v>
      </c>
      <c r="AI246" s="523">
        <f t="shared" si="217"/>
        <v>0</v>
      </c>
      <c r="AJ246" s="520">
        <f t="shared" si="208"/>
        <v>10967</v>
      </c>
      <c r="AK246" s="520">
        <f t="shared" ref="AK246:AL246" si="218">SUM(AK245,AK238)</f>
        <v>11007</v>
      </c>
      <c r="AL246" s="521">
        <f t="shared" si="218"/>
        <v>0</v>
      </c>
      <c r="AM246" s="522">
        <f t="shared" si="208"/>
        <v>10967</v>
      </c>
      <c r="AN246" s="635">
        <f t="shared" ref="AN246:AO246" si="219">SUM(AN245,AN238)</f>
        <v>11005</v>
      </c>
      <c r="AO246" s="563">
        <f t="shared" si="219"/>
        <v>0</v>
      </c>
    </row>
    <row r="247" spans="1:42" ht="15" thickBot="1" x14ac:dyDescent="0.25">
      <c r="A247" s="526"/>
      <c r="B247" s="527" t="s">
        <v>1332</v>
      </c>
      <c r="C247" s="528"/>
      <c r="D247" s="529"/>
      <c r="E247" s="519">
        <f t="shared" ref="E247:E248" si="220">SUM(H247,K247,N247,Q247,T247,W247,Z247,AC247,AF247,AI247,AL247,AO247)</f>
        <v>2087</v>
      </c>
      <c r="F247" s="530"/>
      <c r="G247" s="530"/>
      <c r="H247" s="536">
        <v>8</v>
      </c>
      <c r="I247" s="531"/>
      <c r="J247" s="530"/>
      <c r="K247" s="537"/>
      <c r="L247" s="530"/>
      <c r="M247" s="530"/>
      <c r="N247" s="536"/>
      <c r="O247" s="531"/>
      <c r="P247" s="530"/>
      <c r="Q247" s="537"/>
      <c r="R247" s="530"/>
      <c r="S247" s="530"/>
      <c r="T247" s="536"/>
      <c r="U247" s="531"/>
      <c r="V247" s="530"/>
      <c r="W247" s="537">
        <v>2079</v>
      </c>
      <c r="X247" s="530"/>
      <c r="Y247" s="530"/>
      <c r="Z247" s="536"/>
      <c r="AA247" s="531"/>
      <c r="AB247" s="530"/>
      <c r="AC247" s="537"/>
      <c r="AD247" s="530"/>
      <c r="AE247" s="530"/>
      <c r="AF247" s="536"/>
      <c r="AG247" s="531"/>
      <c r="AH247" s="530"/>
      <c r="AI247" s="537"/>
      <c r="AJ247" s="530"/>
      <c r="AK247" s="532"/>
      <c r="AL247" s="536"/>
      <c r="AM247" s="531"/>
      <c r="AN247" s="532"/>
      <c r="AO247" s="613"/>
    </row>
    <row r="248" spans="1:42" ht="15" thickBot="1" x14ac:dyDescent="0.25">
      <c r="A248" s="526"/>
      <c r="B248" s="527" t="s">
        <v>1333</v>
      </c>
      <c r="C248" s="534"/>
      <c r="D248" s="535"/>
      <c r="E248" s="519">
        <f t="shared" si="220"/>
        <v>66764</v>
      </c>
      <c r="F248" s="530"/>
      <c r="G248" s="530"/>
      <c r="H248" s="536">
        <f>SUM(H246:H247)</f>
        <v>6870</v>
      </c>
      <c r="I248" s="531"/>
      <c r="J248" s="530"/>
      <c r="K248" s="537">
        <f>SUM(K246:K247)</f>
        <v>8229</v>
      </c>
      <c r="L248" s="530"/>
      <c r="M248" s="530"/>
      <c r="N248" s="536">
        <f>SUM(N246:N247)</f>
        <v>10743</v>
      </c>
      <c r="O248" s="531"/>
      <c r="P248" s="530"/>
      <c r="Q248" s="537">
        <f>SUM(Q246:Q247)</f>
        <v>10634</v>
      </c>
      <c r="R248" s="530"/>
      <c r="S248" s="530"/>
      <c r="T248" s="536">
        <f>SUM(T246:T247)</f>
        <v>11389</v>
      </c>
      <c r="U248" s="531"/>
      <c r="V248" s="530"/>
      <c r="W248" s="537">
        <f>SUM(W246:W247)</f>
        <v>18899</v>
      </c>
      <c r="X248" s="530"/>
      <c r="Y248" s="530"/>
      <c r="Z248" s="536">
        <f>SUM(Z246:Z247)</f>
        <v>0</v>
      </c>
      <c r="AA248" s="531"/>
      <c r="AB248" s="530"/>
      <c r="AC248" s="537">
        <f>SUM(AC246:AC247)</f>
        <v>0</v>
      </c>
      <c r="AD248" s="530"/>
      <c r="AE248" s="530"/>
      <c r="AF248" s="536">
        <f>SUM(AF246:AF247)</f>
        <v>0</v>
      </c>
      <c r="AG248" s="531"/>
      <c r="AH248" s="530"/>
      <c r="AI248" s="537">
        <f>SUM(AI246:AI247)</f>
        <v>0</v>
      </c>
      <c r="AJ248" s="530"/>
      <c r="AK248" s="532"/>
      <c r="AL248" s="536">
        <f>SUM(AL246:AL247)</f>
        <v>0</v>
      </c>
      <c r="AM248" s="531"/>
      <c r="AN248" s="532"/>
      <c r="AO248" s="524">
        <f>SUM(AO246:AO247)</f>
        <v>0</v>
      </c>
    </row>
    <row r="249" spans="1:42" x14ac:dyDescent="0.2">
      <c r="A249" s="538"/>
      <c r="B249" s="539" t="s">
        <v>674</v>
      </c>
      <c r="C249" s="614" t="s">
        <v>633</v>
      </c>
      <c r="D249" s="615" t="s">
        <v>1326</v>
      </c>
      <c r="E249" s="616" t="s">
        <v>1327</v>
      </c>
      <c r="F249" s="617"/>
      <c r="G249" s="617"/>
      <c r="H249" s="618"/>
      <c r="I249" s="619"/>
      <c r="J249" s="617"/>
      <c r="K249" s="636"/>
      <c r="L249" s="617"/>
      <c r="M249" s="617"/>
      <c r="N249" s="618"/>
      <c r="O249" s="619"/>
      <c r="P249" s="617"/>
      <c r="Q249" s="636"/>
      <c r="R249" s="617"/>
      <c r="S249" s="617"/>
      <c r="T249" s="618"/>
      <c r="U249" s="619"/>
      <c r="V249" s="617"/>
      <c r="W249" s="636"/>
      <c r="X249" s="617"/>
      <c r="Y249" s="617"/>
      <c r="Z249" s="618"/>
      <c r="AA249" s="619"/>
      <c r="AB249" s="617"/>
      <c r="AC249" s="636"/>
      <c r="AD249" s="617"/>
      <c r="AE249" s="617"/>
      <c r="AF249" s="618"/>
      <c r="AG249" s="619"/>
      <c r="AH249" s="617"/>
      <c r="AI249" s="636"/>
      <c r="AJ249" s="617"/>
      <c r="AK249" s="617"/>
      <c r="AL249" s="618"/>
      <c r="AM249" s="619"/>
      <c r="AN249" s="620"/>
      <c r="AO249" s="637"/>
    </row>
    <row r="250" spans="1:42" x14ac:dyDescent="0.2">
      <c r="A250" s="457" t="s">
        <v>675</v>
      </c>
      <c r="B250" s="458" t="s">
        <v>676</v>
      </c>
      <c r="C250" s="468">
        <f t="shared" ref="C250:E266" si="221">SUM(F250,I250,L250,O250,R250,U250,X250,AA250,AD250,AG250,AJ250,AM250)</f>
        <v>76448</v>
      </c>
      <c r="D250" s="543">
        <f t="shared" si="221"/>
        <v>78700</v>
      </c>
      <c r="E250" s="465">
        <f t="shared" si="221"/>
        <v>35349</v>
      </c>
      <c r="F250" s="469">
        <f>8+6370</f>
        <v>6378</v>
      </c>
      <c r="G250" s="592">
        <f>7195-3797</f>
        <v>3398</v>
      </c>
      <c r="H250" s="593">
        <v>7195</v>
      </c>
      <c r="I250" s="549">
        <v>6370</v>
      </c>
      <c r="J250" s="592">
        <f>4982-175</f>
        <v>4807</v>
      </c>
      <c r="K250" s="595">
        <v>4982</v>
      </c>
      <c r="L250" s="469">
        <v>6370</v>
      </c>
      <c r="M250" s="592">
        <f>5305-94</f>
        <v>5211</v>
      </c>
      <c r="N250" s="593">
        <v>5305</v>
      </c>
      <c r="O250" s="549">
        <v>6370</v>
      </c>
      <c r="P250" s="592">
        <f>5617-741</f>
        <v>4876</v>
      </c>
      <c r="Q250" s="595">
        <v>5617</v>
      </c>
      <c r="R250" s="469">
        <v>6370</v>
      </c>
      <c r="S250" s="592">
        <f>6584-370</f>
        <v>6214</v>
      </c>
      <c r="T250" s="593">
        <v>6584</v>
      </c>
      <c r="U250" s="549">
        <v>6370</v>
      </c>
      <c r="V250" s="592">
        <f>5666+7226</f>
        <v>12892</v>
      </c>
      <c r="W250" s="595">
        <v>5666</v>
      </c>
      <c r="X250" s="469">
        <v>6370</v>
      </c>
      <c r="Y250" s="592">
        <f>7225-836</f>
        <v>6389</v>
      </c>
      <c r="Z250" s="593"/>
      <c r="AA250" s="549">
        <v>6370</v>
      </c>
      <c r="AB250" s="592">
        <f>7225-5855</f>
        <v>1370</v>
      </c>
      <c r="AC250" s="595"/>
      <c r="AD250" s="469">
        <v>6370</v>
      </c>
      <c r="AE250" s="592">
        <f>7225+164</f>
        <v>7389</v>
      </c>
      <c r="AF250" s="593"/>
      <c r="AG250" s="549">
        <v>6370</v>
      </c>
      <c r="AH250" s="592">
        <f>7225+4152</f>
        <v>11377</v>
      </c>
      <c r="AI250" s="595"/>
      <c r="AJ250" s="469">
        <v>6370</v>
      </c>
      <c r="AK250" s="592">
        <f>7225+164</f>
        <v>7389</v>
      </c>
      <c r="AL250" s="593"/>
      <c r="AM250" s="594">
        <v>6370</v>
      </c>
      <c r="AN250" s="592">
        <f>7226+162</f>
        <v>7388</v>
      </c>
      <c r="AO250" s="465"/>
    </row>
    <row r="251" spans="1:42" x14ac:dyDescent="0.2">
      <c r="A251" s="466" t="s">
        <v>677</v>
      </c>
      <c r="B251" s="467" t="s">
        <v>678</v>
      </c>
      <c r="C251" s="468">
        <f t="shared" si="221"/>
        <v>22503</v>
      </c>
      <c r="D251" s="469">
        <f t="shared" si="221"/>
        <v>22906</v>
      </c>
      <c r="E251" s="470">
        <f t="shared" si="221"/>
        <v>10366</v>
      </c>
      <c r="F251" s="469">
        <f>3+1875</f>
        <v>1878</v>
      </c>
      <c r="G251" s="598">
        <v>1737</v>
      </c>
      <c r="H251" s="599">
        <v>1737</v>
      </c>
      <c r="I251" s="549">
        <v>1875</v>
      </c>
      <c r="J251" s="598">
        <v>1834</v>
      </c>
      <c r="K251" s="600">
        <v>1834</v>
      </c>
      <c r="L251" s="469">
        <v>1875</v>
      </c>
      <c r="M251" s="598">
        <v>1445</v>
      </c>
      <c r="N251" s="599">
        <v>1445</v>
      </c>
      <c r="O251" s="549">
        <v>1875</v>
      </c>
      <c r="P251" s="598">
        <v>2008</v>
      </c>
      <c r="Q251" s="600">
        <v>2008</v>
      </c>
      <c r="R251" s="469">
        <v>1875</v>
      </c>
      <c r="S251" s="598">
        <v>1793</v>
      </c>
      <c r="T251" s="599">
        <v>1793</v>
      </c>
      <c r="U251" s="549">
        <v>1875</v>
      </c>
      <c r="V251" s="598">
        <v>1549</v>
      </c>
      <c r="W251" s="600">
        <v>1549</v>
      </c>
      <c r="X251" s="469">
        <v>1875</v>
      </c>
      <c r="Y251" s="598">
        <v>2090</v>
      </c>
      <c r="Z251" s="599"/>
      <c r="AA251" s="549">
        <v>1875</v>
      </c>
      <c r="AB251" s="598">
        <v>2090</v>
      </c>
      <c r="AC251" s="600"/>
      <c r="AD251" s="469">
        <v>1875</v>
      </c>
      <c r="AE251" s="598">
        <v>2090</v>
      </c>
      <c r="AF251" s="599"/>
      <c r="AG251" s="549">
        <v>1875</v>
      </c>
      <c r="AH251" s="598">
        <v>2090</v>
      </c>
      <c r="AI251" s="600"/>
      <c r="AJ251" s="469">
        <v>1875</v>
      </c>
      <c r="AK251" s="598">
        <v>2090</v>
      </c>
      <c r="AL251" s="599"/>
      <c r="AM251" s="549">
        <v>1875</v>
      </c>
      <c r="AN251" s="598">
        <v>2090</v>
      </c>
      <c r="AO251" s="470"/>
    </row>
    <row r="252" spans="1:42" x14ac:dyDescent="0.2">
      <c r="A252" s="466" t="s">
        <v>679</v>
      </c>
      <c r="B252" s="467" t="s">
        <v>680</v>
      </c>
      <c r="C252" s="468">
        <f t="shared" si="221"/>
        <v>25264</v>
      </c>
      <c r="D252" s="469">
        <f t="shared" si="221"/>
        <v>25264</v>
      </c>
      <c r="E252" s="470">
        <f t="shared" si="221"/>
        <v>16097</v>
      </c>
      <c r="F252" s="469">
        <v>2711</v>
      </c>
      <c r="G252" s="598">
        <v>1727</v>
      </c>
      <c r="H252" s="599">
        <v>1727</v>
      </c>
      <c r="I252" s="549">
        <v>2722</v>
      </c>
      <c r="J252" s="598">
        <v>1588</v>
      </c>
      <c r="K252" s="600">
        <v>1588</v>
      </c>
      <c r="L252" s="469">
        <v>1666</v>
      </c>
      <c r="M252" s="598">
        <v>3952</v>
      </c>
      <c r="N252" s="599">
        <v>3952</v>
      </c>
      <c r="O252" s="549">
        <v>2212</v>
      </c>
      <c r="P252" s="598">
        <v>3713</v>
      </c>
      <c r="Q252" s="600">
        <v>3713</v>
      </c>
      <c r="R252" s="469">
        <v>2212</v>
      </c>
      <c r="S252" s="598">
        <v>2963</v>
      </c>
      <c r="T252" s="599">
        <v>2963</v>
      </c>
      <c r="U252" s="549">
        <v>2212</v>
      </c>
      <c r="V252" s="598">
        <v>2154</v>
      </c>
      <c r="W252" s="600">
        <v>2154</v>
      </c>
      <c r="X252" s="469">
        <v>2212</v>
      </c>
      <c r="Y252" s="598">
        <v>1528</v>
      </c>
      <c r="Z252" s="599"/>
      <c r="AA252" s="549">
        <v>429</v>
      </c>
      <c r="AB252" s="598">
        <v>1528</v>
      </c>
      <c r="AC252" s="600"/>
      <c r="AD252" s="469">
        <v>1522</v>
      </c>
      <c r="AE252" s="598">
        <v>1528</v>
      </c>
      <c r="AF252" s="599"/>
      <c r="AG252" s="549">
        <v>1922</v>
      </c>
      <c r="AH252" s="598">
        <v>1528</v>
      </c>
      <c r="AI252" s="600"/>
      <c r="AJ252" s="469">
        <v>2722</v>
      </c>
      <c r="AK252" s="598">
        <v>1528</v>
      </c>
      <c r="AL252" s="599"/>
      <c r="AM252" s="549">
        <v>2722</v>
      </c>
      <c r="AN252" s="598">
        <v>1527</v>
      </c>
      <c r="AO252" s="470"/>
    </row>
    <row r="253" spans="1:42" x14ac:dyDescent="0.2">
      <c r="A253" s="466" t="s">
        <v>681</v>
      </c>
      <c r="B253" s="467" t="s">
        <v>682</v>
      </c>
      <c r="C253" s="468">
        <f t="shared" si="221"/>
        <v>0</v>
      </c>
      <c r="D253" s="469">
        <f t="shared" si="221"/>
        <v>0</v>
      </c>
      <c r="E253" s="470">
        <f t="shared" si="221"/>
        <v>0</v>
      </c>
      <c r="F253" s="469"/>
      <c r="G253" s="598"/>
      <c r="H253" s="599"/>
      <c r="I253" s="549"/>
      <c r="J253" s="598"/>
      <c r="K253" s="600"/>
      <c r="L253" s="469"/>
      <c r="M253" s="598"/>
      <c r="N253" s="599"/>
      <c r="O253" s="549"/>
      <c r="P253" s="598"/>
      <c r="Q253" s="600"/>
      <c r="R253" s="469"/>
      <c r="S253" s="598"/>
      <c r="T253" s="599"/>
      <c r="U253" s="549"/>
      <c r="V253" s="598"/>
      <c r="W253" s="600"/>
      <c r="X253" s="469"/>
      <c r="Y253" s="598"/>
      <c r="Z253" s="599"/>
      <c r="AA253" s="549"/>
      <c r="AB253" s="598"/>
      <c r="AC253" s="600"/>
      <c r="AD253" s="469"/>
      <c r="AE253" s="598"/>
      <c r="AF253" s="599"/>
      <c r="AG253" s="549"/>
      <c r="AH253" s="598"/>
      <c r="AI253" s="600"/>
      <c r="AJ253" s="469"/>
      <c r="AK253" s="598"/>
      <c r="AL253" s="599"/>
      <c r="AM253" s="549"/>
      <c r="AN253" s="598"/>
      <c r="AO253" s="470"/>
    </row>
    <row r="254" spans="1:42" x14ac:dyDescent="0.2">
      <c r="A254" s="466" t="s">
        <v>683</v>
      </c>
      <c r="B254" s="467" t="s">
        <v>684</v>
      </c>
      <c r="C254" s="468">
        <f t="shared" si="221"/>
        <v>0</v>
      </c>
      <c r="D254" s="469">
        <f t="shared" si="221"/>
        <v>205</v>
      </c>
      <c r="E254" s="470">
        <f t="shared" si="221"/>
        <v>205</v>
      </c>
      <c r="F254" s="469"/>
      <c r="G254" s="598"/>
      <c r="H254" s="599"/>
      <c r="I254" s="549"/>
      <c r="J254" s="598"/>
      <c r="K254" s="600"/>
      <c r="L254" s="469"/>
      <c r="M254" s="598"/>
      <c r="N254" s="599"/>
      <c r="O254" s="549"/>
      <c r="P254" s="598"/>
      <c r="Q254" s="600"/>
      <c r="R254" s="469"/>
      <c r="S254" s="598"/>
      <c r="T254" s="599"/>
      <c r="U254" s="549"/>
      <c r="V254" s="598">
        <v>205</v>
      </c>
      <c r="W254" s="600">
        <v>205</v>
      </c>
      <c r="X254" s="469"/>
      <c r="Y254" s="598"/>
      <c r="Z254" s="599"/>
      <c r="AA254" s="549"/>
      <c r="AB254" s="598"/>
      <c r="AC254" s="600"/>
      <c r="AD254" s="469"/>
      <c r="AE254" s="598"/>
      <c r="AF254" s="599"/>
      <c r="AG254" s="549"/>
      <c r="AH254" s="598"/>
      <c r="AI254" s="600"/>
      <c r="AJ254" s="469"/>
      <c r="AK254" s="598"/>
      <c r="AL254" s="599"/>
      <c r="AM254" s="549"/>
      <c r="AN254" s="598"/>
      <c r="AO254" s="470"/>
    </row>
    <row r="255" spans="1:42" x14ac:dyDescent="0.2">
      <c r="A255" s="481"/>
      <c r="B255" s="482" t="s">
        <v>685</v>
      </c>
      <c r="C255" s="483">
        <f t="shared" si="221"/>
        <v>0</v>
      </c>
      <c r="D255" s="484">
        <f t="shared" si="221"/>
        <v>0</v>
      </c>
      <c r="E255" s="485">
        <f t="shared" si="221"/>
        <v>0</v>
      </c>
      <c r="F255" s="484"/>
      <c r="G255" s="606"/>
      <c r="H255" s="607"/>
      <c r="I255" s="487"/>
      <c r="J255" s="606"/>
      <c r="K255" s="608"/>
      <c r="L255" s="484"/>
      <c r="M255" s="606"/>
      <c r="N255" s="607"/>
      <c r="O255" s="487"/>
      <c r="P255" s="606"/>
      <c r="Q255" s="608"/>
      <c r="R255" s="484"/>
      <c r="S255" s="606"/>
      <c r="T255" s="607"/>
      <c r="U255" s="487"/>
      <c r="V255" s="606"/>
      <c r="W255" s="608"/>
      <c r="X255" s="484"/>
      <c r="Y255" s="606"/>
      <c r="Z255" s="607"/>
      <c r="AA255" s="487"/>
      <c r="AB255" s="606"/>
      <c r="AC255" s="608"/>
      <c r="AD255" s="484"/>
      <c r="AE255" s="606"/>
      <c r="AF255" s="607"/>
      <c r="AG255" s="487"/>
      <c r="AH255" s="606"/>
      <c r="AI255" s="608"/>
      <c r="AJ255" s="484"/>
      <c r="AK255" s="606"/>
      <c r="AL255" s="607"/>
      <c r="AM255" s="487"/>
      <c r="AN255" s="606"/>
      <c r="AO255" s="485"/>
    </row>
    <row r="256" spans="1:42" x14ac:dyDescent="0.2">
      <c r="A256" s="544"/>
      <c r="B256" s="545" t="s">
        <v>686</v>
      </c>
      <c r="C256" s="483">
        <f t="shared" si="221"/>
        <v>0</v>
      </c>
      <c r="D256" s="484">
        <f t="shared" si="221"/>
        <v>0</v>
      </c>
      <c r="E256" s="485">
        <f t="shared" si="221"/>
        <v>0</v>
      </c>
      <c r="F256" s="638"/>
      <c r="G256" s="606"/>
      <c r="H256" s="607"/>
      <c r="I256" s="639"/>
      <c r="J256" s="606"/>
      <c r="K256" s="608"/>
      <c r="L256" s="638"/>
      <c r="M256" s="606"/>
      <c r="N256" s="607"/>
      <c r="O256" s="639"/>
      <c r="P256" s="606"/>
      <c r="Q256" s="608"/>
      <c r="R256" s="638"/>
      <c r="S256" s="606"/>
      <c r="T256" s="607"/>
      <c r="U256" s="639"/>
      <c r="V256" s="606"/>
      <c r="W256" s="608"/>
      <c r="X256" s="638"/>
      <c r="Y256" s="606"/>
      <c r="Z256" s="607"/>
      <c r="AA256" s="639"/>
      <c r="AB256" s="606"/>
      <c r="AC256" s="608"/>
      <c r="AD256" s="638"/>
      <c r="AE256" s="606"/>
      <c r="AF256" s="607"/>
      <c r="AG256" s="639"/>
      <c r="AH256" s="606"/>
      <c r="AI256" s="608"/>
      <c r="AJ256" s="638"/>
      <c r="AK256" s="606"/>
      <c r="AL256" s="607"/>
      <c r="AM256" s="639"/>
      <c r="AN256" s="606"/>
      <c r="AO256" s="485"/>
    </row>
    <row r="257" spans="1:42" x14ac:dyDescent="0.2">
      <c r="A257" s="471" t="s">
        <v>654</v>
      </c>
      <c r="B257" s="472" t="s">
        <v>687</v>
      </c>
      <c r="C257" s="473">
        <f t="shared" si="221"/>
        <v>124215</v>
      </c>
      <c r="D257" s="474">
        <f t="shared" si="221"/>
        <v>127075</v>
      </c>
      <c r="E257" s="475">
        <f t="shared" si="221"/>
        <v>62017</v>
      </c>
      <c r="F257" s="476">
        <f>SUM(F250:F256)</f>
        <v>10967</v>
      </c>
      <c r="G257" s="603">
        <f t="shared" ref="G257:H257" si="222">SUM(G250:G254)</f>
        <v>6862</v>
      </c>
      <c r="H257" s="604">
        <f t="shared" si="222"/>
        <v>10659</v>
      </c>
      <c r="I257" s="477">
        <f t="shared" ref="I257:AM257" si="223">SUM(I250:I256)</f>
        <v>10967</v>
      </c>
      <c r="J257" s="603">
        <f t="shared" ref="J257:K257" si="224">SUM(J250:J254)</f>
        <v>8229</v>
      </c>
      <c r="K257" s="605">
        <f t="shared" si="224"/>
        <v>8404</v>
      </c>
      <c r="L257" s="474">
        <f t="shared" si="223"/>
        <v>9911</v>
      </c>
      <c r="M257" s="603">
        <f t="shared" ref="M257:N257" si="225">SUM(M250:M254)</f>
        <v>10608</v>
      </c>
      <c r="N257" s="604">
        <f t="shared" si="225"/>
        <v>10702</v>
      </c>
      <c r="O257" s="477">
        <f t="shared" si="223"/>
        <v>10457</v>
      </c>
      <c r="P257" s="603">
        <f t="shared" ref="P257:Q257" si="226">SUM(P250:P254)</f>
        <v>10597</v>
      </c>
      <c r="Q257" s="605">
        <f t="shared" si="226"/>
        <v>11338</v>
      </c>
      <c r="R257" s="474">
        <f t="shared" si="223"/>
        <v>10457</v>
      </c>
      <c r="S257" s="603">
        <f t="shared" ref="S257:T257" si="227">SUM(S250:S254)</f>
        <v>10970</v>
      </c>
      <c r="T257" s="604">
        <f t="shared" si="227"/>
        <v>11340</v>
      </c>
      <c r="U257" s="477">
        <f t="shared" si="223"/>
        <v>10457</v>
      </c>
      <c r="V257" s="603">
        <f t="shared" ref="V257:W257" si="228">SUM(V250:V254)</f>
        <v>16800</v>
      </c>
      <c r="W257" s="605">
        <f t="shared" si="228"/>
        <v>9574</v>
      </c>
      <c r="X257" s="474">
        <f t="shared" si="223"/>
        <v>10457</v>
      </c>
      <c r="Y257" s="603">
        <f t="shared" ref="Y257:Z257" si="229">SUM(Y250:Y254)</f>
        <v>10007</v>
      </c>
      <c r="Z257" s="604">
        <f t="shared" si="229"/>
        <v>0</v>
      </c>
      <c r="AA257" s="477">
        <f t="shared" si="223"/>
        <v>8674</v>
      </c>
      <c r="AB257" s="603">
        <f t="shared" ref="AB257:AC257" si="230">SUM(AB250:AB254)</f>
        <v>4988</v>
      </c>
      <c r="AC257" s="605">
        <f t="shared" si="230"/>
        <v>0</v>
      </c>
      <c r="AD257" s="474">
        <f t="shared" si="223"/>
        <v>9767</v>
      </c>
      <c r="AE257" s="603">
        <f t="shared" ref="AE257:AF257" si="231">SUM(AE250:AE254)</f>
        <v>11007</v>
      </c>
      <c r="AF257" s="604">
        <f t="shared" si="231"/>
        <v>0</v>
      </c>
      <c r="AG257" s="477">
        <f t="shared" si="223"/>
        <v>10167</v>
      </c>
      <c r="AH257" s="603">
        <f t="shared" ref="AH257:AI257" si="232">SUM(AH250:AH254)</f>
        <v>14995</v>
      </c>
      <c r="AI257" s="605">
        <f t="shared" si="232"/>
        <v>0</v>
      </c>
      <c r="AJ257" s="474">
        <f t="shared" si="223"/>
        <v>10967</v>
      </c>
      <c r="AK257" s="603">
        <f t="shared" ref="AK257:AL257" si="233">SUM(AK250:AK254)</f>
        <v>11007</v>
      </c>
      <c r="AL257" s="604">
        <f t="shared" si="233"/>
        <v>0</v>
      </c>
      <c r="AM257" s="477">
        <f t="shared" si="223"/>
        <v>10967</v>
      </c>
      <c r="AN257" s="603">
        <f t="shared" ref="AN257:AO257" si="234">SUM(AN250:AN254)</f>
        <v>11005</v>
      </c>
      <c r="AO257" s="475">
        <f t="shared" si="234"/>
        <v>0</v>
      </c>
    </row>
    <row r="258" spans="1:42" x14ac:dyDescent="0.2">
      <c r="A258" s="471" t="s">
        <v>688</v>
      </c>
      <c r="B258" s="472" t="s">
        <v>689</v>
      </c>
      <c r="C258" s="473">
        <f t="shared" si="221"/>
        <v>0</v>
      </c>
      <c r="D258" s="474">
        <f t="shared" si="221"/>
        <v>0</v>
      </c>
      <c r="E258" s="475">
        <f t="shared" si="221"/>
        <v>0</v>
      </c>
      <c r="F258" s="476"/>
      <c r="G258" s="603"/>
      <c r="H258" s="604"/>
      <c r="I258" s="477"/>
      <c r="J258" s="603"/>
      <c r="K258" s="605"/>
      <c r="L258" s="474"/>
      <c r="M258" s="603"/>
      <c r="N258" s="604"/>
      <c r="O258" s="477"/>
      <c r="P258" s="603"/>
      <c r="Q258" s="605"/>
      <c r="R258" s="474"/>
      <c r="S258" s="603"/>
      <c r="T258" s="604"/>
      <c r="U258" s="477"/>
      <c r="V258" s="603"/>
      <c r="W258" s="605"/>
      <c r="X258" s="474"/>
      <c r="Y258" s="603"/>
      <c r="Z258" s="604"/>
      <c r="AA258" s="477"/>
      <c r="AB258" s="603"/>
      <c r="AC258" s="605"/>
      <c r="AD258" s="474"/>
      <c r="AE258" s="603"/>
      <c r="AF258" s="604"/>
      <c r="AG258" s="477"/>
      <c r="AH258" s="603"/>
      <c r="AI258" s="605"/>
      <c r="AJ258" s="474"/>
      <c r="AK258" s="603"/>
      <c r="AL258" s="604"/>
      <c r="AM258" s="477"/>
      <c r="AN258" s="603"/>
      <c r="AO258" s="475"/>
    </row>
    <row r="259" spans="1:42" x14ac:dyDescent="0.2">
      <c r="A259" s="493" t="s">
        <v>660</v>
      </c>
      <c r="B259" s="494" t="s">
        <v>690</v>
      </c>
      <c r="C259" s="473">
        <f t="shared" si="221"/>
        <v>124215</v>
      </c>
      <c r="D259" s="474">
        <f t="shared" si="221"/>
        <v>127075</v>
      </c>
      <c r="E259" s="475">
        <f t="shared" si="221"/>
        <v>62017</v>
      </c>
      <c r="F259" s="495">
        <f>SUM(F257,F258)</f>
        <v>10967</v>
      </c>
      <c r="G259" s="603">
        <f t="shared" ref="G259:AO259" si="235">SUM(G257,G258)</f>
        <v>6862</v>
      </c>
      <c r="H259" s="604">
        <f t="shared" si="235"/>
        <v>10659</v>
      </c>
      <c r="I259" s="497">
        <f t="shared" si="235"/>
        <v>10967</v>
      </c>
      <c r="J259" s="603">
        <f t="shared" si="235"/>
        <v>8229</v>
      </c>
      <c r="K259" s="605">
        <f t="shared" si="235"/>
        <v>8404</v>
      </c>
      <c r="L259" s="495">
        <f t="shared" si="235"/>
        <v>9911</v>
      </c>
      <c r="M259" s="603">
        <f t="shared" si="235"/>
        <v>10608</v>
      </c>
      <c r="N259" s="604">
        <f t="shared" si="235"/>
        <v>10702</v>
      </c>
      <c r="O259" s="497">
        <f t="shared" si="235"/>
        <v>10457</v>
      </c>
      <c r="P259" s="603">
        <f t="shared" si="235"/>
        <v>10597</v>
      </c>
      <c r="Q259" s="605">
        <f t="shared" si="235"/>
        <v>11338</v>
      </c>
      <c r="R259" s="495">
        <f t="shared" si="235"/>
        <v>10457</v>
      </c>
      <c r="S259" s="603">
        <f t="shared" si="235"/>
        <v>10970</v>
      </c>
      <c r="T259" s="604">
        <f t="shared" si="235"/>
        <v>11340</v>
      </c>
      <c r="U259" s="497">
        <f t="shared" si="235"/>
        <v>10457</v>
      </c>
      <c r="V259" s="603">
        <f t="shared" si="235"/>
        <v>16800</v>
      </c>
      <c r="W259" s="605">
        <f t="shared" si="235"/>
        <v>9574</v>
      </c>
      <c r="X259" s="495">
        <f t="shared" si="235"/>
        <v>10457</v>
      </c>
      <c r="Y259" s="603">
        <f t="shared" si="235"/>
        <v>10007</v>
      </c>
      <c r="Z259" s="604">
        <f t="shared" si="235"/>
        <v>0</v>
      </c>
      <c r="AA259" s="497">
        <f t="shared" si="235"/>
        <v>8674</v>
      </c>
      <c r="AB259" s="603">
        <f t="shared" si="235"/>
        <v>4988</v>
      </c>
      <c r="AC259" s="605">
        <f t="shared" si="235"/>
        <v>0</v>
      </c>
      <c r="AD259" s="495">
        <f t="shared" si="235"/>
        <v>9767</v>
      </c>
      <c r="AE259" s="603">
        <f t="shared" si="235"/>
        <v>11007</v>
      </c>
      <c r="AF259" s="604">
        <f t="shared" si="235"/>
        <v>0</v>
      </c>
      <c r="AG259" s="497">
        <f t="shared" si="235"/>
        <v>10167</v>
      </c>
      <c r="AH259" s="603">
        <f t="shared" si="235"/>
        <v>14995</v>
      </c>
      <c r="AI259" s="605">
        <f t="shared" si="235"/>
        <v>0</v>
      </c>
      <c r="AJ259" s="495">
        <f t="shared" si="235"/>
        <v>10967</v>
      </c>
      <c r="AK259" s="603">
        <f t="shared" si="235"/>
        <v>11007</v>
      </c>
      <c r="AL259" s="604">
        <f t="shared" si="235"/>
        <v>0</v>
      </c>
      <c r="AM259" s="497">
        <f t="shared" si="235"/>
        <v>10967</v>
      </c>
      <c r="AN259" s="603">
        <f t="shared" si="235"/>
        <v>11005</v>
      </c>
      <c r="AO259" s="475">
        <f t="shared" si="235"/>
        <v>0</v>
      </c>
    </row>
    <row r="260" spans="1:42" x14ac:dyDescent="0.2">
      <c r="A260" s="466" t="s">
        <v>691</v>
      </c>
      <c r="B260" s="467" t="s">
        <v>692</v>
      </c>
      <c r="C260" s="468">
        <f t="shared" si="221"/>
        <v>546</v>
      </c>
      <c r="D260" s="469">
        <f t="shared" si="221"/>
        <v>746</v>
      </c>
      <c r="E260" s="470">
        <f t="shared" si="221"/>
        <v>611</v>
      </c>
      <c r="F260" s="469"/>
      <c r="G260" s="598"/>
      <c r="H260" s="599"/>
      <c r="I260" s="549"/>
      <c r="J260" s="598"/>
      <c r="K260" s="600"/>
      <c r="L260" s="469">
        <v>546</v>
      </c>
      <c r="M260" s="598">
        <v>135</v>
      </c>
      <c r="N260" s="599">
        <v>135</v>
      </c>
      <c r="O260" s="549"/>
      <c r="P260" s="598">
        <v>37</v>
      </c>
      <c r="Q260" s="600">
        <v>37</v>
      </c>
      <c r="R260" s="469"/>
      <c r="S260" s="598">
        <v>419</v>
      </c>
      <c r="T260" s="599">
        <v>419</v>
      </c>
      <c r="U260" s="549"/>
      <c r="V260" s="598">
        <v>20</v>
      </c>
      <c r="W260" s="600">
        <v>20</v>
      </c>
      <c r="X260" s="469"/>
      <c r="Y260" s="598"/>
      <c r="Z260" s="599"/>
      <c r="AA260" s="549"/>
      <c r="AB260" s="598">
        <v>135</v>
      </c>
      <c r="AC260" s="600"/>
      <c r="AD260" s="469"/>
      <c r="AE260" s="598"/>
      <c r="AF260" s="599"/>
      <c r="AG260" s="549"/>
      <c r="AH260" s="598"/>
      <c r="AI260" s="600"/>
      <c r="AJ260" s="469"/>
      <c r="AK260" s="598"/>
      <c r="AL260" s="599"/>
      <c r="AM260" s="549"/>
      <c r="AN260" s="598"/>
      <c r="AO260" s="470"/>
    </row>
    <row r="261" spans="1:42" x14ac:dyDescent="0.2">
      <c r="A261" s="466" t="s">
        <v>693</v>
      </c>
      <c r="B261" s="467" t="s">
        <v>694</v>
      </c>
      <c r="C261" s="468">
        <f t="shared" si="221"/>
        <v>718</v>
      </c>
      <c r="D261" s="469">
        <f t="shared" si="221"/>
        <v>518</v>
      </c>
      <c r="E261" s="470">
        <f t="shared" si="221"/>
        <v>0</v>
      </c>
      <c r="F261" s="469"/>
      <c r="G261" s="598"/>
      <c r="H261" s="599"/>
      <c r="I261" s="549"/>
      <c r="J261" s="598"/>
      <c r="K261" s="600"/>
      <c r="L261" s="469"/>
      <c r="M261" s="598"/>
      <c r="N261" s="599"/>
      <c r="O261" s="549"/>
      <c r="P261" s="598"/>
      <c r="Q261" s="600"/>
      <c r="R261" s="469"/>
      <c r="S261" s="598"/>
      <c r="T261" s="599"/>
      <c r="U261" s="549"/>
      <c r="V261" s="598"/>
      <c r="W261" s="600"/>
      <c r="X261" s="469"/>
      <c r="Y261" s="598"/>
      <c r="Z261" s="599"/>
      <c r="AA261" s="549">
        <v>718</v>
      </c>
      <c r="AB261" s="598">
        <v>518</v>
      </c>
      <c r="AC261" s="600"/>
      <c r="AD261" s="469"/>
      <c r="AE261" s="598"/>
      <c r="AF261" s="599"/>
      <c r="AG261" s="549"/>
      <c r="AH261" s="598"/>
      <c r="AI261" s="600"/>
      <c r="AJ261" s="469"/>
      <c r="AK261" s="598"/>
      <c r="AL261" s="599"/>
      <c r="AM261" s="549"/>
      <c r="AN261" s="598"/>
      <c r="AO261" s="470"/>
    </row>
    <row r="262" spans="1:42" x14ac:dyDescent="0.2">
      <c r="A262" s="553" t="s">
        <v>695</v>
      </c>
      <c r="B262" s="554" t="s">
        <v>696</v>
      </c>
      <c r="C262" s="468">
        <f t="shared" si="221"/>
        <v>0</v>
      </c>
      <c r="D262" s="469">
        <f t="shared" si="221"/>
        <v>0</v>
      </c>
      <c r="E262" s="470">
        <f t="shared" si="221"/>
        <v>0</v>
      </c>
      <c r="F262" s="640"/>
      <c r="G262" s="598"/>
      <c r="H262" s="599"/>
      <c r="I262" s="641"/>
      <c r="J262" s="598"/>
      <c r="K262" s="600"/>
      <c r="L262" s="640"/>
      <c r="M262" s="598"/>
      <c r="N262" s="599"/>
      <c r="O262" s="641"/>
      <c r="P262" s="598"/>
      <c r="Q262" s="600"/>
      <c r="R262" s="640"/>
      <c r="S262" s="598"/>
      <c r="T262" s="599"/>
      <c r="U262" s="641"/>
      <c r="V262" s="598"/>
      <c r="W262" s="600"/>
      <c r="X262" s="640"/>
      <c r="Y262" s="598"/>
      <c r="Z262" s="599"/>
      <c r="AA262" s="641"/>
      <c r="AB262" s="598"/>
      <c r="AC262" s="600"/>
      <c r="AD262" s="640"/>
      <c r="AE262" s="598"/>
      <c r="AF262" s="599"/>
      <c r="AG262" s="641"/>
      <c r="AH262" s="598"/>
      <c r="AI262" s="600"/>
      <c r="AJ262" s="640"/>
      <c r="AK262" s="598"/>
      <c r="AL262" s="599"/>
      <c r="AM262" s="641"/>
      <c r="AN262" s="598"/>
      <c r="AO262" s="470"/>
    </row>
    <row r="263" spans="1:42" x14ac:dyDescent="0.2">
      <c r="A263" s="471" t="s">
        <v>667</v>
      </c>
      <c r="B263" s="472" t="s">
        <v>697</v>
      </c>
      <c r="C263" s="473">
        <f t="shared" si="221"/>
        <v>1264</v>
      </c>
      <c r="D263" s="474">
        <f t="shared" si="221"/>
        <v>1264</v>
      </c>
      <c r="E263" s="475">
        <f t="shared" si="221"/>
        <v>611</v>
      </c>
      <c r="F263" s="474">
        <f>SUM(F260:F262)</f>
        <v>0</v>
      </c>
      <c r="G263" s="603">
        <f t="shared" ref="G263:AO263" si="236">SUM(G260:G262)</f>
        <v>0</v>
      </c>
      <c r="H263" s="604">
        <f t="shared" si="236"/>
        <v>0</v>
      </c>
      <c r="I263" s="477">
        <f t="shared" si="236"/>
        <v>0</v>
      </c>
      <c r="J263" s="603">
        <f t="shared" si="236"/>
        <v>0</v>
      </c>
      <c r="K263" s="605">
        <f t="shared" si="236"/>
        <v>0</v>
      </c>
      <c r="L263" s="474">
        <f t="shared" si="236"/>
        <v>546</v>
      </c>
      <c r="M263" s="603">
        <f t="shared" si="236"/>
        <v>135</v>
      </c>
      <c r="N263" s="604">
        <f t="shared" si="236"/>
        <v>135</v>
      </c>
      <c r="O263" s="477">
        <f t="shared" si="236"/>
        <v>0</v>
      </c>
      <c r="P263" s="603">
        <f t="shared" si="236"/>
        <v>37</v>
      </c>
      <c r="Q263" s="605">
        <f t="shared" si="236"/>
        <v>37</v>
      </c>
      <c r="R263" s="474">
        <f t="shared" si="236"/>
        <v>0</v>
      </c>
      <c r="S263" s="603">
        <f t="shared" si="236"/>
        <v>419</v>
      </c>
      <c r="T263" s="604">
        <f t="shared" si="236"/>
        <v>419</v>
      </c>
      <c r="U263" s="477">
        <f t="shared" si="236"/>
        <v>0</v>
      </c>
      <c r="V263" s="603">
        <f t="shared" si="236"/>
        <v>20</v>
      </c>
      <c r="W263" s="605">
        <f t="shared" si="236"/>
        <v>20</v>
      </c>
      <c r="X263" s="474">
        <f t="shared" si="236"/>
        <v>0</v>
      </c>
      <c r="Y263" s="603">
        <f t="shared" si="236"/>
        <v>0</v>
      </c>
      <c r="Z263" s="604">
        <f t="shared" si="236"/>
        <v>0</v>
      </c>
      <c r="AA263" s="477">
        <f t="shared" si="236"/>
        <v>718</v>
      </c>
      <c r="AB263" s="603">
        <f t="shared" si="236"/>
        <v>653</v>
      </c>
      <c r="AC263" s="605">
        <f t="shared" si="236"/>
        <v>0</v>
      </c>
      <c r="AD263" s="474">
        <f t="shared" si="236"/>
        <v>0</v>
      </c>
      <c r="AE263" s="603">
        <f t="shared" si="236"/>
        <v>0</v>
      </c>
      <c r="AF263" s="604">
        <f t="shared" si="236"/>
        <v>0</v>
      </c>
      <c r="AG263" s="477">
        <f t="shared" si="236"/>
        <v>0</v>
      </c>
      <c r="AH263" s="603">
        <f t="shared" si="236"/>
        <v>0</v>
      </c>
      <c r="AI263" s="605">
        <f t="shared" si="236"/>
        <v>0</v>
      </c>
      <c r="AJ263" s="474">
        <f t="shared" si="236"/>
        <v>0</v>
      </c>
      <c r="AK263" s="603">
        <f t="shared" si="236"/>
        <v>0</v>
      </c>
      <c r="AL263" s="604">
        <f t="shared" si="236"/>
        <v>0</v>
      </c>
      <c r="AM263" s="477">
        <f t="shared" si="236"/>
        <v>0</v>
      </c>
      <c r="AN263" s="603">
        <f t="shared" si="236"/>
        <v>0</v>
      </c>
      <c r="AO263" s="475">
        <f t="shared" si="236"/>
        <v>0</v>
      </c>
    </row>
    <row r="264" spans="1:42" x14ac:dyDescent="0.2">
      <c r="A264" s="505" t="s">
        <v>698</v>
      </c>
      <c r="B264" s="506" t="s">
        <v>699</v>
      </c>
      <c r="C264" s="473">
        <f t="shared" si="221"/>
        <v>0</v>
      </c>
      <c r="D264" s="474">
        <f t="shared" si="221"/>
        <v>0</v>
      </c>
      <c r="E264" s="475">
        <f t="shared" si="221"/>
        <v>0</v>
      </c>
      <c r="F264" s="642"/>
      <c r="G264" s="603"/>
      <c r="H264" s="604"/>
      <c r="I264" s="643"/>
      <c r="J264" s="603"/>
      <c r="K264" s="605"/>
      <c r="L264" s="644"/>
      <c r="M264" s="603"/>
      <c r="N264" s="604"/>
      <c r="O264" s="643"/>
      <c r="P264" s="603"/>
      <c r="Q264" s="605"/>
      <c r="R264" s="644"/>
      <c r="S264" s="603"/>
      <c r="T264" s="604"/>
      <c r="U264" s="643"/>
      <c r="V264" s="603"/>
      <c r="W264" s="605"/>
      <c r="X264" s="644"/>
      <c r="Y264" s="603"/>
      <c r="Z264" s="604"/>
      <c r="AA264" s="643"/>
      <c r="AB264" s="603"/>
      <c r="AC264" s="605"/>
      <c r="AD264" s="644"/>
      <c r="AE264" s="603"/>
      <c r="AF264" s="604"/>
      <c r="AG264" s="643"/>
      <c r="AH264" s="603"/>
      <c r="AI264" s="605"/>
      <c r="AJ264" s="644"/>
      <c r="AK264" s="603"/>
      <c r="AL264" s="604"/>
      <c r="AM264" s="643"/>
      <c r="AN264" s="603"/>
      <c r="AO264" s="475"/>
    </row>
    <row r="265" spans="1:42" x14ac:dyDescent="0.2">
      <c r="A265" s="471" t="s">
        <v>700</v>
      </c>
      <c r="B265" s="472" t="s">
        <v>689</v>
      </c>
      <c r="C265" s="473">
        <f t="shared" si="221"/>
        <v>0</v>
      </c>
      <c r="D265" s="474">
        <f t="shared" si="221"/>
        <v>0</v>
      </c>
      <c r="E265" s="475">
        <f t="shared" si="221"/>
        <v>0</v>
      </c>
      <c r="F265" s="474"/>
      <c r="G265" s="603">
        <v>0</v>
      </c>
      <c r="H265" s="604">
        <v>0</v>
      </c>
      <c r="I265" s="477"/>
      <c r="J265" s="603">
        <v>0</v>
      </c>
      <c r="K265" s="605">
        <v>0</v>
      </c>
      <c r="L265" s="474"/>
      <c r="M265" s="603">
        <v>0</v>
      </c>
      <c r="N265" s="604">
        <v>0</v>
      </c>
      <c r="O265" s="477"/>
      <c r="P265" s="603">
        <v>0</v>
      </c>
      <c r="Q265" s="605">
        <v>0</v>
      </c>
      <c r="R265" s="474"/>
      <c r="S265" s="603">
        <v>0</v>
      </c>
      <c r="T265" s="604">
        <v>0</v>
      </c>
      <c r="U265" s="477"/>
      <c r="V265" s="603">
        <v>0</v>
      </c>
      <c r="W265" s="605">
        <v>0</v>
      </c>
      <c r="X265" s="474"/>
      <c r="Y265" s="603">
        <v>0</v>
      </c>
      <c r="Z265" s="604">
        <v>0</v>
      </c>
      <c r="AA265" s="477"/>
      <c r="AB265" s="603">
        <v>0</v>
      </c>
      <c r="AC265" s="605">
        <v>0</v>
      </c>
      <c r="AD265" s="474"/>
      <c r="AE265" s="603">
        <v>0</v>
      </c>
      <c r="AF265" s="604">
        <v>0</v>
      </c>
      <c r="AG265" s="477"/>
      <c r="AH265" s="603">
        <v>0</v>
      </c>
      <c r="AI265" s="605">
        <v>0</v>
      </c>
      <c r="AJ265" s="474"/>
      <c r="AK265" s="603">
        <v>0</v>
      </c>
      <c r="AL265" s="604">
        <v>0</v>
      </c>
      <c r="AM265" s="477"/>
      <c r="AN265" s="603">
        <v>0</v>
      </c>
      <c r="AO265" s="475">
        <v>0</v>
      </c>
    </row>
    <row r="266" spans="1:42" ht="15" thickBot="1" x14ac:dyDescent="0.25">
      <c r="A266" s="555" t="s">
        <v>672</v>
      </c>
      <c r="B266" s="556" t="s">
        <v>701</v>
      </c>
      <c r="C266" s="557">
        <f t="shared" si="221"/>
        <v>1264</v>
      </c>
      <c r="D266" s="510">
        <f t="shared" si="221"/>
        <v>1264</v>
      </c>
      <c r="E266" s="558">
        <f t="shared" si="221"/>
        <v>611</v>
      </c>
      <c r="F266" s="510">
        <f>SUM(F263,F264,F265)</f>
        <v>0</v>
      </c>
      <c r="G266" s="610">
        <f t="shared" ref="G266:AO266" si="237">SUM(G263,G264,G265)</f>
        <v>0</v>
      </c>
      <c r="H266" s="611">
        <f t="shared" si="237"/>
        <v>0</v>
      </c>
      <c r="I266" s="512">
        <f t="shared" si="237"/>
        <v>0</v>
      </c>
      <c r="J266" s="610">
        <f t="shared" si="237"/>
        <v>0</v>
      </c>
      <c r="K266" s="612">
        <f t="shared" si="237"/>
        <v>0</v>
      </c>
      <c r="L266" s="510">
        <f t="shared" si="237"/>
        <v>546</v>
      </c>
      <c r="M266" s="610">
        <f t="shared" si="237"/>
        <v>135</v>
      </c>
      <c r="N266" s="611">
        <f t="shared" si="237"/>
        <v>135</v>
      </c>
      <c r="O266" s="512">
        <f t="shared" si="237"/>
        <v>0</v>
      </c>
      <c r="P266" s="610">
        <f t="shared" si="237"/>
        <v>37</v>
      </c>
      <c r="Q266" s="612">
        <f t="shared" si="237"/>
        <v>37</v>
      </c>
      <c r="R266" s="510">
        <f t="shared" si="237"/>
        <v>0</v>
      </c>
      <c r="S266" s="610">
        <f t="shared" si="237"/>
        <v>419</v>
      </c>
      <c r="T266" s="611">
        <f t="shared" si="237"/>
        <v>419</v>
      </c>
      <c r="U266" s="512">
        <f t="shared" si="237"/>
        <v>0</v>
      </c>
      <c r="V266" s="610">
        <f t="shared" si="237"/>
        <v>20</v>
      </c>
      <c r="W266" s="612">
        <f t="shared" si="237"/>
        <v>20</v>
      </c>
      <c r="X266" s="510">
        <f t="shared" si="237"/>
        <v>0</v>
      </c>
      <c r="Y266" s="610">
        <f t="shared" si="237"/>
        <v>0</v>
      </c>
      <c r="Z266" s="611">
        <f t="shared" si="237"/>
        <v>0</v>
      </c>
      <c r="AA266" s="512">
        <f t="shared" si="237"/>
        <v>718</v>
      </c>
      <c r="AB266" s="610">
        <f t="shared" si="237"/>
        <v>653</v>
      </c>
      <c r="AC266" s="612">
        <f t="shared" si="237"/>
        <v>0</v>
      </c>
      <c r="AD266" s="510">
        <f t="shared" si="237"/>
        <v>0</v>
      </c>
      <c r="AE266" s="610">
        <f t="shared" si="237"/>
        <v>0</v>
      </c>
      <c r="AF266" s="611">
        <f t="shared" si="237"/>
        <v>0</v>
      </c>
      <c r="AG266" s="512">
        <f t="shared" si="237"/>
        <v>0</v>
      </c>
      <c r="AH266" s="610">
        <f t="shared" si="237"/>
        <v>0</v>
      </c>
      <c r="AI266" s="612">
        <f t="shared" si="237"/>
        <v>0</v>
      </c>
      <c r="AJ266" s="510">
        <f t="shared" si="237"/>
        <v>0</v>
      </c>
      <c r="AK266" s="610">
        <f t="shared" si="237"/>
        <v>0</v>
      </c>
      <c r="AL266" s="611">
        <f t="shared" si="237"/>
        <v>0</v>
      </c>
      <c r="AM266" s="512">
        <f t="shared" si="237"/>
        <v>0</v>
      </c>
      <c r="AN266" s="610">
        <f t="shared" si="237"/>
        <v>0</v>
      </c>
      <c r="AO266" s="509">
        <f t="shared" si="237"/>
        <v>0</v>
      </c>
    </row>
    <row r="267" spans="1:42" ht="15" thickBot="1" x14ac:dyDescent="0.25">
      <c r="A267" s="560" t="s">
        <v>702</v>
      </c>
      <c r="B267" s="561" t="s">
        <v>703</v>
      </c>
      <c r="C267" s="645">
        <f>SUM(F267,I267,L267,O267,R267,U267,X267,AA267,AD267,AG267,AJ267,AM267)</f>
        <v>125479</v>
      </c>
      <c r="D267" s="646">
        <f t="shared" ref="D267:E270" si="238">SUM(G267,J267,M267,P267,S267,V267,Y267,AB267,AE267,AH267,AK267,AN267)</f>
        <v>128339</v>
      </c>
      <c r="E267" s="574">
        <f t="shared" si="238"/>
        <v>62628</v>
      </c>
      <c r="F267" s="564">
        <f>SUM(F259,F266)</f>
        <v>10967</v>
      </c>
      <c r="G267" s="564">
        <f t="shared" ref="G267:AO267" si="239">SUM(G259,G266)</f>
        <v>6862</v>
      </c>
      <c r="H267" s="565">
        <f t="shared" si="239"/>
        <v>10659</v>
      </c>
      <c r="I267" s="566">
        <f t="shared" si="239"/>
        <v>10967</v>
      </c>
      <c r="J267" s="564">
        <f t="shared" si="239"/>
        <v>8229</v>
      </c>
      <c r="K267" s="567">
        <f t="shared" si="239"/>
        <v>8404</v>
      </c>
      <c r="L267" s="564">
        <f t="shared" si="239"/>
        <v>10457</v>
      </c>
      <c r="M267" s="564">
        <f t="shared" si="239"/>
        <v>10743</v>
      </c>
      <c r="N267" s="565">
        <f t="shared" si="239"/>
        <v>10837</v>
      </c>
      <c r="O267" s="566">
        <f t="shared" si="239"/>
        <v>10457</v>
      </c>
      <c r="P267" s="564">
        <f t="shared" si="239"/>
        <v>10634</v>
      </c>
      <c r="Q267" s="567">
        <f t="shared" si="239"/>
        <v>11375</v>
      </c>
      <c r="R267" s="564">
        <f t="shared" si="239"/>
        <v>10457</v>
      </c>
      <c r="S267" s="564">
        <f t="shared" si="239"/>
        <v>11389</v>
      </c>
      <c r="T267" s="565">
        <f t="shared" si="239"/>
        <v>11759</v>
      </c>
      <c r="U267" s="566">
        <f t="shared" si="239"/>
        <v>10457</v>
      </c>
      <c r="V267" s="564">
        <f t="shared" si="239"/>
        <v>16820</v>
      </c>
      <c r="W267" s="567">
        <f t="shared" si="239"/>
        <v>9594</v>
      </c>
      <c r="X267" s="564">
        <f t="shared" si="239"/>
        <v>10457</v>
      </c>
      <c r="Y267" s="564">
        <f t="shared" si="239"/>
        <v>10007</v>
      </c>
      <c r="Z267" s="565">
        <f t="shared" si="239"/>
        <v>0</v>
      </c>
      <c r="AA267" s="566">
        <f t="shared" si="239"/>
        <v>9392</v>
      </c>
      <c r="AB267" s="564">
        <f t="shared" si="239"/>
        <v>5641</v>
      </c>
      <c r="AC267" s="567">
        <f t="shared" si="239"/>
        <v>0</v>
      </c>
      <c r="AD267" s="564">
        <f t="shared" si="239"/>
        <v>9767</v>
      </c>
      <c r="AE267" s="564">
        <f t="shared" si="239"/>
        <v>11007</v>
      </c>
      <c r="AF267" s="565">
        <f t="shared" si="239"/>
        <v>0</v>
      </c>
      <c r="AG267" s="566">
        <f t="shared" si="239"/>
        <v>10167</v>
      </c>
      <c r="AH267" s="564">
        <f t="shared" si="239"/>
        <v>14995</v>
      </c>
      <c r="AI267" s="567">
        <f t="shared" si="239"/>
        <v>0</v>
      </c>
      <c r="AJ267" s="564">
        <f t="shared" si="239"/>
        <v>10967</v>
      </c>
      <c r="AK267" s="564">
        <f t="shared" si="239"/>
        <v>11007</v>
      </c>
      <c r="AL267" s="565">
        <f t="shared" si="239"/>
        <v>0</v>
      </c>
      <c r="AM267" s="566">
        <f t="shared" si="239"/>
        <v>10967</v>
      </c>
      <c r="AN267" s="647">
        <f t="shared" si="239"/>
        <v>11005</v>
      </c>
      <c r="AO267" s="590">
        <f t="shared" si="239"/>
        <v>0</v>
      </c>
    </row>
    <row r="268" spans="1:42" ht="15" thickBot="1" x14ac:dyDescent="0.25">
      <c r="A268" s="569"/>
      <c r="B268" s="570" t="s">
        <v>1334</v>
      </c>
      <c r="C268" s="571"/>
      <c r="D268" s="572"/>
      <c r="E268" s="573">
        <f t="shared" si="238"/>
        <v>0</v>
      </c>
      <c r="F268" s="571"/>
      <c r="G268" s="572"/>
      <c r="H268" s="627"/>
      <c r="I268" s="531"/>
      <c r="J268" s="572"/>
      <c r="K268" s="628"/>
      <c r="L268" s="530"/>
      <c r="M268" s="572"/>
      <c r="N268" s="627"/>
      <c r="O268" s="531"/>
      <c r="P268" s="572"/>
      <c r="Q268" s="628"/>
      <c r="R268" s="530"/>
      <c r="S268" s="572"/>
      <c r="T268" s="627"/>
      <c r="U268" s="531"/>
      <c r="V268" s="572"/>
      <c r="W268" s="628"/>
      <c r="X268" s="530"/>
      <c r="Y268" s="572"/>
      <c r="Z268" s="627"/>
      <c r="AA268" s="531"/>
      <c r="AB268" s="572"/>
      <c r="AC268" s="628"/>
      <c r="AD268" s="530"/>
      <c r="AE268" s="572"/>
      <c r="AF268" s="627"/>
      <c r="AG268" s="531"/>
      <c r="AH268" s="572"/>
      <c r="AI268" s="628"/>
      <c r="AJ268" s="530"/>
      <c r="AK268" s="572"/>
      <c r="AL268" s="627"/>
      <c r="AM268" s="531"/>
      <c r="AN268" s="572"/>
      <c r="AO268" s="573"/>
    </row>
    <row r="269" spans="1:42" ht="15" thickBot="1" x14ac:dyDescent="0.25">
      <c r="A269" s="575"/>
      <c r="B269" s="576" t="s">
        <v>1335</v>
      </c>
      <c r="C269" s="528"/>
      <c r="D269" s="577"/>
      <c r="E269" s="563">
        <f t="shared" si="238"/>
        <v>62628</v>
      </c>
      <c r="F269" s="528"/>
      <c r="G269" s="577"/>
      <c r="H269" s="578">
        <f>SUM(H267:H268)</f>
        <v>10659</v>
      </c>
      <c r="I269" s="579"/>
      <c r="J269" s="577"/>
      <c r="K269" s="580">
        <f>SUM(K267:K268)</f>
        <v>8404</v>
      </c>
      <c r="L269" s="529"/>
      <c r="M269" s="577"/>
      <c r="N269" s="578">
        <f>SUM(N267:N268)</f>
        <v>10837</v>
      </c>
      <c r="O269" s="579"/>
      <c r="P269" s="577"/>
      <c r="Q269" s="580">
        <f>SUM(Q267:Q268)</f>
        <v>11375</v>
      </c>
      <c r="R269" s="529"/>
      <c r="S269" s="577"/>
      <c r="T269" s="578">
        <f>SUM(T267:T268)</f>
        <v>11759</v>
      </c>
      <c r="U269" s="579"/>
      <c r="V269" s="577"/>
      <c r="W269" s="580">
        <f>SUM(W267:W268)</f>
        <v>9594</v>
      </c>
      <c r="X269" s="529"/>
      <c r="Y269" s="577"/>
      <c r="Z269" s="578">
        <f>SUM(Z267:Z268)</f>
        <v>0</v>
      </c>
      <c r="AA269" s="579"/>
      <c r="AB269" s="577"/>
      <c r="AC269" s="580">
        <f>SUM(AC267:AC268)</f>
        <v>0</v>
      </c>
      <c r="AD269" s="529"/>
      <c r="AE269" s="577"/>
      <c r="AF269" s="578">
        <f>SUM(AF267:AF268)</f>
        <v>0</v>
      </c>
      <c r="AG269" s="579"/>
      <c r="AH269" s="577"/>
      <c r="AI269" s="580">
        <f>SUM(AI267:AI268)</f>
        <v>0</v>
      </c>
      <c r="AJ269" s="529"/>
      <c r="AK269" s="577"/>
      <c r="AL269" s="578">
        <f>SUM(AL267:AL268)</f>
        <v>0</v>
      </c>
      <c r="AM269" s="579"/>
      <c r="AN269" s="577"/>
      <c r="AO269" s="563">
        <f>SUM(AO267:AO268)</f>
        <v>0</v>
      </c>
    </row>
    <row r="270" spans="1:42" s="525" customFormat="1" ht="15" customHeight="1" thickBot="1" x14ac:dyDescent="0.25">
      <c r="A270" s="581"/>
      <c r="B270" s="582" t="s">
        <v>1336</v>
      </c>
      <c r="C270" s="583"/>
      <c r="D270" s="584"/>
      <c r="E270" s="563">
        <f t="shared" si="238"/>
        <v>4136</v>
      </c>
      <c r="F270" s="583"/>
      <c r="G270" s="584"/>
      <c r="H270" s="585">
        <f>SUM(H248-H269)</f>
        <v>-3789</v>
      </c>
      <c r="I270" s="586"/>
      <c r="J270" s="584"/>
      <c r="K270" s="587">
        <f>SUM(K248-K269)</f>
        <v>-175</v>
      </c>
      <c r="L270" s="588"/>
      <c r="M270" s="584"/>
      <c r="N270" s="585">
        <f>SUM(N248-N269)</f>
        <v>-94</v>
      </c>
      <c r="O270" s="586"/>
      <c r="P270" s="584"/>
      <c r="Q270" s="587">
        <f>SUM(Q248-Q269)</f>
        <v>-741</v>
      </c>
      <c r="R270" s="588"/>
      <c r="S270" s="584"/>
      <c r="T270" s="585">
        <f>SUM(T248-T269)</f>
        <v>-370</v>
      </c>
      <c r="U270" s="586"/>
      <c r="V270" s="584"/>
      <c r="W270" s="587">
        <f>SUM(W248-W269)</f>
        <v>9305</v>
      </c>
      <c r="X270" s="588"/>
      <c r="Y270" s="584"/>
      <c r="Z270" s="585">
        <f>SUM(Z248-Z269)</f>
        <v>0</v>
      </c>
      <c r="AA270" s="586"/>
      <c r="AB270" s="584"/>
      <c r="AC270" s="587">
        <f>SUM(AC248-AC269)</f>
        <v>0</v>
      </c>
      <c r="AD270" s="588"/>
      <c r="AE270" s="584"/>
      <c r="AF270" s="585">
        <f>SUM(AF248-AF269)</f>
        <v>0</v>
      </c>
      <c r="AG270" s="586"/>
      <c r="AH270" s="584"/>
      <c r="AI270" s="587">
        <f>SUM(AI248-AI269)</f>
        <v>0</v>
      </c>
      <c r="AJ270" s="588"/>
      <c r="AK270" s="584"/>
      <c r="AL270" s="585">
        <f>SUM(AL248-AL269)</f>
        <v>0</v>
      </c>
      <c r="AM270" s="586"/>
      <c r="AN270" s="589"/>
      <c r="AO270" s="590">
        <f>SUM(AO248-AO269)</f>
        <v>0</v>
      </c>
      <c r="AP270" s="479"/>
    </row>
    <row r="271" spans="1:42" ht="8.25" customHeight="1" x14ac:dyDescent="0.2"/>
    <row r="272" spans="1:42" s="444" customFormat="1" ht="12.75" x14ac:dyDescent="0.2">
      <c r="A272" s="1059" t="s">
        <v>712</v>
      </c>
      <c r="B272" s="1059"/>
      <c r="C272" s="1059"/>
      <c r="D272" s="1059"/>
      <c r="E272" s="1059"/>
      <c r="F272" s="1059"/>
      <c r="G272" s="1059"/>
      <c r="H272" s="1059"/>
      <c r="I272" s="1059"/>
      <c r="J272" s="1058" t="s">
        <v>630</v>
      </c>
      <c r="K272" s="1058"/>
      <c r="L272" s="1058"/>
      <c r="M272" s="1058"/>
      <c r="N272" s="1058"/>
      <c r="O272" s="1058"/>
      <c r="P272" s="1058"/>
      <c r="Q272" s="1058"/>
      <c r="R272" s="1058"/>
      <c r="S272" s="1058"/>
      <c r="T272" s="1058"/>
      <c r="U272" s="1058"/>
      <c r="V272" s="1058"/>
      <c r="W272" s="1058"/>
      <c r="X272" s="1058"/>
      <c r="Y272" s="1058"/>
      <c r="Z272" s="1058"/>
      <c r="AA272" s="1058"/>
      <c r="AB272" s="1058"/>
      <c r="AC272" s="1058"/>
      <c r="AD272" s="441"/>
      <c r="AE272" s="441"/>
      <c r="AF272" s="441"/>
      <c r="AG272" s="441"/>
      <c r="AH272" s="441"/>
      <c r="AI272" s="441"/>
      <c r="AJ272" s="441"/>
      <c r="AK272" s="441"/>
      <c r="AL272" s="441"/>
      <c r="AM272" s="441"/>
      <c r="AN272" s="442"/>
      <c r="AO272" s="443" t="s">
        <v>713</v>
      </c>
      <c r="AP272" s="442"/>
    </row>
    <row r="273" spans="1:41" ht="11.25" customHeight="1" thickBot="1" x14ac:dyDescent="0.25">
      <c r="A273" s="445"/>
      <c r="B273" s="445"/>
      <c r="C273" s="445"/>
      <c r="D273" s="445"/>
      <c r="E273" s="445"/>
      <c r="F273" s="445"/>
      <c r="G273" s="445"/>
      <c r="H273" s="445"/>
      <c r="I273" s="445"/>
      <c r="J273" s="445"/>
      <c r="K273" s="445"/>
      <c r="L273" s="445"/>
      <c r="M273" s="445"/>
      <c r="N273" s="445"/>
      <c r="O273" s="445"/>
      <c r="P273" s="445"/>
      <c r="Q273" s="445"/>
      <c r="R273" s="445"/>
      <c r="S273" s="445"/>
      <c r="T273" s="445"/>
      <c r="U273" s="445"/>
      <c r="V273" s="445"/>
      <c r="W273" s="445"/>
      <c r="X273" s="445"/>
      <c r="Y273" s="445"/>
      <c r="Z273" s="445"/>
      <c r="AA273" s="445"/>
      <c r="AB273" s="445"/>
      <c r="AC273" s="445"/>
      <c r="AD273" s="445"/>
      <c r="AE273" s="445"/>
      <c r="AF273" s="445"/>
      <c r="AG273" s="445"/>
      <c r="AH273" s="445"/>
      <c r="AI273" s="445"/>
      <c r="AJ273" s="445"/>
      <c r="AK273" s="445"/>
      <c r="AL273" s="445"/>
      <c r="AM273" s="445"/>
      <c r="AO273" s="447" t="s">
        <v>1338</v>
      </c>
    </row>
    <row r="274" spans="1:41" x14ac:dyDescent="0.2">
      <c r="A274" s="1046"/>
      <c r="B274" s="1048" t="s">
        <v>632</v>
      </c>
      <c r="C274" s="1050" t="s">
        <v>633</v>
      </c>
      <c r="D274" s="1052" t="s">
        <v>1326</v>
      </c>
      <c r="E274" s="1054" t="s">
        <v>1327</v>
      </c>
      <c r="F274" s="1044" t="s">
        <v>634</v>
      </c>
      <c r="G274" s="1044"/>
      <c r="H274" s="1044"/>
      <c r="I274" s="1043" t="s">
        <v>635</v>
      </c>
      <c r="J274" s="1044"/>
      <c r="K274" s="1045"/>
      <c r="L274" s="1044" t="s">
        <v>636</v>
      </c>
      <c r="M274" s="1044"/>
      <c r="N274" s="1044"/>
      <c r="O274" s="1043" t="s">
        <v>637</v>
      </c>
      <c r="P274" s="1044"/>
      <c r="Q274" s="1045"/>
      <c r="R274" s="1044" t="s">
        <v>638</v>
      </c>
      <c r="S274" s="1044"/>
      <c r="T274" s="1044"/>
      <c r="U274" s="1043" t="s">
        <v>639</v>
      </c>
      <c r="V274" s="1044"/>
      <c r="W274" s="1045"/>
      <c r="X274" s="1044" t="s">
        <v>640</v>
      </c>
      <c r="Y274" s="1044"/>
      <c r="Z274" s="1044"/>
      <c r="AA274" s="1043" t="s">
        <v>641</v>
      </c>
      <c r="AB274" s="1044"/>
      <c r="AC274" s="1045"/>
      <c r="AD274" s="1044" t="s">
        <v>642</v>
      </c>
      <c r="AE274" s="1044"/>
      <c r="AF274" s="1044"/>
      <c r="AG274" s="1043" t="s">
        <v>643</v>
      </c>
      <c r="AH274" s="1044"/>
      <c r="AI274" s="1045"/>
      <c r="AJ274" s="1044" t="s">
        <v>644</v>
      </c>
      <c r="AK274" s="1044"/>
      <c r="AL274" s="1044"/>
      <c r="AM274" s="1043" t="s">
        <v>645</v>
      </c>
      <c r="AN274" s="1044"/>
      <c r="AO274" s="1056"/>
    </row>
    <row r="275" spans="1:41" x14ac:dyDescent="0.2">
      <c r="A275" s="1047"/>
      <c r="B275" s="1049"/>
      <c r="C275" s="1051"/>
      <c r="D275" s="1053"/>
      <c r="E275" s="1055"/>
      <c r="F275" s="450" t="s">
        <v>1328</v>
      </c>
      <c r="G275" s="451" t="s">
        <v>1329</v>
      </c>
      <c r="H275" s="452" t="s">
        <v>1330</v>
      </c>
      <c r="I275" s="453" t="s">
        <v>1328</v>
      </c>
      <c r="J275" s="451" t="s">
        <v>1329</v>
      </c>
      <c r="K275" s="454" t="s">
        <v>1330</v>
      </c>
      <c r="L275" s="455" t="s">
        <v>1328</v>
      </c>
      <c r="M275" s="451" t="s">
        <v>1329</v>
      </c>
      <c r="N275" s="452" t="s">
        <v>1330</v>
      </c>
      <c r="O275" s="453" t="s">
        <v>1328</v>
      </c>
      <c r="P275" s="451" t="s">
        <v>1329</v>
      </c>
      <c r="Q275" s="454" t="s">
        <v>1330</v>
      </c>
      <c r="R275" s="455" t="s">
        <v>1328</v>
      </c>
      <c r="S275" s="451" t="s">
        <v>1329</v>
      </c>
      <c r="T275" s="452" t="s">
        <v>1330</v>
      </c>
      <c r="U275" s="453" t="s">
        <v>1328</v>
      </c>
      <c r="V275" s="451" t="s">
        <v>1329</v>
      </c>
      <c r="W275" s="454" t="s">
        <v>1330</v>
      </c>
      <c r="X275" s="455" t="s">
        <v>1328</v>
      </c>
      <c r="Y275" s="451" t="s">
        <v>1329</v>
      </c>
      <c r="Z275" s="452" t="s">
        <v>1330</v>
      </c>
      <c r="AA275" s="453" t="s">
        <v>1328</v>
      </c>
      <c r="AB275" s="451" t="s">
        <v>1329</v>
      </c>
      <c r="AC275" s="454" t="s">
        <v>1330</v>
      </c>
      <c r="AD275" s="455" t="s">
        <v>1328</v>
      </c>
      <c r="AE275" s="451" t="s">
        <v>1329</v>
      </c>
      <c r="AF275" s="452" t="s">
        <v>1330</v>
      </c>
      <c r="AG275" s="453" t="s">
        <v>1328</v>
      </c>
      <c r="AH275" s="451" t="s">
        <v>1329</v>
      </c>
      <c r="AI275" s="454" t="s">
        <v>1330</v>
      </c>
      <c r="AJ275" s="455" t="s">
        <v>1328</v>
      </c>
      <c r="AK275" s="451" t="s">
        <v>1329</v>
      </c>
      <c r="AL275" s="452" t="s">
        <v>1330</v>
      </c>
      <c r="AM275" s="453" t="s">
        <v>1328</v>
      </c>
      <c r="AN275" s="451" t="s">
        <v>1329</v>
      </c>
      <c r="AO275" s="456" t="s">
        <v>1330</v>
      </c>
    </row>
    <row r="276" spans="1:41" x14ac:dyDescent="0.2">
      <c r="A276" s="466" t="s">
        <v>646</v>
      </c>
      <c r="B276" s="467" t="s">
        <v>647</v>
      </c>
      <c r="C276" s="591">
        <f>SUM(F276,I276,L276,O276,R276,U276,X276,AA276,AD276,AG276,AJ276,AM276)</f>
        <v>50</v>
      </c>
      <c r="D276" s="543">
        <f t="shared" ref="D276:E291" si="240">SUM(G276,J276,M276,P276,S276,V276,Y276,AB276,AE276,AH276,AK276,AN276)</f>
        <v>50</v>
      </c>
      <c r="E276" s="465">
        <f t="shared" si="240"/>
        <v>3</v>
      </c>
      <c r="F276" s="469"/>
      <c r="G276" s="592"/>
      <c r="H276" s="593"/>
      <c r="I276" s="549"/>
      <c r="J276" s="592">
        <v>3</v>
      </c>
      <c r="K276" s="595">
        <v>3</v>
      </c>
      <c r="L276" s="469"/>
      <c r="M276" s="592"/>
      <c r="N276" s="593"/>
      <c r="O276" s="549"/>
      <c r="P276" s="592"/>
      <c r="Q276" s="595"/>
      <c r="R276" s="469"/>
      <c r="S276" s="592"/>
      <c r="T276" s="593"/>
      <c r="U276" s="549"/>
      <c r="V276" s="592"/>
      <c r="W276" s="595"/>
      <c r="X276" s="469"/>
      <c r="Y276" s="592"/>
      <c r="Z276" s="593"/>
      <c r="AA276" s="549"/>
      <c r="AB276" s="592"/>
      <c r="AC276" s="595"/>
      <c r="AD276" s="469">
        <v>50</v>
      </c>
      <c r="AE276" s="592">
        <v>47</v>
      </c>
      <c r="AF276" s="593"/>
      <c r="AG276" s="549"/>
      <c r="AH276" s="592"/>
      <c r="AI276" s="595"/>
      <c r="AJ276" s="469"/>
      <c r="AK276" s="592"/>
      <c r="AL276" s="593"/>
      <c r="AM276" s="549"/>
      <c r="AN276" s="592"/>
      <c r="AO276" s="465"/>
    </row>
    <row r="277" spans="1:41" x14ac:dyDescent="0.2">
      <c r="A277" s="466" t="s">
        <v>650</v>
      </c>
      <c r="B277" s="467" t="s">
        <v>649</v>
      </c>
      <c r="C277" s="468">
        <f t="shared" ref="C277:C281" si="241">SUM(F277,I277,L277,O277,R277,U277,X277,AA277,AD277,AG277,AJ277,AM277)</f>
        <v>0</v>
      </c>
      <c r="D277" s="469">
        <f t="shared" si="240"/>
        <v>0</v>
      </c>
      <c r="E277" s="470">
        <f t="shared" si="240"/>
        <v>0</v>
      </c>
      <c r="F277" s="469"/>
      <c r="G277" s="598"/>
      <c r="H277" s="599"/>
      <c r="I277" s="549"/>
      <c r="J277" s="598"/>
      <c r="K277" s="600"/>
      <c r="L277" s="469"/>
      <c r="M277" s="598"/>
      <c r="N277" s="599"/>
      <c r="O277" s="549"/>
      <c r="P277" s="598"/>
      <c r="Q277" s="600"/>
      <c r="R277" s="469"/>
      <c r="S277" s="598"/>
      <c r="T277" s="599"/>
      <c r="U277" s="549"/>
      <c r="V277" s="598"/>
      <c r="W277" s="600"/>
      <c r="X277" s="469"/>
      <c r="Y277" s="598"/>
      <c r="Z277" s="599"/>
      <c r="AA277" s="549"/>
      <c r="AB277" s="598"/>
      <c r="AC277" s="600"/>
      <c r="AD277" s="469"/>
      <c r="AE277" s="598"/>
      <c r="AF277" s="599"/>
      <c r="AG277" s="549"/>
      <c r="AH277" s="598"/>
      <c r="AI277" s="600"/>
      <c r="AJ277" s="469"/>
      <c r="AK277" s="598"/>
      <c r="AL277" s="599"/>
      <c r="AM277" s="549"/>
      <c r="AN277" s="598"/>
      <c r="AO277" s="470"/>
    </row>
    <row r="278" spans="1:41" x14ac:dyDescent="0.2">
      <c r="A278" s="466" t="s">
        <v>652</v>
      </c>
      <c r="B278" s="467" t="s">
        <v>651</v>
      </c>
      <c r="C278" s="468">
        <f t="shared" si="241"/>
        <v>910</v>
      </c>
      <c r="D278" s="469">
        <f t="shared" si="240"/>
        <v>910</v>
      </c>
      <c r="E278" s="470">
        <f t="shared" si="240"/>
        <v>432</v>
      </c>
      <c r="F278" s="469">
        <v>75</v>
      </c>
      <c r="G278" s="598"/>
      <c r="H278" s="599"/>
      <c r="I278" s="549">
        <f>5+75</f>
        <v>80</v>
      </c>
      <c r="J278" s="598">
        <v>94</v>
      </c>
      <c r="K278" s="600">
        <v>94</v>
      </c>
      <c r="L278" s="469">
        <v>75</v>
      </c>
      <c r="M278" s="598">
        <v>91</v>
      </c>
      <c r="N278" s="599">
        <v>91</v>
      </c>
      <c r="O278" s="549">
        <v>75</v>
      </c>
      <c r="P278" s="598">
        <v>75</v>
      </c>
      <c r="Q278" s="600">
        <v>75</v>
      </c>
      <c r="R278" s="469">
        <f>75</f>
        <v>75</v>
      </c>
      <c r="S278" s="598">
        <v>97</v>
      </c>
      <c r="T278" s="599">
        <v>97</v>
      </c>
      <c r="U278" s="549">
        <v>75</v>
      </c>
      <c r="V278" s="598">
        <v>75</v>
      </c>
      <c r="W278" s="600">
        <v>75</v>
      </c>
      <c r="X278" s="469">
        <v>75</v>
      </c>
      <c r="Y278" s="598">
        <v>75</v>
      </c>
      <c r="Z278" s="599"/>
      <c r="AA278" s="549">
        <v>75</v>
      </c>
      <c r="AB278" s="598">
        <v>75</v>
      </c>
      <c r="AC278" s="600"/>
      <c r="AD278" s="469">
        <f>5+75</f>
        <v>80</v>
      </c>
      <c r="AE278" s="598">
        <v>90</v>
      </c>
      <c r="AF278" s="599"/>
      <c r="AG278" s="549">
        <v>75</v>
      </c>
      <c r="AH278" s="598">
        <v>85</v>
      </c>
      <c r="AI278" s="600"/>
      <c r="AJ278" s="469">
        <v>75</v>
      </c>
      <c r="AK278" s="598">
        <v>80</v>
      </c>
      <c r="AL278" s="599"/>
      <c r="AM278" s="549">
        <v>75</v>
      </c>
      <c r="AN278" s="598">
        <v>73</v>
      </c>
      <c r="AO278" s="470"/>
    </row>
    <row r="279" spans="1:41" x14ac:dyDescent="0.2">
      <c r="A279" s="466" t="s">
        <v>1331</v>
      </c>
      <c r="B279" s="467" t="s">
        <v>653</v>
      </c>
      <c r="C279" s="468">
        <f t="shared" si="241"/>
        <v>0</v>
      </c>
      <c r="D279" s="469">
        <f t="shared" si="240"/>
        <v>0</v>
      </c>
      <c r="E279" s="470">
        <f t="shared" si="240"/>
        <v>100</v>
      </c>
      <c r="F279" s="469"/>
      <c r="G279" s="598"/>
      <c r="H279" s="599"/>
      <c r="I279" s="549"/>
      <c r="J279" s="598"/>
      <c r="K279" s="600"/>
      <c r="L279" s="469"/>
      <c r="M279" s="598"/>
      <c r="N279" s="599"/>
      <c r="O279" s="549"/>
      <c r="P279" s="598"/>
      <c r="Q279" s="600"/>
      <c r="R279" s="469"/>
      <c r="S279" s="598"/>
      <c r="T279" s="599"/>
      <c r="U279" s="549"/>
      <c r="V279" s="598"/>
      <c r="W279" s="600">
        <v>100</v>
      </c>
      <c r="X279" s="469"/>
      <c r="Y279" s="598"/>
      <c r="Z279" s="599"/>
      <c r="AA279" s="549"/>
      <c r="AB279" s="598"/>
      <c r="AC279" s="600"/>
      <c r="AD279" s="469"/>
      <c r="AE279" s="598"/>
      <c r="AF279" s="599"/>
      <c r="AG279" s="549"/>
      <c r="AH279" s="598"/>
      <c r="AI279" s="600"/>
      <c r="AJ279" s="469"/>
      <c r="AK279" s="598"/>
      <c r="AL279" s="599"/>
      <c r="AM279" s="549"/>
      <c r="AN279" s="598"/>
      <c r="AO279" s="470"/>
    </row>
    <row r="280" spans="1:41" x14ac:dyDescent="0.2">
      <c r="A280" s="471" t="s">
        <v>654</v>
      </c>
      <c r="B280" s="472" t="s">
        <v>655</v>
      </c>
      <c r="C280" s="473">
        <f t="shared" si="241"/>
        <v>960</v>
      </c>
      <c r="D280" s="474">
        <f t="shared" si="240"/>
        <v>960</v>
      </c>
      <c r="E280" s="475">
        <f t="shared" si="240"/>
        <v>535</v>
      </c>
      <c r="F280" s="474">
        <f>SUM(F276:F279)</f>
        <v>75</v>
      </c>
      <c r="G280" s="603">
        <f t="shared" ref="G280:AO280" si="242">SUM(G276:G279)</f>
        <v>0</v>
      </c>
      <c r="H280" s="604">
        <f t="shared" si="242"/>
        <v>0</v>
      </c>
      <c r="I280" s="477">
        <f t="shared" si="242"/>
        <v>80</v>
      </c>
      <c r="J280" s="603">
        <f t="shared" si="242"/>
        <v>97</v>
      </c>
      <c r="K280" s="605">
        <f t="shared" si="242"/>
        <v>97</v>
      </c>
      <c r="L280" s="474">
        <f t="shared" si="242"/>
        <v>75</v>
      </c>
      <c r="M280" s="603">
        <f t="shared" si="242"/>
        <v>91</v>
      </c>
      <c r="N280" s="604">
        <f t="shared" si="242"/>
        <v>91</v>
      </c>
      <c r="O280" s="477">
        <f t="shared" si="242"/>
        <v>75</v>
      </c>
      <c r="P280" s="603">
        <f t="shared" si="242"/>
        <v>75</v>
      </c>
      <c r="Q280" s="605">
        <f t="shared" si="242"/>
        <v>75</v>
      </c>
      <c r="R280" s="474">
        <f t="shared" si="242"/>
        <v>75</v>
      </c>
      <c r="S280" s="603">
        <f t="shared" si="242"/>
        <v>97</v>
      </c>
      <c r="T280" s="604">
        <f t="shared" si="242"/>
        <v>97</v>
      </c>
      <c r="U280" s="477">
        <f t="shared" si="242"/>
        <v>75</v>
      </c>
      <c r="V280" s="603">
        <f t="shared" si="242"/>
        <v>75</v>
      </c>
      <c r="W280" s="605">
        <f t="shared" si="242"/>
        <v>175</v>
      </c>
      <c r="X280" s="474">
        <f t="shared" si="242"/>
        <v>75</v>
      </c>
      <c r="Y280" s="603">
        <f t="shared" si="242"/>
        <v>75</v>
      </c>
      <c r="Z280" s="604">
        <f t="shared" si="242"/>
        <v>0</v>
      </c>
      <c r="AA280" s="477">
        <f t="shared" si="242"/>
        <v>75</v>
      </c>
      <c r="AB280" s="603">
        <f t="shared" si="242"/>
        <v>75</v>
      </c>
      <c r="AC280" s="605">
        <f t="shared" si="242"/>
        <v>0</v>
      </c>
      <c r="AD280" s="474">
        <f t="shared" si="242"/>
        <v>130</v>
      </c>
      <c r="AE280" s="603">
        <f t="shared" si="242"/>
        <v>137</v>
      </c>
      <c r="AF280" s="604">
        <f t="shared" si="242"/>
        <v>0</v>
      </c>
      <c r="AG280" s="477">
        <f t="shared" si="242"/>
        <v>75</v>
      </c>
      <c r="AH280" s="603">
        <f t="shared" si="242"/>
        <v>85</v>
      </c>
      <c r="AI280" s="605">
        <f t="shared" si="242"/>
        <v>0</v>
      </c>
      <c r="AJ280" s="474">
        <f t="shared" si="242"/>
        <v>75</v>
      </c>
      <c r="AK280" s="603">
        <f t="shared" si="242"/>
        <v>80</v>
      </c>
      <c r="AL280" s="604">
        <f t="shared" si="242"/>
        <v>0</v>
      </c>
      <c r="AM280" s="477">
        <f t="shared" si="242"/>
        <v>75</v>
      </c>
      <c r="AN280" s="603">
        <f t="shared" si="242"/>
        <v>73</v>
      </c>
      <c r="AO280" s="475">
        <f t="shared" si="242"/>
        <v>0</v>
      </c>
    </row>
    <row r="281" spans="1:41" x14ac:dyDescent="0.2">
      <c r="A281" s="471" t="s">
        <v>656</v>
      </c>
      <c r="B281" s="472" t="s">
        <v>657</v>
      </c>
      <c r="C281" s="473">
        <f t="shared" si="241"/>
        <v>17081</v>
      </c>
      <c r="D281" s="474">
        <f t="shared" si="240"/>
        <v>17529</v>
      </c>
      <c r="E281" s="475">
        <f t="shared" si="240"/>
        <v>8042</v>
      </c>
      <c r="F281" s="474">
        <v>1441</v>
      </c>
      <c r="G281" s="603">
        <v>1107</v>
      </c>
      <c r="H281" s="604">
        <v>1107</v>
      </c>
      <c r="I281" s="477">
        <v>1425</v>
      </c>
      <c r="J281" s="603">
        <v>847</v>
      </c>
      <c r="K281" s="605">
        <v>847</v>
      </c>
      <c r="L281" s="474">
        <v>1427</v>
      </c>
      <c r="M281" s="603">
        <v>1252</v>
      </c>
      <c r="N281" s="604">
        <v>1252</v>
      </c>
      <c r="O281" s="477">
        <v>1427</v>
      </c>
      <c r="P281" s="603">
        <v>1379</v>
      </c>
      <c r="Q281" s="605">
        <v>1379</v>
      </c>
      <c r="R281" s="474">
        <v>1427</v>
      </c>
      <c r="S281" s="603">
        <v>1337</v>
      </c>
      <c r="T281" s="604">
        <v>1337</v>
      </c>
      <c r="U281" s="477">
        <v>1427</v>
      </c>
      <c r="V281" s="603">
        <v>2120</v>
      </c>
      <c r="W281" s="605">
        <v>2120</v>
      </c>
      <c r="X281" s="474">
        <v>1427</v>
      </c>
      <c r="Y281" s="603">
        <v>1581</v>
      </c>
      <c r="Z281" s="604"/>
      <c r="AA281" s="477">
        <v>1427</v>
      </c>
      <c r="AB281" s="603">
        <v>1581</v>
      </c>
      <c r="AC281" s="605"/>
      <c r="AD281" s="474">
        <v>1372</v>
      </c>
      <c r="AE281" s="603">
        <v>1581</v>
      </c>
      <c r="AF281" s="604"/>
      <c r="AG281" s="477">
        <v>1427</v>
      </c>
      <c r="AH281" s="603">
        <v>1581</v>
      </c>
      <c r="AI281" s="605"/>
      <c r="AJ281" s="474">
        <v>1427</v>
      </c>
      <c r="AK281" s="603">
        <v>1581</v>
      </c>
      <c r="AL281" s="604"/>
      <c r="AM281" s="477">
        <v>1427</v>
      </c>
      <c r="AN281" s="603">
        <v>1582</v>
      </c>
      <c r="AO281" s="475"/>
    </row>
    <row r="282" spans="1:41" x14ac:dyDescent="0.2">
      <c r="A282" s="481" t="s">
        <v>658</v>
      </c>
      <c r="B282" s="482" t="s">
        <v>659</v>
      </c>
      <c r="C282" s="483">
        <f>SUM(F282,I282,L282,O282,R282,U282,X282,AA282,AD282,AG282,AJ282,AM282)</f>
        <v>266</v>
      </c>
      <c r="D282" s="484">
        <f t="shared" si="240"/>
        <v>266</v>
      </c>
      <c r="E282" s="485">
        <f t="shared" si="240"/>
        <v>0</v>
      </c>
      <c r="F282" s="487">
        <v>266</v>
      </c>
      <c r="G282" s="606"/>
      <c r="H282" s="607"/>
      <c r="I282" s="487"/>
      <c r="J282" s="606"/>
      <c r="K282" s="608"/>
      <c r="L282" s="484"/>
      <c r="M282" s="606"/>
      <c r="N282" s="607"/>
      <c r="O282" s="487"/>
      <c r="P282" s="606"/>
      <c r="Q282" s="608"/>
      <c r="R282" s="484"/>
      <c r="S282" s="606"/>
      <c r="T282" s="607"/>
      <c r="U282" s="487"/>
      <c r="V282" s="606"/>
      <c r="W282" s="608"/>
      <c r="X282" s="484"/>
      <c r="Y282" s="606">
        <v>266</v>
      </c>
      <c r="Z282" s="607"/>
      <c r="AA282" s="487"/>
      <c r="AB282" s="606"/>
      <c r="AC282" s="608"/>
      <c r="AD282" s="484"/>
      <c r="AE282" s="606"/>
      <c r="AF282" s="607"/>
      <c r="AG282" s="487"/>
      <c r="AH282" s="606"/>
      <c r="AI282" s="608"/>
      <c r="AJ282" s="484"/>
      <c r="AK282" s="606"/>
      <c r="AL282" s="607"/>
      <c r="AM282" s="487"/>
      <c r="AN282" s="606"/>
      <c r="AO282" s="485"/>
    </row>
    <row r="283" spans="1:41" x14ac:dyDescent="0.2">
      <c r="A283" s="471" t="s">
        <v>660</v>
      </c>
      <c r="B283" s="472" t="s">
        <v>661</v>
      </c>
      <c r="C283" s="473">
        <f>SUM(F283,I283,L283,O283,R283,U283,X283,AA283,AD283,AG283,AJ283,AM283)</f>
        <v>18041</v>
      </c>
      <c r="D283" s="474">
        <f t="shared" si="240"/>
        <v>18489</v>
      </c>
      <c r="E283" s="475">
        <f t="shared" si="240"/>
        <v>8577</v>
      </c>
      <c r="F283" s="474">
        <f>SUM(+F280,F281)</f>
        <v>1516</v>
      </c>
      <c r="G283" s="603">
        <f t="shared" ref="G283:H283" si="243">SUM(G280,G281)</f>
        <v>1107</v>
      </c>
      <c r="H283" s="604">
        <f t="shared" si="243"/>
        <v>1107</v>
      </c>
      <c r="I283" s="477">
        <f>SUM(I280,I281)</f>
        <v>1505</v>
      </c>
      <c r="J283" s="603">
        <f t="shared" ref="J283:AO283" si="244">SUM(J280,J281)</f>
        <v>944</v>
      </c>
      <c r="K283" s="605">
        <f t="shared" si="244"/>
        <v>944</v>
      </c>
      <c r="L283" s="474">
        <f t="shared" si="244"/>
        <v>1502</v>
      </c>
      <c r="M283" s="603">
        <f t="shared" si="244"/>
        <v>1343</v>
      </c>
      <c r="N283" s="604">
        <f t="shared" si="244"/>
        <v>1343</v>
      </c>
      <c r="O283" s="477">
        <f t="shared" si="244"/>
        <v>1502</v>
      </c>
      <c r="P283" s="603">
        <f t="shared" si="244"/>
        <v>1454</v>
      </c>
      <c r="Q283" s="605">
        <f t="shared" si="244"/>
        <v>1454</v>
      </c>
      <c r="R283" s="474">
        <f t="shared" si="244"/>
        <v>1502</v>
      </c>
      <c r="S283" s="603">
        <f t="shared" si="244"/>
        <v>1434</v>
      </c>
      <c r="T283" s="604">
        <f t="shared" si="244"/>
        <v>1434</v>
      </c>
      <c r="U283" s="477">
        <f t="shared" si="244"/>
        <v>1502</v>
      </c>
      <c r="V283" s="603">
        <f t="shared" si="244"/>
        <v>2195</v>
      </c>
      <c r="W283" s="605">
        <f t="shared" si="244"/>
        <v>2295</v>
      </c>
      <c r="X283" s="474">
        <f t="shared" si="244"/>
        <v>1502</v>
      </c>
      <c r="Y283" s="603">
        <f t="shared" si="244"/>
        <v>1656</v>
      </c>
      <c r="Z283" s="604">
        <f t="shared" si="244"/>
        <v>0</v>
      </c>
      <c r="AA283" s="477">
        <f t="shared" si="244"/>
        <v>1502</v>
      </c>
      <c r="AB283" s="603">
        <f t="shared" si="244"/>
        <v>1656</v>
      </c>
      <c r="AC283" s="605">
        <f t="shared" si="244"/>
        <v>0</v>
      </c>
      <c r="AD283" s="474">
        <f t="shared" si="244"/>
        <v>1502</v>
      </c>
      <c r="AE283" s="603">
        <f t="shared" si="244"/>
        <v>1718</v>
      </c>
      <c r="AF283" s="604">
        <f t="shared" si="244"/>
        <v>0</v>
      </c>
      <c r="AG283" s="477">
        <f t="shared" si="244"/>
        <v>1502</v>
      </c>
      <c r="AH283" s="603">
        <f t="shared" si="244"/>
        <v>1666</v>
      </c>
      <c r="AI283" s="605">
        <f t="shared" si="244"/>
        <v>0</v>
      </c>
      <c r="AJ283" s="474">
        <f t="shared" si="244"/>
        <v>1502</v>
      </c>
      <c r="AK283" s="603">
        <f t="shared" si="244"/>
        <v>1661</v>
      </c>
      <c r="AL283" s="604">
        <f t="shared" si="244"/>
        <v>0</v>
      </c>
      <c r="AM283" s="477">
        <f t="shared" si="244"/>
        <v>1502</v>
      </c>
      <c r="AN283" s="603">
        <f t="shared" si="244"/>
        <v>1655</v>
      </c>
      <c r="AO283" s="475">
        <f t="shared" si="244"/>
        <v>0</v>
      </c>
    </row>
    <row r="284" spans="1:41" x14ac:dyDescent="0.2">
      <c r="A284" s="466" t="s">
        <v>648</v>
      </c>
      <c r="B284" s="467" t="s">
        <v>662</v>
      </c>
      <c r="C284" s="468">
        <f t="shared" ref="C284:C288" si="245">SUM(F284,I284,L284,O284,R284,U284,X284,AA284,AD284,AG284,AJ284,AM284)</f>
        <v>0</v>
      </c>
      <c r="D284" s="469">
        <f t="shared" si="240"/>
        <v>0</v>
      </c>
      <c r="E284" s="470">
        <f t="shared" si="240"/>
        <v>0</v>
      </c>
      <c r="F284" s="469"/>
      <c r="G284" s="598"/>
      <c r="H284" s="599"/>
      <c r="I284" s="549"/>
      <c r="J284" s="598"/>
      <c r="K284" s="600"/>
      <c r="L284" s="469"/>
      <c r="M284" s="598"/>
      <c r="N284" s="599"/>
      <c r="O284" s="549"/>
      <c r="P284" s="598"/>
      <c r="Q284" s="600"/>
      <c r="R284" s="469"/>
      <c r="S284" s="598"/>
      <c r="T284" s="599"/>
      <c r="U284" s="549"/>
      <c r="V284" s="598"/>
      <c r="W284" s="600"/>
      <c r="X284" s="469"/>
      <c r="Y284" s="598"/>
      <c r="Z284" s="599"/>
      <c r="AA284" s="549"/>
      <c r="AB284" s="598"/>
      <c r="AC284" s="600"/>
      <c r="AD284" s="469"/>
      <c r="AE284" s="598"/>
      <c r="AF284" s="599"/>
      <c r="AG284" s="549"/>
      <c r="AH284" s="598"/>
      <c r="AI284" s="600"/>
      <c r="AJ284" s="469"/>
      <c r="AK284" s="598"/>
      <c r="AL284" s="599"/>
      <c r="AM284" s="549"/>
      <c r="AN284" s="598"/>
      <c r="AO284" s="470"/>
    </row>
    <row r="285" spans="1:41" x14ac:dyDescent="0.2">
      <c r="A285" s="491" t="s">
        <v>663</v>
      </c>
      <c r="B285" s="492" t="s">
        <v>664</v>
      </c>
      <c r="C285" s="468">
        <f t="shared" si="245"/>
        <v>0</v>
      </c>
      <c r="D285" s="469">
        <f t="shared" si="240"/>
        <v>0</v>
      </c>
      <c r="E285" s="470">
        <f t="shared" si="240"/>
        <v>0</v>
      </c>
      <c r="F285" s="630"/>
      <c r="G285" s="598"/>
      <c r="H285" s="599"/>
      <c r="I285" s="631"/>
      <c r="J285" s="598"/>
      <c r="K285" s="600"/>
      <c r="L285" s="630"/>
      <c r="M285" s="598"/>
      <c r="N285" s="599"/>
      <c r="O285" s="631"/>
      <c r="P285" s="598"/>
      <c r="Q285" s="600"/>
      <c r="R285" s="630"/>
      <c r="S285" s="598"/>
      <c r="T285" s="599"/>
      <c r="U285" s="631"/>
      <c r="V285" s="598"/>
      <c r="W285" s="600"/>
      <c r="X285" s="630"/>
      <c r="Y285" s="598"/>
      <c r="Z285" s="599"/>
      <c r="AA285" s="631"/>
      <c r="AB285" s="598"/>
      <c r="AC285" s="600"/>
      <c r="AD285" s="630"/>
      <c r="AE285" s="598"/>
      <c r="AF285" s="599"/>
      <c r="AG285" s="631"/>
      <c r="AH285" s="598"/>
      <c r="AI285" s="600"/>
      <c r="AJ285" s="630"/>
      <c r="AK285" s="598"/>
      <c r="AL285" s="599"/>
      <c r="AM285" s="631"/>
      <c r="AN285" s="598"/>
      <c r="AO285" s="470"/>
    </row>
    <row r="286" spans="1:41" x14ac:dyDescent="0.2">
      <c r="A286" s="491" t="s">
        <v>665</v>
      </c>
      <c r="B286" s="492" t="s">
        <v>666</v>
      </c>
      <c r="C286" s="468">
        <f t="shared" si="245"/>
        <v>0</v>
      </c>
      <c r="D286" s="469">
        <f t="shared" si="240"/>
        <v>0</v>
      </c>
      <c r="E286" s="470">
        <f t="shared" si="240"/>
        <v>0</v>
      </c>
      <c r="F286" s="630"/>
      <c r="G286" s="598"/>
      <c r="H286" s="599"/>
      <c r="I286" s="631"/>
      <c r="J286" s="598"/>
      <c r="K286" s="600"/>
      <c r="L286" s="630"/>
      <c r="M286" s="598"/>
      <c r="N286" s="599"/>
      <c r="O286" s="631"/>
      <c r="P286" s="598"/>
      <c r="Q286" s="600"/>
      <c r="R286" s="630"/>
      <c r="S286" s="598"/>
      <c r="T286" s="599"/>
      <c r="U286" s="631"/>
      <c r="V286" s="598"/>
      <c r="W286" s="600"/>
      <c r="X286" s="630"/>
      <c r="Y286" s="598"/>
      <c r="Z286" s="599"/>
      <c r="AA286" s="631"/>
      <c r="AB286" s="598"/>
      <c r="AC286" s="600"/>
      <c r="AD286" s="630"/>
      <c r="AE286" s="598"/>
      <c r="AF286" s="599"/>
      <c r="AG286" s="631"/>
      <c r="AH286" s="598"/>
      <c r="AI286" s="600"/>
      <c r="AJ286" s="630"/>
      <c r="AK286" s="598"/>
      <c r="AL286" s="599"/>
      <c r="AM286" s="631"/>
      <c r="AN286" s="598"/>
      <c r="AO286" s="470"/>
    </row>
    <row r="287" spans="1:41" x14ac:dyDescent="0.2">
      <c r="A287" s="471" t="s">
        <v>667</v>
      </c>
      <c r="B287" s="472" t="s">
        <v>668</v>
      </c>
      <c r="C287" s="473">
        <f t="shared" si="245"/>
        <v>0</v>
      </c>
      <c r="D287" s="474">
        <f t="shared" si="240"/>
        <v>0</v>
      </c>
      <c r="E287" s="475">
        <f t="shared" si="240"/>
        <v>0</v>
      </c>
      <c r="F287" s="473">
        <f>SUM(F284:F286)</f>
        <v>0</v>
      </c>
      <c r="G287" s="603">
        <f t="shared" ref="G287:AO287" si="246">SUM(G284:G286)</f>
        <v>0</v>
      </c>
      <c r="H287" s="604">
        <f t="shared" si="246"/>
        <v>0</v>
      </c>
      <c r="I287" s="477">
        <f t="shared" si="246"/>
        <v>0</v>
      </c>
      <c r="J287" s="603">
        <f t="shared" si="246"/>
        <v>0</v>
      </c>
      <c r="K287" s="605">
        <f t="shared" si="246"/>
        <v>0</v>
      </c>
      <c r="L287" s="474">
        <f t="shared" si="246"/>
        <v>0</v>
      </c>
      <c r="M287" s="603">
        <f t="shared" si="246"/>
        <v>0</v>
      </c>
      <c r="N287" s="604">
        <f t="shared" si="246"/>
        <v>0</v>
      </c>
      <c r="O287" s="477">
        <f t="shared" si="246"/>
        <v>0</v>
      </c>
      <c r="P287" s="603">
        <f t="shared" si="246"/>
        <v>0</v>
      </c>
      <c r="Q287" s="605">
        <f t="shared" si="246"/>
        <v>0</v>
      </c>
      <c r="R287" s="474">
        <f t="shared" si="246"/>
        <v>0</v>
      </c>
      <c r="S287" s="603">
        <f t="shared" si="246"/>
        <v>0</v>
      </c>
      <c r="T287" s="604">
        <f t="shared" si="246"/>
        <v>0</v>
      </c>
      <c r="U287" s="477">
        <f t="shared" si="246"/>
        <v>0</v>
      </c>
      <c r="V287" s="603">
        <f t="shared" si="246"/>
        <v>0</v>
      </c>
      <c r="W287" s="605">
        <f t="shared" si="246"/>
        <v>0</v>
      </c>
      <c r="X287" s="474">
        <f t="shared" si="246"/>
        <v>0</v>
      </c>
      <c r="Y287" s="603">
        <f t="shared" si="246"/>
        <v>0</v>
      </c>
      <c r="Z287" s="604">
        <f t="shared" si="246"/>
        <v>0</v>
      </c>
      <c r="AA287" s="477">
        <f t="shared" si="246"/>
        <v>0</v>
      </c>
      <c r="AB287" s="603">
        <f t="shared" si="246"/>
        <v>0</v>
      </c>
      <c r="AC287" s="605">
        <f t="shared" si="246"/>
        <v>0</v>
      </c>
      <c r="AD287" s="474">
        <f t="shared" si="246"/>
        <v>0</v>
      </c>
      <c r="AE287" s="603">
        <f t="shared" si="246"/>
        <v>0</v>
      </c>
      <c r="AF287" s="604">
        <f t="shared" si="246"/>
        <v>0</v>
      </c>
      <c r="AG287" s="477">
        <f t="shared" si="246"/>
        <v>0</v>
      </c>
      <c r="AH287" s="603">
        <f t="shared" si="246"/>
        <v>0</v>
      </c>
      <c r="AI287" s="605">
        <f t="shared" si="246"/>
        <v>0</v>
      </c>
      <c r="AJ287" s="474">
        <f t="shared" si="246"/>
        <v>0</v>
      </c>
      <c r="AK287" s="603">
        <f t="shared" si="246"/>
        <v>0</v>
      </c>
      <c r="AL287" s="604">
        <f t="shared" si="246"/>
        <v>0</v>
      </c>
      <c r="AM287" s="477">
        <f t="shared" si="246"/>
        <v>0</v>
      </c>
      <c r="AN287" s="603">
        <f t="shared" si="246"/>
        <v>0</v>
      </c>
      <c r="AO287" s="475">
        <f t="shared" si="246"/>
        <v>0</v>
      </c>
    </row>
    <row r="288" spans="1:41" x14ac:dyDescent="0.2">
      <c r="A288" s="493" t="s">
        <v>669</v>
      </c>
      <c r="B288" s="494" t="s">
        <v>657</v>
      </c>
      <c r="C288" s="473">
        <f t="shared" si="245"/>
        <v>3235</v>
      </c>
      <c r="D288" s="474">
        <f t="shared" si="240"/>
        <v>3899</v>
      </c>
      <c r="E288" s="475">
        <f t="shared" si="240"/>
        <v>1432</v>
      </c>
      <c r="F288" s="632">
        <f>+F308</f>
        <v>130</v>
      </c>
      <c r="G288" s="603"/>
      <c r="H288" s="604"/>
      <c r="I288" s="497">
        <f t="shared" ref="I288:AM288" si="247">+I308</f>
        <v>130</v>
      </c>
      <c r="J288" s="603">
        <v>50</v>
      </c>
      <c r="K288" s="605">
        <v>50</v>
      </c>
      <c r="L288" s="495">
        <f t="shared" si="247"/>
        <v>630</v>
      </c>
      <c r="M288" s="603">
        <v>90</v>
      </c>
      <c r="N288" s="604">
        <v>90</v>
      </c>
      <c r="O288" s="497">
        <f t="shared" si="247"/>
        <v>130</v>
      </c>
      <c r="P288" s="603">
        <v>151</v>
      </c>
      <c r="Q288" s="605">
        <v>151</v>
      </c>
      <c r="R288" s="495">
        <f t="shared" si="247"/>
        <v>365</v>
      </c>
      <c r="S288" s="603">
        <v>123</v>
      </c>
      <c r="T288" s="604">
        <v>123</v>
      </c>
      <c r="U288" s="497">
        <f t="shared" si="247"/>
        <v>130</v>
      </c>
      <c r="V288" s="603">
        <v>1018</v>
      </c>
      <c r="W288" s="605">
        <v>1018</v>
      </c>
      <c r="X288" s="495">
        <f t="shared" si="247"/>
        <v>130</v>
      </c>
      <c r="Y288" s="603">
        <v>400</v>
      </c>
      <c r="Z288" s="604"/>
      <c r="AA288" s="497">
        <f t="shared" si="247"/>
        <v>1070</v>
      </c>
      <c r="AB288" s="603">
        <v>867</v>
      </c>
      <c r="AC288" s="605"/>
      <c r="AD288" s="495">
        <f t="shared" si="247"/>
        <v>130</v>
      </c>
      <c r="AE288" s="603">
        <v>400</v>
      </c>
      <c r="AF288" s="604"/>
      <c r="AG288" s="497">
        <f t="shared" si="247"/>
        <v>130</v>
      </c>
      <c r="AH288" s="603">
        <v>400</v>
      </c>
      <c r="AI288" s="605"/>
      <c r="AJ288" s="495">
        <f t="shared" si="247"/>
        <v>130</v>
      </c>
      <c r="AK288" s="603">
        <v>400</v>
      </c>
      <c r="AL288" s="604"/>
      <c r="AM288" s="477">
        <f t="shared" si="247"/>
        <v>130</v>
      </c>
      <c r="AN288" s="603"/>
      <c r="AO288" s="475"/>
    </row>
    <row r="289" spans="1:42" x14ac:dyDescent="0.2">
      <c r="A289" s="481" t="s">
        <v>658</v>
      </c>
      <c r="B289" s="482" t="s">
        <v>659</v>
      </c>
      <c r="C289" s="483">
        <f>SUM(F289,I289,L289,O289,R289,U289,X289,AA289,AD289,AG289,AJ289,AM289)</f>
        <v>0</v>
      </c>
      <c r="D289" s="484">
        <f t="shared" si="240"/>
        <v>0</v>
      </c>
      <c r="E289" s="485">
        <f t="shared" si="240"/>
        <v>0</v>
      </c>
      <c r="F289" s="460"/>
      <c r="G289" s="598"/>
      <c r="H289" s="599"/>
      <c r="I289" s="463"/>
      <c r="J289" s="598"/>
      <c r="K289" s="600"/>
      <c r="L289" s="460"/>
      <c r="M289" s="598"/>
      <c r="N289" s="599"/>
      <c r="O289" s="463"/>
      <c r="P289" s="598"/>
      <c r="Q289" s="600"/>
      <c r="R289" s="460"/>
      <c r="S289" s="598"/>
      <c r="T289" s="599"/>
      <c r="U289" s="463"/>
      <c r="V289" s="598"/>
      <c r="W289" s="600"/>
      <c r="X289" s="460"/>
      <c r="Y289" s="598"/>
      <c r="Z289" s="599"/>
      <c r="AA289" s="463"/>
      <c r="AB289" s="598"/>
      <c r="AC289" s="600"/>
      <c r="AD289" s="460"/>
      <c r="AE289" s="598"/>
      <c r="AF289" s="599"/>
      <c r="AG289" s="463"/>
      <c r="AH289" s="598"/>
      <c r="AI289" s="600"/>
      <c r="AJ289" s="460"/>
      <c r="AK289" s="598"/>
      <c r="AL289" s="599"/>
      <c r="AM289" s="463"/>
      <c r="AN289" s="598"/>
      <c r="AO289" s="470"/>
    </row>
    <row r="290" spans="1:42" s="480" customFormat="1" ht="15.75" thickBot="1" x14ac:dyDescent="0.25">
      <c r="A290" s="505" t="s">
        <v>670</v>
      </c>
      <c r="B290" s="506" t="s">
        <v>671</v>
      </c>
      <c r="C290" s="507">
        <f>SUM(F290,I290,L290,O290,R290,U290,X290,AA290,AD290,AG290,AJ290,AM290)</f>
        <v>3235</v>
      </c>
      <c r="D290" s="508">
        <f t="shared" si="240"/>
        <v>3899</v>
      </c>
      <c r="E290" s="509">
        <f t="shared" si="240"/>
        <v>1432</v>
      </c>
      <c r="F290" s="557">
        <f>SUM(F287,F288)</f>
        <v>130</v>
      </c>
      <c r="G290" s="610">
        <f t="shared" ref="G290:H290" si="248">SUM(G287,G288)</f>
        <v>0</v>
      </c>
      <c r="H290" s="611">
        <f t="shared" si="248"/>
        <v>0</v>
      </c>
      <c r="I290" s="512">
        <f>SUM(I287,I288)</f>
        <v>130</v>
      </c>
      <c r="J290" s="610">
        <f t="shared" ref="J290:AO290" si="249">SUM(J287,J288)</f>
        <v>50</v>
      </c>
      <c r="K290" s="612">
        <f t="shared" si="249"/>
        <v>50</v>
      </c>
      <c r="L290" s="510">
        <f t="shared" si="249"/>
        <v>630</v>
      </c>
      <c r="M290" s="610">
        <f t="shared" si="249"/>
        <v>90</v>
      </c>
      <c r="N290" s="611">
        <f t="shared" si="249"/>
        <v>90</v>
      </c>
      <c r="O290" s="512">
        <f t="shared" si="249"/>
        <v>130</v>
      </c>
      <c r="P290" s="610">
        <f t="shared" si="249"/>
        <v>151</v>
      </c>
      <c r="Q290" s="612">
        <f t="shared" si="249"/>
        <v>151</v>
      </c>
      <c r="R290" s="510">
        <f t="shared" si="249"/>
        <v>365</v>
      </c>
      <c r="S290" s="610">
        <f t="shared" si="249"/>
        <v>123</v>
      </c>
      <c r="T290" s="611">
        <f t="shared" si="249"/>
        <v>123</v>
      </c>
      <c r="U290" s="512">
        <f t="shared" si="249"/>
        <v>130</v>
      </c>
      <c r="V290" s="610">
        <f t="shared" si="249"/>
        <v>1018</v>
      </c>
      <c r="W290" s="612">
        <f t="shared" si="249"/>
        <v>1018</v>
      </c>
      <c r="X290" s="510">
        <f t="shared" si="249"/>
        <v>130</v>
      </c>
      <c r="Y290" s="610">
        <f t="shared" si="249"/>
        <v>400</v>
      </c>
      <c r="Z290" s="611">
        <f t="shared" si="249"/>
        <v>0</v>
      </c>
      <c r="AA290" s="512">
        <f t="shared" si="249"/>
        <v>1070</v>
      </c>
      <c r="AB290" s="610">
        <f t="shared" si="249"/>
        <v>867</v>
      </c>
      <c r="AC290" s="612">
        <f t="shared" si="249"/>
        <v>0</v>
      </c>
      <c r="AD290" s="510">
        <f t="shared" si="249"/>
        <v>130</v>
      </c>
      <c r="AE290" s="610">
        <f t="shared" si="249"/>
        <v>400</v>
      </c>
      <c r="AF290" s="611">
        <f t="shared" si="249"/>
        <v>0</v>
      </c>
      <c r="AG290" s="512">
        <f t="shared" si="249"/>
        <v>130</v>
      </c>
      <c r="AH290" s="610">
        <f t="shared" si="249"/>
        <v>400</v>
      </c>
      <c r="AI290" s="612">
        <f t="shared" si="249"/>
        <v>0</v>
      </c>
      <c r="AJ290" s="510">
        <f t="shared" si="249"/>
        <v>130</v>
      </c>
      <c r="AK290" s="610">
        <f t="shared" si="249"/>
        <v>400</v>
      </c>
      <c r="AL290" s="611">
        <f t="shared" si="249"/>
        <v>0</v>
      </c>
      <c r="AM290" s="514">
        <f t="shared" si="249"/>
        <v>130</v>
      </c>
      <c r="AN290" s="610">
        <f t="shared" si="249"/>
        <v>0</v>
      </c>
      <c r="AO290" s="509">
        <f t="shared" si="249"/>
        <v>0</v>
      </c>
      <c r="AP290" s="479"/>
    </row>
    <row r="291" spans="1:42" ht="15" thickBot="1" x14ac:dyDescent="0.25">
      <c r="A291" s="515" t="s">
        <v>672</v>
      </c>
      <c r="B291" s="516" t="s">
        <v>673</v>
      </c>
      <c r="C291" s="632">
        <f>SUM(F291,I291,L291,O291,R291,U291,X291,AA291,AD291,AG291,AJ291,AM291)</f>
        <v>21276</v>
      </c>
      <c r="D291" s="633">
        <f t="shared" si="240"/>
        <v>22388</v>
      </c>
      <c r="E291" s="634">
        <f t="shared" si="240"/>
        <v>10009</v>
      </c>
      <c r="F291" s="520">
        <f>SUM(F290,F283)</f>
        <v>1646</v>
      </c>
      <c r="G291" s="520">
        <f t="shared" ref="G291:H291" si="250">SUM(G290,G283)</f>
        <v>1107</v>
      </c>
      <c r="H291" s="521">
        <f t="shared" si="250"/>
        <v>1107</v>
      </c>
      <c r="I291" s="522">
        <f t="shared" ref="I291:AM291" si="251">SUM(I283,I290)</f>
        <v>1635</v>
      </c>
      <c r="J291" s="520">
        <f t="shared" ref="J291:K291" si="252">SUM(J290,J283)</f>
        <v>994</v>
      </c>
      <c r="K291" s="523">
        <f t="shared" si="252"/>
        <v>994</v>
      </c>
      <c r="L291" s="520">
        <f t="shared" si="251"/>
        <v>2132</v>
      </c>
      <c r="M291" s="520">
        <f t="shared" ref="M291:N291" si="253">SUM(M290,M283)</f>
        <v>1433</v>
      </c>
      <c r="N291" s="521">
        <f t="shared" si="253"/>
        <v>1433</v>
      </c>
      <c r="O291" s="522">
        <f t="shared" si="251"/>
        <v>1632</v>
      </c>
      <c r="P291" s="520">
        <f t="shared" ref="P291:Q291" si="254">SUM(P290,P283)</f>
        <v>1605</v>
      </c>
      <c r="Q291" s="523">
        <f t="shared" si="254"/>
        <v>1605</v>
      </c>
      <c r="R291" s="520">
        <f t="shared" si="251"/>
        <v>1867</v>
      </c>
      <c r="S291" s="520">
        <f t="shared" ref="S291:T291" si="255">SUM(S290,S283)</f>
        <v>1557</v>
      </c>
      <c r="T291" s="521">
        <f t="shared" si="255"/>
        <v>1557</v>
      </c>
      <c r="U291" s="522">
        <f t="shared" si="251"/>
        <v>1632</v>
      </c>
      <c r="V291" s="520">
        <f t="shared" ref="V291:W291" si="256">SUM(V290,V283)</f>
        <v>3213</v>
      </c>
      <c r="W291" s="523">
        <f t="shared" si="256"/>
        <v>3313</v>
      </c>
      <c r="X291" s="520">
        <f t="shared" si="251"/>
        <v>1632</v>
      </c>
      <c r="Y291" s="520">
        <f t="shared" ref="Y291:Z291" si="257">SUM(Y290,Y283)</f>
        <v>2056</v>
      </c>
      <c r="Z291" s="521">
        <f t="shared" si="257"/>
        <v>0</v>
      </c>
      <c r="AA291" s="522">
        <f t="shared" si="251"/>
        <v>2572</v>
      </c>
      <c r="AB291" s="520">
        <f t="shared" ref="AB291:AC291" si="258">SUM(AB290,AB283)</f>
        <v>2523</v>
      </c>
      <c r="AC291" s="523">
        <f t="shared" si="258"/>
        <v>0</v>
      </c>
      <c r="AD291" s="520">
        <f t="shared" si="251"/>
        <v>1632</v>
      </c>
      <c r="AE291" s="520">
        <f t="shared" ref="AE291:AF291" si="259">SUM(AE290,AE283)</f>
        <v>2118</v>
      </c>
      <c r="AF291" s="521">
        <f t="shared" si="259"/>
        <v>0</v>
      </c>
      <c r="AG291" s="522">
        <f t="shared" si="251"/>
        <v>1632</v>
      </c>
      <c r="AH291" s="520">
        <f t="shared" ref="AH291:AI291" si="260">SUM(AH290,AH283)</f>
        <v>2066</v>
      </c>
      <c r="AI291" s="523">
        <f t="shared" si="260"/>
        <v>0</v>
      </c>
      <c r="AJ291" s="520">
        <f t="shared" si="251"/>
        <v>1632</v>
      </c>
      <c r="AK291" s="520">
        <f t="shared" ref="AK291:AL291" si="261">SUM(AK290,AK283)</f>
        <v>2061</v>
      </c>
      <c r="AL291" s="521">
        <f t="shared" si="261"/>
        <v>0</v>
      </c>
      <c r="AM291" s="522">
        <f t="shared" si="251"/>
        <v>1632</v>
      </c>
      <c r="AN291" s="635">
        <f t="shared" ref="AN291:AO291" si="262">SUM(AN290,AN283)</f>
        <v>1655</v>
      </c>
      <c r="AO291" s="563">
        <f t="shared" si="262"/>
        <v>0</v>
      </c>
    </row>
    <row r="292" spans="1:42" ht="15" thickBot="1" x14ac:dyDescent="0.25">
      <c r="A292" s="526"/>
      <c r="B292" s="527" t="s">
        <v>1332</v>
      </c>
      <c r="C292" s="528"/>
      <c r="D292" s="529"/>
      <c r="E292" s="519">
        <f t="shared" ref="E292:E293" si="263">SUM(H292,K292,N292,Q292,T292,W292,Z292,AC292,AF292,AI292,AL292,AO292)</f>
        <v>636</v>
      </c>
      <c r="F292" s="530"/>
      <c r="G292" s="530"/>
      <c r="H292" s="536">
        <v>266</v>
      </c>
      <c r="I292" s="531"/>
      <c r="J292" s="530"/>
      <c r="K292" s="537"/>
      <c r="L292" s="530"/>
      <c r="M292" s="530"/>
      <c r="N292" s="536"/>
      <c r="O292" s="531"/>
      <c r="P292" s="530"/>
      <c r="Q292" s="537"/>
      <c r="R292" s="530"/>
      <c r="S292" s="530"/>
      <c r="T292" s="536"/>
      <c r="U292" s="531"/>
      <c r="V292" s="530"/>
      <c r="W292" s="537">
        <v>370</v>
      </c>
      <c r="X292" s="530"/>
      <c r="Y292" s="530"/>
      <c r="Z292" s="536"/>
      <c r="AA292" s="531"/>
      <c r="AB292" s="530"/>
      <c r="AC292" s="537"/>
      <c r="AD292" s="530"/>
      <c r="AE292" s="530"/>
      <c r="AF292" s="536"/>
      <c r="AG292" s="531"/>
      <c r="AH292" s="530"/>
      <c r="AI292" s="537"/>
      <c r="AJ292" s="530"/>
      <c r="AK292" s="532"/>
      <c r="AL292" s="536"/>
      <c r="AM292" s="531"/>
      <c r="AN292" s="532"/>
      <c r="AO292" s="613"/>
    </row>
    <row r="293" spans="1:42" ht="15" thickBot="1" x14ac:dyDescent="0.25">
      <c r="A293" s="526"/>
      <c r="B293" s="527" t="s">
        <v>1333</v>
      </c>
      <c r="C293" s="534"/>
      <c r="D293" s="535"/>
      <c r="E293" s="519">
        <f t="shared" si="263"/>
        <v>10645</v>
      </c>
      <c r="F293" s="530"/>
      <c r="G293" s="530"/>
      <c r="H293" s="536">
        <f>SUM(H291:H292)</f>
        <v>1373</v>
      </c>
      <c r="I293" s="531"/>
      <c r="J293" s="530"/>
      <c r="K293" s="537">
        <f>SUM(K291:K292)</f>
        <v>994</v>
      </c>
      <c r="L293" s="530"/>
      <c r="M293" s="530"/>
      <c r="N293" s="536">
        <f>SUM(N291:N292)</f>
        <v>1433</v>
      </c>
      <c r="O293" s="531"/>
      <c r="P293" s="530"/>
      <c r="Q293" s="537">
        <f>SUM(Q291:Q292)</f>
        <v>1605</v>
      </c>
      <c r="R293" s="530"/>
      <c r="S293" s="530"/>
      <c r="T293" s="536">
        <f>SUM(T291:T292)</f>
        <v>1557</v>
      </c>
      <c r="U293" s="531"/>
      <c r="V293" s="530"/>
      <c r="W293" s="537">
        <f>SUM(W291:W292)</f>
        <v>3683</v>
      </c>
      <c r="X293" s="530"/>
      <c r="Y293" s="530"/>
      <c r="Z293" s="536">
        <f>SUM(Z291:Z292)</f>
        <v>0</v>
      </c>
      <c r="AA293" s="531"/>
      <c r="AB293" s="530"/>
      <c r="AC293" s="537">
        <f>SUM(AC291:AC292)</f>
        <v>0</v>
      </c>
      <c r="AD293" s="530"/>
      <c r="AE293" s="530"/>
      <c r="AF293" s="536">
        <f>SUM(AF291:AF292)</f>
        <v>0</v>
      </c>
      <c r="AG293" s="531"/>
      <c r="AH293" s="530"/>
      <c r="AI293" s="537">
        <f>SUM(AI291:AI292)</f>
        <v>0</v>
      </c>
      <c r="AJ293" s="530"/>
      <c r="AK293" s="532"/>
      <c r="AL293" s="536">
        <f>SUM(AL291:AL292)</f>
        <v>0</v>
      </c>
      <c r="AM293" s="531"/>
      <c r="AN293" s="532"/>
      <c r="AO293" s="524">
        <f>SUM(AO291:AO292)</f>
        <v>0</v>
      </c>
    </row>
    <row r="294" spans="1:42" x14ac:dyDescent="0.2">
      <c r="A294" s="538"/>
      <c r="B294" s="539" t="s">
        <v>674</v>
      </c>
      <c r="C294" s="614" t="s">
        <v>633</v>
      </c>
      <c r="D294" s="615" t="s">
        <v>1326</v>
      </c>
      <c r="E294" s="616" t="s">
        <v>1327</v>
      </c>
      <c r="F294" s="617"/>
      <c r="G294" s="617"/>
      <c r="H294" s="618"/>
      <c r="I294" s="619"/>
      <c r="J294" s="617"/>
      <c r="K294" s="636"/>
      <c r="L294" s="617"/>
      <c r="M294" s="617"/>
      <c r="N294" s="618"/>
      <c r="O294" s="619"/>
      <c r="P294" s="617"/>
      <c r="Q294" s="636"/>
      <c r="R294" s="617"/>
      <c r="S294" s="617"/>
      <c r="T294" s="618"/>
      <c r="U294" s="619"/>
      <c r="V294" s="617"/>
      <c r="W294" s="636"/>
      <c r="X294" s="617"/>
      <c r="Y294" s="617"/>
      <c r="Z294" s="618"/>
      <c r="AA294" s="619"/>
      <c r="AB294" s="617"/>
      <c r="AC294" s="636"/>
      <c r="AD294" s="617"/>
      <c r="AE294" s="617"/>
      <c r="AF294" s="618"/>
      <c r="AG294" s="619"/>
      <c r="AH294" s="617"/>
      <c r="AI294" s="636"/>
      <c r="AJ294" s="617"/>
      <c r="AK294" s="617"/>
      <c r="AL294" s="618"/>
      <c r="AM294" s="619"/>
      <c r="AN294" s="620"/>
      <c r="AO294" s="637"/>
    </row>
    <row r="295" spans="1:42" x14ac:dyDescent="0.2">
      <c r="A295" s="457" t="s">
        <v>675</v>
      </c>
      <c r="B295" s="458" t="s">
        <v>676</v>
      </c>
      <c r="C295" s="468">
        <f t="shared" ref="C295:E311" si="264">SUM(F295,I295,L295,O295,R295,U295,X295,AA295,AD295,AG295,AJ295,AM295)</f>
        <v>9762</v>
      </c>
      <c r="D295" s="543">
        <f t="shared" si="264"/>
        <v>10115</v>
      </c>
      <c r="E295" s="465">
        <f t="shared" si="264"/>
        <v>4980</v>
      </c>
      <c r="F295" s="469">
        <f>6+813</f>
        <v>819</v>
      </c>
      <c r="G295" s="592">
        <f>1132-690</f>
        <v>442</v>
      </c>
      <c r="H295" s="593">
        <v>1132</v>
      </c>
      <c r="I295" s="549">
        <v>813</v>
      </c>
      <c r="J295" s="592">
        <f>706-149</f>
        <v>557</v>
      </c>
      <c r="K295" s="595">
        <v>706</v>
      </c>
      <c r="L295" s="469">
        <v>813</v>
      </c>
      <c r="M295" s="592">
        <f>766+166</f>
        <v>932</v>
      </c>
      <c r="N295" s="593">
        <v>766</v>
      </c>
      <c r="O295" s="549">
        <v>813</v>
      </c>
      <c r="P295" s="592">
        <f>758+193</f>
        <v>951</v>
      </c>
      <c r="Q295" s="595">
        <v>758</v>
      </c>
      <c r="R295" s="469">
        <v>813</v>
      </c>
      <c r="S295" s="592">
        <f>872+57</f>
        <v>929</v>
      </c>
      <c r="T295" s="593">
        <v>872</v>
      </c>
      <c r="U295" s="549">
        <v>813</v>
      </c>
      <c r="V295" s="592">
        <f>746+728</f>
        <v>1474</v>
      </c>
      <c r="W295" s="595">
        <v>746</v>
      </c>
      <c r="X295" s="469">
        <v>813</v>
      </c>
      <c r="Y295" s="592">
        <v>793</v>
      </c>
      <c r="Z295" s="593"/>
      <c r="AA295" s="549">
        <v>813</v>
      </c>
      <c r="AB295" s="592">
        <v>793</v>
      </c>
      <c r="AC295" s="595"/>
      <c r="AD295" s="469">
        <v>813</v>
      </c>
      <c r="AE295" s="592">
        <v>854</v>
      </c>
      <c r="AF295" s="593"/>
      <c r="AG295" s="549">
        <v>813</v>
      </c>
      <c r="AH295" s="592">
        <v>802</v>
      </c>
      <c r="AI295" s="595"/>
      <c r="AJ295" s="469">
        <v>813</v>
      </c>
      <c r="AK295" s="592">
        <v>797</v>
      </c>
      <c r="AL295" s="593"/>
      <c r="AM295" s="594">
        <v>813</v>
      </c>
      <c r="AN295" s="592">
        <v>791</v>
      </c>
      <c r="AO295" s="465"/>
    </row>
    <row r="296" spans="1:42" x14ac:dyDescent="0.2">
      <c r="A296" s="466" t="s">
        <v>677</v>
      </c>
      <c r="B296" s="467" t="s">
        <v>678</v>
      </c>
      <c r="C296" s="468">
        <f t="shared" si="264"/>
        <v>2456</v>
      </c>
      <c r="D296" s="469">
        <f t="shared" si="264"/>
        <v>2551</v>
      </c>
      <c r="E296" s="470">
        <f t="shared" si="264"/>
        <v>1352</v>
      </c>
      <c r="F296" s="469">
        <f>8+204</f>
        <v>212</v>
      </c>
      <c r="G296" s="598">
        <v>307</v>
      </c>
      <c r="H296" s="599">
        <v>307</v>
      </c>
      <c r="I296" s="549">
        <v>204</v>
      </c>
      <c r="J296" s="598">
        <v>191</v>
      </c>
      <c r="K296" s="600">
        <v>191</v>
      </c>
      <c r="L296" s="469">
        <v>204</v>
      </c>
      <c r="M296" s="598">
        <v>206</v>
      </c>
      <c r="N296" s="599">
        <v>206</v>
      </c>
      <c r="O296" s="549">
        <v>204</v>
      </c>
      <c r="P296" s="598">
        <v>203</v>
      </c>
      <c r="Q296" s="600">
        <v>203</v>
      </c>
      <c r="R296" s="469">
        <v>204</v>
      </c>
      <c r="S296" s="598">
        <v>245</v>
      </c>
      <c r="T296" s="599">
        <v>245</v>
      </c>
      <c r="U296" s="549">
        <v>204</v>
      </c>
      <c r="V296" s="598">
        <v>200</v>
      </c>
      <c r="W296" s="600">
        <v>200</v>
      </c>
      <c r="X296" s="469">
        <v>204</v>
      </c>
      <c r="Y296" s="598">
        <v>200</v>
      </c>
      <c r="Z296" s="599"/>
      <c r="AA296" s="549">
        <v>204</v>
      </c>
      <c r="AB296" s="598">
        <v>199</v>
      </c>
      <c r="AC296" s="600"/>
      <c r="AD296" s="469">
        <v>204</v>
      </c>
      <c r="AE296" s="598">
        <v>200</v>
      </c>
      <c r="AF296" s="599"/>
      <c r="AG296" s="549">
        <v>204</v>
      </c>
      <c r="AH296" s="598">
        <v>200</v>
      </c>
      <c r="AI296" s="600"/>
      <c r="AJ296" s="469">
        <v>204</v>
      </c>
      <c r="AK296" s="598">
        <v>200</v>
      </c>
      <c r="AL296" s="599"/>
      <c r="AM296" s="549">
        <v>204</v>
      </c>
      <c r="AN296" s="598">
        <v>200</v>
      </c>
      <c r="AO296" s="470"/>
    </row>
    <row r="297" spans="1:42" x14ac:dyDescent="0.2">
      <c r="A297" s="466" t="s">
        <v>679</v>
      </c>
      <c r="B297" s="467" t="s">
        <v>680</v>
      </c>
      <c r="C297" s="468">
        <f t="shared" si="264"/>
        <v>5823</v>
      </c>
      <c r="D297" s="469">
        <f t="shared" si="264"/>
        <v>5823</v>
      </c>
      <c r="E297" s="470">
        <f t="shared" si="264"/>
        <v>1840</v>
      </c>
      <c r="F297" s="469">
        <v>485</v>
      </c>
      <c r="G297" s="598">
        <v>358</v>
      </c>
      <c r="H297" s="599">
        <v>358</v>
      </c>
      <c r="I297" s="549">
        <f>3+485</f>
        <v>488</v>
      </c>
      <c r="J297" s="598">
        <v>196</v>
      </c>
      <c r="K297" s="600">
        <v>196</v>
      </c>
      <c r="L297" s="469">
        <v>485</v>
      </c>
      <c r="M297" s="598">
        <v>205</v>
      </c>
      <c r="N297" s="599">
        <v>205</v>
      </c>
      <c r="O297" s="549">
        <v>485</v>
      </c>
      <c r="P297" s="598">
        <v>300</v>
      </c>
      <c r="Q297" s="600">
        <v>300</v>
      </c>
      <c r="R297" s="469">
        <v>485</v>
      </c>
      <c r="S297" s="598">
        <v>260</v>
      </c>
      <c r="T297" s="599">
        <v>260</v>
      </c>
      <c r="U297" s="549">
        <v>485</v>
      </c>
      <c r="V297" s="598">
        <v>521</v>
      </c>
      <c r="W297" s="600">
        <v>521</v>
      </c>
      <c r="X297" s="469">
        <v>485</v>
      </c>
      <c r="Y297" s="598">
        <v>663</v>
      </c>
      <c r="Z297" s="599"/>
      <c r="AA297" s="549">
        <v>485</v>
      </c>
      <c r="AB297" s="598">
        <v>664</v>
      </c>
      <c r="AC297" s="600"/>
      <c r="AD297" s="469">
        <v>485</v>
      </c>
      <c r="AE297" s="598">
        <v>664</v>
      </c>
      <c r="AF297" s="599"/>
      <c r="AG297" s="549">
        <v>485</v>
      </c>
      <c r="AH297" s="598">
        <v>664</v>
      </c>
      <c r="AI297" s="600"/>
      <c r="AJ297" s="469">
        <v>485</v>
      </c>
      <c r="AK297" s="598">
        <v>664</v>
      </c>
      <c r="AL297" s="599"/>
      <c r="AM297" s="549">
        <v>485</v>
      </c>
      <c r="AN297" s="598">
        <v>664</v>
      </c>
      <c r="AO297" s="470"/>
    </row>
    <row r="298" spans="1:42" x14ac:dyDescent="0.2">
      <c r="A298" s="466" t="s">
        <v>681</v>
      </c>
      <c r="B298" s="467" t="s">
        <v>682</v>
      </c>
      <c r="C298" s="468">
        <f t="shared" si="264"/>
        <v>0</v>
      </c>
      <c r="D298" s="469">
        <f t="shared" si="264"/>
        <v>0</v>
      </c>
      <c r="E298" s="470">
        <f t="shared" si="264"/>
        <v>0</v>
      </c>
      <c r="F298" s="469"/>
      <c r="G298" s="598"/>
      <c r="H298" s="599"/>
      <c r="I298" s="549"/>
      <c r="J298" s="598"/>
      <c r="K298" s="600"/>
      <c r="L298" s="469"/>
      <c r="M298" s="598"/>
      <c r="N298" s="599"/>
      <c r="O298" s="549"/>
      <c r="P298" s="598"/>
      <c r="Q298" s="600"/>
      <c r="R298" s="469"/>
      <c r="S298" s="598"/>
      <c r="T298" s="599"/>
      <c r="U298" s="549"/>
      <c r="V298" s="598"/>
      <c r="W298" s="600"/>
      <c r="X298" s="469"/>
      <c r="Y298" s="598"/>
      <c r="Z298" s="599"/>
      <c r="AA298" s="549"/>
      <c r="AB298" s="598"/>
      <c r="AC298" s="600"/>
      <c r="AD298" s="469"/>
      <c r="AE298" s="598"/>
      <c r="AF298" s="599"/>
      <c r="AG298" s="549"/>
      <c r="AH298" s="598"/>
      <c r="AI298" s="600"/>
      <c r="AJ298" s="469"/>
      <c r="AK298" s="598"/>
      <c r="AL298" s="599"/>
      <c r="AM298" s="549"/>
      <c r="AN298" s="598"/>
      <c r="AO298" s="470"/>
    </row>
    <row r="299" spans="1:42" x14ac:dyDescent="0.2">
      <c r="A299" s="466" t="s">
        <v>683</v>
      </c>
      <c r="B299" s="467" t="s">
        <v>684</v>
      </c>
      <c r="C299" s="468">
        <f t="shared" si="264"/>
        <v>0</v>
      </c>
      <c r="D299" s="469">
        <f t="shared" si="264"/>
        <v>0</v>
      </c>
      <c r="E299" s="470">
        <f t="shared" si="264"/>
        <v>0</v>
      </c>
      <c r="F299" s="469"/>
      <c r="G299" s="598"/>
      <c r="H299" s="599"/>
      <c r="I299" s="549"/>
      <c r="J299" s="598"/>
      <c r="K299" s="600"/>
      <c r="L299" s="469"/>
      <c r="M299" s="598"/>
      <c r="N299" s="599"/>
      <c r="O299" s="549"/>
      <c r="P299" s="598"/>
      <c r="Q299" s="600"/>
      <c r="R299" s="469"/>
      <c r="S299" s="598"/>
      <c r="T299" s="599"/>
      <c r="U299" s="549"/>
      <c r="V299" s="598"/>
      <c r="W299" s="600"/>
      <c r="X299" s="469"/>
      <c r="Y299" s="598"/>
      <c r="Z299" s="599"/>
      <c r="AA299" s="549"/>
      <c r="AB299" s="598"/>
      <c r="AC299" s="600"/>
      <c r="AD299" s="469"/>
      <c r="AE299" s="598"/>
      <c r="AF299" s="599"/>
      <c r="AG299" s="549"/>
      <c r="AH299" s="598"/>
      <c r="AI299" s="600"/>
      <c r="AJ299" s="469"/>
      <c r="AK299" s="598"/>
      <c r="AL299" s="599"/>
      <c r="AM299" s="549"/>
      <c r="AN299" s="598"/>
      <c r="AO299" s="470"/>
    </row>
    <row r="300" spans="1:42" x14ac:dyDescent="0.2">
      <c r="A300" s="481"/>
      <c r="B300" s="482" t="s">
        <v>685</v>
      </c>
      <c r="C300" s="483">
        <f t="shared" si="264"/>
        <v>0</v>
      </c>
      <c r="D300" s="484">
        <f t="shared" si="264"/>
        <v>0</v>
      </c>
      <c r="E300" s="485">
        <f t="shared" si="264"/>
        <v>0</v>
      </c>
      <c r="F300" s="484"/>
      <c r="G300" s="606"/>
      <c r="H300" s="607"/>
      <c r="I300" s="487"/>
      <c r="J300" s="606"/>
      <c r="K300" s="608"/>
      <c r="L300" s="484"/>
      <c r="M300" s="606"/>
      <c r="N300" s="607"/>
      <c r="O300" s="487"/>
      <c r="P300" s="606"/>
      <c r="Q300" s="608"/>
      <c r="R300" s="484"/>
      <c r="S300" s="606"/>
      <c r="T300" s="607"/>
      <c r="U300" s="487"/>
      <c r="V300" s="606"/>
      <c r="W300" s="608"/>
      <c r="X300" s="484"/>
      <c r="Y300" s="606"/>
      <c r="Z300" s="607"/>
      <c r="AA300" s="487"/>
      <c r="AB300" s="606"/>
      <c r="AC300" s="608"/>
      <c r="AD300" s="484"/>
      <c r="AE300" s="606"/>
      <c r="AF300" s="607"/>
      <c r="AG300" s="487"/>
      <c r="AH300" s="606"/>
      <c r="AI300" s="608"/>
      <c r="AJ300" s="484"/>
      <c r="AK300" s="606"/>
      <c r="AL300" s="607"/>
      <c r="AM300" s="487"/>
      <c r="AN300" s="606"/>
      <c r="AO300" s="485"/>
    </row>
    <row r="301" spans="1:42" x14ac:dyDescent="0.2">
      <c r="A301" s="544"/>
      <c r="B301" s="545" t="s">
        <v>686</v>
      </c>
      <c r="C301" s="483">
        <f t="shared" si="264"/>
        <v>0</v>
      </c>
      <c r="D301" s="484">
        <f t="shared" si="264"/>
        <v>0</v>
      </c>
      <c r="E301" s="485">
        <f t="shared" si="264"/>
        <v>0</v>
      </c>
      <c r="F301" s="638"/>
      <c r="G301" s="606"/>
      <c r="H301" s="607"/>
      <c r="I301" s="639"/>
      <c r="J301" s="606"/>
      <c r="K301" s="608"/>
      <c r="L301" s="638"/>
      <c r="M301" s="606"/>
      <c r="N301" s="607"/>
      <c r="O301" s="639"/>
      <c r="P301" s="606"/>
      <c r="Q301" s="608"/>
      <c r="R301" s="638"/>
      <c r="S301" s="606"/>
      <c r="T301" s="607"/>
      <c r="U301" s="639"/>
      <c r="V301" s="606"/>
      <c r="W301" s="608"/>
      <c r="X301" s="638"/>
      <c r="Y301" s="606"/>
      <c r="Z301" s="607"/>
      <c r="AA301" s="639"/>
      <c r="AB301" s="606"/>
      <c r="AC301" s="608"/>
      <c r="AD301" s="638"/>
      <c r="AE301" s="606"/>
      <c r="AF301" s="607"/>
      <c r="AG301" s="639"/>
      <c r="AH301" s="606"/>
      <c r="AI301" s="608"/>
      <c r="AJ301" s="638"/>
      <c r="AK301" s="606"/>
      <c r="AL301" s="607"/>
      <c r="AM301" s="639"/>
      <c r="AN301" s="606"/>
      <c r="AO301" s="485"/>
    </row>
    <row r="302" spans="1:42" x14ac:dyDescent="0.2">
      <c r="A302" s="471" t="s">
        <v>654</v>
      </c>
      <c r="B302" s="472" t="s">
        <v>687</v>
      </c>
      <c r="C302" s="473">
        <f t="shared" si="264"/>
        <v>18041</v>
      </c>
      <c r="D302" s="474">
        <f t="shared" si="264"/>
        <v>18489</v>
      </c>
      <c r="E302" s="475">
        <f t="shared" si="264"/>
        <v>8172</v>
      </c>
      <c r="F302" s="476">
        <f>SUM(F295:F301)</f>
        <v>1516</v>
      </c>
      <c r="G302" s="603">
        <f t="shared" ref="G302:H302" si="265">SUM(G295:G299)</f>
        <v>1107</v>
      </c>
      <c r="H302" s="604">
        <f t="shared" si="265"/>
        <v>1797</v>
      </c>
      <c r="I302" s="477">
        <f t="shared" ref="I302:AM302" si="266">SUM(I295:I301)</f>
        <v>1505</v>
      </c>
      <c r="J302" s="603">
        <f t="shared" ref="J302:K302" si="267">SUM(J295:J299)</f>
        <v>944</v>
      </c>
      <c r="K302" s="605">
        <f t="shared" si="267"/>
        <v>1093</v>
      </c>
      <c r="L302" s="474">
        <f t="shared" si="266"/>
        <v>1502</v>
      </c>
      <c r="M302" s="603">
        <f t="shared" ref="M302:N302" si="268">SUM(M295:M299)</f>
        <v>1343</v>
      </c>
      <c r="N302" s="604">
        <f t="shared" si="268"/>
        <v>1177</v>
      </c>
      <c r="O302" s="477">
        <f t="shared" si="266"/>
        <v>1502</v>
      </c>
      <c r="P302" s="603">
        <f t="shared" ref="P302:Q302" si="269">SUM(P295:P299)</f>
        <v>1454</v>
      </c>
      <c r="Q302" s="605">
        <f t="shared" si="269"/>
        <v>1261</v>
      </c>
      <c r="R302" s="474">
        <f t="shared" si="266"/>
        <v>1502</v>
      </c>
      <c r="S302" s="603">
        <f t="shared" ref="S302:T302" si="270">SUM(S295:S299)</f>
        <v>1434</v>
      </c>
      <c r="T302" s="604">
        <f t="shared" si="270"/>
        <v>1377</v>
      </c>
      <c r="U302" s="477">
        <f t="shared" si="266"/>
        <v>1502</v>
      </c>
      <c r="V302" s="603">
        <f t="shared" ref="V302:W302" si="271">SUM(V295:V299)</f>
        <v>2195</v>
      </c>
      <c r="W302" s="605">
        <f t="shared" si="271"/>
        <v>1467</v>
      </c>
      <c r="X302" s="474">
        <f t="shared" si="266"/>
        <v>1502</v>
      </c>
      <c r="Y302" s="603">
        <f t="shared" ref="Y302:Z302" si="272">SUM(Y295:Y299)</f>
        <v>1656</v>
      </c>
      <c r="Z302" s="604">
        <f t="shared" si="272"/>
        <v>0</v>
      </c>
      <c r="AA302" s="477">
        <f t="shared" si="266"/>
        <v>1502</v>
      </c>
      <c r="AB302" s="603">
        <f t="shared" ref="AB302:AC302" si="273">SUM(AB295:AB299)</f>
        <v>1656</v>
      </c>
      <c r="AC302" s="605">
        <f t="shared" si="273"/>
        <v>0</v>
      </c>
      <c r="AD302" s="474">
        <f t="shared" si="266"/>
        <v>1502</v>
      </c>
      <c r="AE302" s="603">
        <f t="shared" ref="AE302:AF302" si="274">SUM(AE295:AE299)</f>
        <v>1718</v>
      </c>
      <c r="AF302" s="604">
        <f t="shared" si="274"/>
        <v>0</v>
      </c>
      <c r="AG302" s="477">
        <f t="shared" si="266"/>
        <v>1502</v>
      </c>
      <c r="AH302" s="603">
        <f t="shared" ref="AH302:AI302" si="275">SUM(AH295:AH299)</f>
        <v>1666</v>
      </c>
      <c r="AI302" s="605">
        <f t="shared" si="275"/>
        <v>0</v>
      </c>
      <c r="AJ302" s="474">
        <f t="shared" si="266"/>
        <v>1502</v>
      </c>
      <c r="AK302" s="603">
        <f t="shared" ref="AK302:AL302" si="276">SUM(AK295:AK299)</f>
        <v>1661</v>
      </c>
      <c r="AL302" s="604">
        <f t="shared" si="276"/>
        <v>0</v>
      </c>
      <c r="AM302" s="477">
        <f t="shared" si="266"/>
        <v>1502</v>
      </c>
      <c r="AN302" s="603">
        <f t="shared" ref="AN302:AO302" si="277">SUM(AN295:AN299)</f>
        <v>1655</v>
      </c>
      <c r="AO302" s="475">
        <f t="shared" si="277"/>
        <v>0</v>
      </c>
    </row>
    <row r="303" spans="1:42" x14ac:dyDescent="0.2">
      <c r="A303" s="471" t="s">
        <v>688</v>
      </c>
      <c r="B303" s="472" t="s">
        <v>689</v>
      </c>
      <c r="C303" s="473">
        <f t="shared" si="264"/>
        <v>0</v>
      </c>
      <c r="D303" s="474">
        <f t="shared" si="264"/>
        <v>0</v>
      </c>
      <c r="E303" s="475">
        <f t="shared" si="264"/>
        <v>0</v>
      </c>
      <c r="F303" s="476"/>
      <c r="G303" s="603"/>
      <c r="H303" s="604"/>
      <c r="I303" s="477"/>
      <c r="J303" s="603"/>
      <c r="K303" s="605"/>
      <c r="L303" s="474"/>
      <c r="M303" s="603"/>
      <c r="N303" s="604"/>
      <c r="O303" s="477"/>
      <c r="P303" s="603"/>
      <c r="Q303" s="605"/>
      <c r="R303" s="474"/>
      <c r="S303" s="603"/>
      <c r="T303" s="604"/>
      <c r="U303" s="477"/>
      <c r="V303" s="603"/>
      <c r="W303" s="605"/>
      <c r="X303" s="474"/>
      <c r="Y303" s="603"/>
      <c r="Z303" s="604"/>
      <c r="AA303" s="477"/>
      <c r="AB303" s="603"/>
      <c r="AC303" s="605"/>
      <c r="AD303" s="474"/>
      <c r="AE303" s="603"/>
      <c r="AF303" s="604"/>
      <c r="AG303" s="477"/>
      <c r="AH303" s="603"/>
      <c r="AI303" s="605"/>
      <c r="AJ303" s="474"/>
      <c r="AK303" s="603"/>
      <c r="AL303" s="604"/>
      <c r="AM303" s="477"/>
      <c r="AN303" s="603"/>
      <c r="AO303" s="475"/>
    </row>
    <row r="304" spans="1:42" x14ac:dyDescent="0.2">
      <c r="A304" s="493" t="s">
        <v>660</v>
      </c>
      <c r="B304" s="494" t="s">
        <v>690</v>
      </c>
      <c r="C304" s="473">
        <f t="shared" si="264"/>
        <v>18041</v>
      </c>
      <c r="D304" s="474">
        <f t="shared" si="264"/>
        <v>18489</v>
      </c>
      <c r="E304" s="475">
        <f t="shared" si="264"/>
        <v>8172</v>
      </c>
      <c r="F304" s="495">
        <f>SUM(F302,F303)</f>
        <v>1516</v>
      </c>
      <c r="G304" s="603">
        <f t="shared" ref="G304:AO304" si="278">SUM(G302,G303)</f>
        <v>1107</v>
      </c>
      <c r="H304" s="604">
        <f t="shared" si="278"/>
        <v>1797</v>
      </c>
      <c r="I304" s="497">
        <f t="shared" si="278"/>
        <v>1505</v>
      </c>
      <c r="J304" s="603">
        <f t="shared" si="278"/>
        <v>944</v>
      </c>
      <c r="K304" s="605">
        <f t="shared" si="278"/>
        <v>1093</v>
      </c>
      <c r="L304" s="495">
        <f t="shared" si="278"/>
        <v>1502</v>
      </c>
      <c r="M304" s="603">
        <f t="shared" si="278"/>
        <v>1343</v>
      </c>
      <c r="N304" s="604">
        <f t="shared" si="278"/>
        <v>1177</v>
      </c>
      <c r="O304" s="497">
        <f t="shared" si="278"/>
        <v>1502</v>
      </c>
      <c r="P304" s="603">
        <f t="shared" si="278"/>
        <v>1454</v>
      </c>
      <c r="Q304" s="605">
        <f t="shared" si="278"/>
        <v>1261</v>
      </c>
      <c r="R304" s="495">
        <f t="shared" si="278"/>
        <v>1502</v>
      </c>
      <c r="S304" s="603">
        <f t="shared" si="278"/>
        <v>1434</v>
      </c>
      <c r="T304" s="604">
        <f t="shared" si="278"/>
        <v>1377</v>
      </c>
      <c r="U304" s="497">
        <f t="shared" si="278"/>
        <v>1502</v>
      </c>
      <c r="V304" s="603">
        <f t="shared" si="278"/>
        <v>2195</v>
      </c>
      <c r="W304" s="605">
        <f t="shared" si="278"/>
        <v>1467</v>
      </c>
      <c r="X304" s="495">
        <f t="shared" si="278"/>
        <v>1502</v>
      </c>
      <c r="Y304" s="603">
        <f t="shared" si="278"/>
        <v>1656</v>
      </c>
      <c r="Z304" s="604">
        <f t="shared" si="278"/>
        <v>0</v>
      </c>
      <c r="AA304" s="497">
        <f t="shared" si="278"/>
        <v>1502</v>
      </c>
      <c r="AB304" s="603">
        <f t="shared" si="278"/>
        <v>1656</v>
      </c>
      <c r="AC304" s="605">
        <f t="shared" si="278"/>
        <v>0</v>
      </c>
      <c r="AD304" s="495">
        <f t="shared" si="278"/>
        <v>1502</v>
      </c>
      <c r="AE304" s="603">
        <f t="shared" si="278"/>
        <v>1718</v>
      </c>
      <c r="AF304" s="604">
        <f t="shared" si="278"/>
        <v>0</v>
      </c>
      <c r="AG304" s="497">
        <f t="shared" si="278"/>
        <v>1502</v>
      </c>
      <c r="AH304" s="603">
        <f t="shared" si="278"/>
        <v>1666</v>
      </c>
      <c r="AI304" s="605">
        <f t="shared" si="278"/>
        <v>0</v>
      </c>
      <c r="AJ304" s="495">
        <f t="shared" si="278"/>
        <v>1502</v>
      </c>
      <c r="AK304" s="603">
        <f t="shared" si="278"/>
        <v>1661</v>
      </c>
      <c r="AL304" s="604">
        <f t="shared" si="278"/>
        <v>0</v>
      </c>
      <c r="AM304" s="497">
        <f t="shared" si="278"/>
        <v>1502</v>
      </c>
      <c r="AN304" s="603">
        <f t="shared" si="278"/>
        <v>1655</v>
      </c>
      <c r="AO304" s="475">
        <f t="shared" si="278"/>
        <v>0</v>
      </c>
    </row>
    <row r="305" spans="1:42" x14ac:dyDescent="0.2">
      <c r="A305" s="466" t="s">
        <v>691</v>
      </c>
      <c r="B305" s="467" t="s">
        <v>692</v>
      </c>
      <c r="C305" s="468">
        <f t="shared" si="264"/>
        <v>3235</v>
      </c>
      <c r="D305" s="469">
        <f t="shared" si="264"/>
        <v>3899</v>
      </c>
      <c r="E305" s="470">
        <f t="shared" si="264"/>
        <v>1432</v>
      </c>
      <c r="F305" s="469">
        <v>130</v>
      </c>
      <c r="G305" s="598"/>
      <c r="H305" s="599"/>
      <c r="I305" s="549">
        <v>130</v>
      </c>
      <c r="J305" s="598">
        <v>50</v>
      </c>
      <c r="K305" s="600">
        <v>50</v>
      </c>
      <c r="L305" s="469">
        <f>500+130</f>
        <v>630</v>
      </c>
      <c r="M305" s="598">
        <v>90</v>
      </c>
      <c r="N305" s="599">
        <v>90</v>
      </c>
      <c r="O305" s="549">
        <v>130</v>
      </c>
      <c r="P305" s="598">
        <v>151</v>
      </c>
      <c r="Q305" s="600">
        <v>151</v>
      </c>
      <c r="R305" s="469">
        <f>235+130</f>
        <v>365</v>
      </c>
      <c r="S305" s="598">
        <v>123</v>
      </c>
      <c r="T305" s="599">
        <v>123</v>
      </c>
      <c r="U305" s="549">
        <v>130</v>
      </c>
      <c r="V305" s="598">
        <v>1018</v>
      </c>
      <c r="W305" s="600">
        <v>1018</v>
      </c>
      <c r="X305" s="469">
        <v>130</v>
      </c>
      <c r="Y305" s="598">
        <v>400</v>
      </c>
      <c r="Z305" s="599"/>
      <c r="AA305" s="549">
        <f>940+130</f>
        <v>1070</v>
      </c>
      <c r="AB305" s="598">
        <v>867</v>
      </c>
      <c r="AC305" s="600"/>
      <c r="AD305" s="469">
        <v>130</v>
      </c>
      <c r="AE305" s="598">
        <v>400</v>
      </c>
      <c r="AF305" s="599"/>
      <c r="AG305" s="549">
        <v>130</v>
      </c>
      <c r="AH305" s="598">
        <v>400</v>
      </c>
      <c r="AI305" s="600"/>
      <c r="AJ305" s="469">
        <v>130</v>
      </c>
      <c r="AK305" s="598">
        <v>400</v>
      </c>
      <c r="AL305" s="599"/>
      <c r="AM305" s="549">
        <v>130</v>
      </c>
      <c r="AN305" s="598"/>
      <c r="AO305" s="470"/>
    </row>
    <row r="306" spans="1:42" x14ac:dyDescent="0.2">
      <c r="A306" s="466" t="s">
        <v>693</v>
      </c>
      <c r="B306" s="467" t="s">
        <v>694</v>
      </c>
      <c r="C306" s="468">
        <f t="shared" si="264"/>
        <v>0</v>
      </c>
      <c r="D306" s="469">
        <f t="shared" si="264"/>
        <v>0</v>
      </c>
      <c r="E306" s="470">
        <f t="shared" si="264"/>
        <v>0</v>
      </c>
      <c r="F306" s="469"/>
      <c r="G306" s="598"/>
      <c r="H306" s="599"/>
      <c r="I306" s="549"/>
      <c r="J306" s="598"/>
      <c r="K306" s="600"/>
      <c r="L306" s="469"/>
      <c r="M306" s="598"/>
      <c r="N306" s="599"/>
      <c r="O306" s="549"/>
      <c r="P306" s="598"/>
      <c r="Q306" s="600"/>
      <c r="R306" s="469"/>
      <c r="S306" s="598"/>
      <c r="T306" s="599"/>
      <c r="U306" s="549"/>
      <c r="V306" s="598"/>
      <c r="W306" s="600"/>
      <c r="X306" s="469"/>
      <c r="Y306" s="598"/>
      <c r="Z306" s="599"/>
      <c r="AA306" s="549"/>
      <c r="AB306" s="598"/>
      <c r="AC306" s="600"/>
      <c r="AD306" s="469"/>
      <c r="AE306" s="598"/>
      <c r="AF306" s="599"/>
      <c r="AG306" s="549"/>
      <c r="AH306" s="598"/>
      <c r="AI306" s="600"/>
      <c r="AJ306" s="469"/>
      <c r="AK306" s="598"/>
      <c r="AL306" s="599"/>
      <c r="AM306" s="549"/>
      <c r="AN306" s="598"/>
      <c r="AO306" s="470"/>
    </row>
    <row r="307" spans="1:42" x14ac:dyDescent="0.2">
      <c r="A307" s="553" t="s">
        <v>695</v>
      </c>
      <c r="B307" s="554" t="s">
        <v>696</v>
      </c>
      <c r="C307" s="468">
        <f t="shared" si="264"/>
        <v>0</v>
      </c>
      <c r="D307" s="469">
        <f t="shared" si="264"/>
        <v>0</v>
      </c>
      <c r="E307" s="470">
        <f t="shared" si="264"/>
        <v>0</v>
      </c>
      <c r="F307" s="640"/>
      <c r="G307" s="598"/>
      <c r="H307" s="599"/>
      <c r="I307" s="641"/>
      <c r="J307" s="598"/>
      <c r="K307" s="600"/>
      <c r="L307" s="640"/>
      <c r="M307" s="598"/>
      <c r="N307" s="599"/>
      <c r="O307" s="641"/>
      <c r="P307" s="598"/>
      <c r="Q307" s="600"/>
      <c r="R307" s="640"/>
      <c r="S307" s="598"/>
      <c r="T307" s="599"/>
      <c r="U307" s="641"/>
      <c r="V307" s="598"/>
      <c r="W307" s="600"/>
      <c r="X307" s="640"/>
      <c r="Y307" s="598"/>
      <c r="Z307" s="599"/>
      <c r="AA307" s="641"/>
      <c r="AB307" s="598"/>
      <c r="AC307" s="600"/>
      <c r="AD307" s="640"/>
      <c r="AE307" s="598"/>
      <c r="AF307" s="599"/>
      <c r="AG307" s="641"/>
      <c r="AH307" s="598"/>
      <c r="AI307" s="600"/>
      <c r="AJ307" s="640"/>
      <c r="AK307" s="598"/>
      <c r="AL307" s="599"/>
      <c r="AM307" s="641"/>
      <c r="AN307" s="598"/>
      <c r="AO307" s="470"/>
    </row>
    <row r="308" spans="1:42" x14ac:dyDescent="0.2">
      <c r="A308" s="471" t="s">
        <v>667</v>
      </c>
      <c r="B308" s="472" t="s">
        <v>697</v>
      </c>
      <c r="C308" s="473">
        <f t="shared" si="264"/>
        <v>3235</v>
      </c>
      <c r="D308" s="474">
        <f t="shared" si="264"/>
        <v>3899</v>
      </c>
      <c r="E308" s="475">
        <f t="shared" si="264"/>
        <v>1432</v>
      </c>
      <c r="F308" s="474">
        <f>SUM(F305:F307)</f>
        <v>130</v>
      </c>
      <c r="G308" s="603">
        <f t="shared" ref="G308:AO308" si="279">SUM(G305:G307)</f>
        <v>0</v>
      </c>
      <c r="H308" s="604">
        <f t="shared" si="279"/>
        <v>0</v>
      </c>
      <c r="I308" s="477">
        <f t="shared" si="279"/>
        <v>130</v>
      </c>
      <c r="J308" s="603">
        <f t="shared" si="279"/>
        <v>50</v>
      </c>
      <c r="K308" s="605">
        <f t="shared" si="279"/>
        <v>50</v>
      </c>
      <c r="L308" s="474">
        <f t="shared" si="279"/>
        <v>630</v>
      </c>
      <c r="M308" s="603">
        <f t="shared" si="279"/>
        <v>90</v>
      </c>
      <c r="N308" s="604">
        <f t="shared" si="279"/>
        <v>90</v>
      </c>
      <c r="O308" s="477">
        <f t="shared" si="279"/>
        <v>130</v>
      </c>
      <c r="P308" s="603">
        <f t="shared" si="279"/>
        <v>151</v>
      </c>
      <c r="Q308" s="605">
        <f t="shared" si="279"/>
        <v>151</v>
      </c>
      <c r="R308" s="474">
        <f t="shared" si="279"/>
        <v>365</v>
      </c>
      <c r="S308" s="603">
        <f t="shared" si="279"/>
        <v>123</v>
      </c>
      <c r="T308" s="604">
        <f t="shared" si="279"/>
        <v>123</v>
      </c>
      <c r="U308" s="477">
        <f t="shared" si="279"/>
        <v>130</v>
      </c>
      <c r="V308" s="603">
        <f t="shared" si="279"/>
        <v>1018</v>
      </c>
      <c r="W308" s="605">
        <f t="shared" si="279"/>
        <v>1018</v>
      </c>
      <c r="X308" s="474">
        <f t="shared" si="279"/>
        <v>130</v>
      </c>
      <c r="Y308" s="603">
        <f t="shared" si="279"/>
        <v>400</v>
      </c>
      <c r="Z308" s="604">
        <f t="shared" si="279"/>
        <v>0</v>
      </c>
      <c r="AA308" s="477">
        <f t="shared" si="279"/>
        <v>1070</v>
      </c>
      <c r="AB308" s="603">
        <f t="shared" si="279"/>
        <v>867</v>
      </c>
      <c r="AC308" s="605">
        <f t="shared" si="279"/>
        <v>0</v>
      </c>
      <c r="AD308" s="474">
        <f t="shared" si="279"/>
        <v>130</v>
      </c>
      <c r="AE308" s="603">
        <f t="shared" si="279"/>
        <v>400</v>
      </c>
      <c r="AF308" s="604">
        <f t="shared" si="279"/>
        <v>0</v>
      </c>
      <c r="AG308" s="477">
        <f t="shared" si="279"/>
        <v>130</v>
      </c>
      <c r="AH308" s="603">
        <f t="shared" si="279"/>
        <v>400</v>
      </c>
      <c r="AI308" s="605">
        <f t="shared" si="279"/>
        <v>0</v>
      </c>
      <c r="AJ308" s="474">
        <f t="shared" si="279"/>
        <v>130</v>
      </c>
      <c r="AK308" s="603">
        <f t="shared" si="279"/>
        <v>400</v>
      </c>
      <c r="AL308" s="604">
        <f t="shared" si="279"/>
        <v>0</v>
      </c>
      <c r="AM308" s="477">
        <f t="shared" si="279"/>
        <v>130</v>
      </c>
      <c r="AN308" s="603">
        <f t="shared" si="279"/>
        <v>0</v>
      </c>
      <c r="AO308" s="475">
        <f t="shared" si="279"/>
        <v>0</v>
      </c>
    </row>
    <row r="309" spans="1:42" x14ac:dyDescent="0.2">
      <c r="A309" s="505" t="s">
        <v>698</v>
      </c>
      <c r="B309" s="506" t="s">
        <v>699</v>
      </c>
      <c r="C309" s="473">
        <f t="shared" si="264"/>
        <v>0</v>
      </c>
      <c r="D309" s="474">
        <f t="shared" si="264"/>
        <v>0</v>
      </c>
      <c r="E309" s="475">
        <f t="shared" si="264"/>
        <v>0</v>
      </c>
      <c r="F309" s="642"/>
      <c r="G309" s="603"/>
      <c r="H309" s="604"/>
      <c r="I309" s="643"/>
      <c r="J309" s="603"/>
      <c r="K309" s="605"/>
      <c r="L309" s="644"/>
      <c r="M309" s="603"/>
      <c r="N309" s="604"/>
      <c r="O309" s="643"/>
      <c r="P309" s="603"/>
      <c r="Q309" s="605"/>
      <c r="R309" s="644"/>
      <c r="S309" s="603"/>
      <c r="T309" s="604"/>
      <c r="U309" s="643"/>
      <c r="V309" s="603"/>
      <c r="W309" s="605"/>
      <c r="X309" s="644"/>
      <c r="Y309" s="603"/>
      <c r="Z309" s="604"/>
      <c r="AA309" s="643"/>
      <c r="AB309" s="603"/>
      <c r="AC309" s="605"/>
      <c r="AD309" s="644"/>
      <c r="AE309" s="603"/>
      <c r="AF309" s="604"/>
      <c r="AG309" s="643"/>
      <c r="AH309" s="603"/>
      <c r="AI309" s="605"/>
      <c r="AJ309" s="644"/>
      <c r="AK309" s="603"/>
      <c r="AL309" s="604"/>
      <c r="AM309" s="643"/>
      <c r="AN309" s="603"/>
      <c r="AO309" s="475"/>
    </row>
    <row r="310" spans="1:42" x14ac:dyDescent="0.2">
      <c r="A310" s="471" t="s">
        <v>700</v>
      </c>
      <c r="B310" s="472" t="s">
        <v>689</v>
      </c>
      <c r="C310" s="473">
        <f t="shared" si="264"/>
        <v>0</v>
      </c>
      <c r="D310" s="474">
        <f t="shared" si="264"/>
        <v>0</v>
      </c>
      <c r="E310" s="475">
        <f t="shared" si="264"/>
        <v>0</v>
      </c>
      <c r="F310" s="474"/>
      <c r="G310" s="603">
        <v>0</v>
      </c>
      <c r="H310" s="604">
        <v>0</v>
      </c>
      <c r="I310" s="477"/>
      <c r="J310" s="603">
        <v>0</v>
      </c>
      <c r="K310" s="605">
        <v>0</v>
      </c>
      <c r="L310" s="474"/>
      <c r="M310" s="603">
        <v>0</v>
      </c>
      <c r="N310" s="604">
        <v>0</v>
      </c>
      <c r="O310" s="477"/>
      <c r="P310" s="603">
        <v>0</v>
      </c>
      <c r="Q310" s="605">
        <v>0</v>
      </c>
      <c r="R310" s="474"/>
      <c r="S310" s="603">
        <v>0</v>
      </c>
      <c r="T310" s="604">
        <v>0</v>
      </c>
      <c r="U310" s="477"/>
      <c r="V310" s="603">
        <v>0</v>
      </c>
      <c r="W310" s="605">
        <v>0</v>
      </c>
      <c r="X310" s="474"/>
      <c r="Y310" s="603">
        <v>0</v>
      </c>
      <c r="Z310" s="604">
        <v>0</v>
      </c>
      <c r="AA310" s="477"/>
      <c r="AB310" s="603">
        <v>0</v>
      </c>
      <c r="AC310" s="605">
        <v>0</v>
      </c>
      <c r="AD310" s="474"/>
      <c r="AE310" s="603">
        <v>0</v>
      </c>
      <c r="AF310" s="604">
        <v>0</v>
      </c>
      <c r="AG310" s="477"/>
      <c r="AH310" s="603">
        <v>0</v>
      </c>
      <c r="AI310" s="605">
        <v>0</v>
      </c>
      <c r="AJ310" s="474"/>
      <c r="AK310" s="603">
        <v>0</v>
      </c>
      <c r="AL310" s="604">
        <v>0</v>
      </c>
      <c r="AM310" s="477"/>
      <c r="AN310" s="603">
        <v>0</v>
      </c>
      <c r="AO310" s="475">
        <v>0</v>
      </c>
    </row>
    <row r="311" spans="1:42" ht="15" thickBot="1" x14ac:dyDescent="0.25">
      <c r="A311" s="555" t="s">
        <v>672</v>
      </c>
      <c r="B311" s="556" t="s">
        <v>701</v>
      </c>
      <c r="C311" s="557">
        <f t="shared" si="264"/>
        <v>3235</v>
      </c>
      <c r="D311" s="510">
        <f t="shared" si="264"/>
        <v>3899</v>
      </c>
      <c r="E311" s="558">
        <f t="shared" si="264"/>
        <v>1432</v>
      </c>
      <c r="F311" s="510">
        <f>SUM(F308,F309,F310)</f>
        <v>130</v>
      </c>
      <c r="G311" s="610">
        <f t="shared" ref="G311:AO311" si="280">SUM(G308,G309,G310)</f>
        <v>0</v>
      </c>
      <c r="H311" s="611">
        <f t="shared" si="280"/>
        <v>0</v>
      </c>
      <c r="I311" s="512">
        <f t="shared" si="280"/>
        <v>130</v>
      </c>
      <c r="J311" s="610">
        <f t="shared" si="280"/>
        <v>50</v>
      </c>
      <c r="K311" s="612">
        <f t="shared" si="280"/>
        <v>50</v>
      </c>
      <c r="L311" s="510">
        <f t="shared" si="280"/>
        <v>630</v>
      </c>
      <c r="M311" s="610">
        <f t="shared" si="280"/>
        <v>90</v>
      </c>
      <c r="N311" s="611">
        <f t="shared" si="280"/>
        <v>90</v>
      </c>
      <c r="O311" s="512">
        <f t="shared" si="280"/>
        <v>130</v>
      </c>
      <c r="P311" s="610">
        <f t="shared" si="280"/>
        <v>151</v>
      </c>
      <c r="Q311" s="612">
        <f t="shared" si="280"/>
        <v>151</v>
      </c>
      <c r="R311" s="510">
        <f t="shared" si="280"/>
        <v>365</v>
      </c>
      <c r="S311" s="610">
        <f t="shared" si="280"/>
        <v>123</v>
      </c>
      <c r="T311" s="611">
        <f t="shared" si="280"/>
        <v>123</v>
      </c>
      <c r="U311" s="512">
        <f t="shared" si="280"/>
        <v>130</v>
      </c>
      <c r="V311" s="610">
        <f t="shared" si="280"/>
        <v>1018</v>
      </c>
      <c r="W311" s="612">
        <f t="shared" si="280"/>
        <v>1018</v>
      </c>
      <c r="X311" s="510">
        <f t="shared" si="280"/>
        <v>130</v>
      </c>
      <c r="Y311" s="610">
        <f t="shared" si="280"/>
        <v>400</v>
      </c>
      <c r="Z311" s="611">
        <f t="shared" si="280"/>
        <v>0</v>
      </c>
      <c r="AA311" s="512">
        <f t="shared" si="280"/>
        <v>1070</v>
      </c>
      <c r="AB311" s="610">
        <f t="shared" si="280"/>
        <v>867</v>
      </c>
      <c r="AC311" s="612">
        <f t="shared" si="280"/>
        <v>0</v>
      </c>
      <c r="AD311" s="510">
        <f t="shared" si="280"/>
        <v>130</v>
      </c>
      <c r="AE311" s="610">
        <f t="shared" si="280"/>
        <v>400</v>
      </c>
      <c r="AF311" s="611">
        <f t="shared" si="280"/>
        <v>0</v>
      </c>
      <c r="AG311" s="512">
        <f t="shared" si="280"/>
        <v>130</v>
      </c>
      <c r="AH311" s="610">
        <f t="shared" si="280"/>
        <v>400</v>
      </c>
      <c r="AI311" s="612">
        <f t="shared" si="280"/>
        <v>0</v>
      </c>
      <c r="AJ311" s="510">
        <f t="shared" si="280"/>
        <v>130</v>
      </c>
      <c r="AK311" s="610">
        <f t="shared" si="280"/>
        <v>400</v>
      </c>
      <c r="AL311" s="611">
        <f t="shared" si="280"/>
        <v>0</v>
      </c>
      <c r="AM311" s="512">
        <f t="shared" si="280"/>
        <v>130</v>
      </c>
      <c r="AN311" s="610">
        <f t="shared" si="280"/>
        <v>0</v>
      </c>
      <c r="AO311" s="509">
        <f t="shared" si="280"/>
        <v>0</v>
      </c>
    </row>
    <row r="312" spans="1:42" ht="15" thickBot="1" x14ac:dyDescent="0.25">
      <c r="A312" s="560" t="s">
        <v>702</v>
      </c>
      <c r="B312" s="561" t="s">
        <v>703</v>
      </c>
      <c r="C312" s="645">
        <f>SUM(F312,I312,L312,O312,R312,U312,X312,AA312,AD312,AG312,AJ312,AM312)</f>
        <v>21276</v>
      </c>
      <c r="D312" s="646">
        <f t="shared" ref="D312:E315" si="281">SUM(G312,J312,M312,P312,S312,V312,Y312,AB312,AE312,AH312,AK312,AN312)</f>
        <v>22388</v>
      </c>
      <c r="E312" s="574">
        <f t="shared" si="281"/>
        <v>9604</v>
      </c>
      <c r="F312" s="564">
        <f>SUM(F304,F311)</f>
        <v>1646</v>
      </c>
      <c r="G312" s="564">
        <f t="shared" ref="G312:AO312" si="282">SUM(G304,G311)</f>
        <v>1107</v>
      </c>
      <c r="H312" s="565">
        <f t="shared" si="282"/>
        <v>1797</v>
      </c>
      <c r="I312" s="566">
        <f t="shared" si="282"/>
        <v>1635</v>
      </c>
      <c r="J312" s="564">
        <f t="shared" si="282"/>
        <v>994</v>
      </c>
      <c r="K312" s="567">
        <f t="shared" si="282"/>
        <v>1143</v>
      </c>
      <c r="L312" s="564">
        <f t="shared" si="282"/>
        <v>2132</v>
      </c>
      <c r="M312" s="564">
        <f t="shared" si="282"/>
        <v>1433</v>
      </c>
      <c r="N312" s="565">
        <f t="shared" si="282"/>
        <v>1267</v>
      </c>
      <c r="O312" s="566">
        <f t="shared" si="282"/>
        <v>1632</v>
      </c>
      <c r="P312" s="564">
        <f t="shared" si="282"/>
        <v>1605</v>
      </c>
      <c r="Q312" s="567">
        <f t="shared" si="282"/>
        <v>1412</v>
      </c>
      <c r="R312" s="564">
        <f t="shared" si="282"/>
        <v>1867</v>
      </c>
      <c r="S312" s="564">
        <f t="shared" si="282"/>
        <v>1557</v>
      </c>
      <c r="T312" s="565">
        <f t="shared" si="282"/>
        <v>1500</v>
      </c>
      <c r="U312" s="566">
        <f t="shared" si="282"/>
        <v>1632</v>
      </c>
      <c r="V312" s="564">
        <f t="shared" si="282"/>
        <v>3213</v>
      </c>
      <c r="W312" s="567">
        <f t="shared" si="282"/>
        <v>2485</v>
      </c>
      <c r="X312" s="564">
        <f t="shared" si="282"/>
        <v>1632</v>
      </c>
      <c r="Y312" s="564">
        <f t="shared" si="282"/>
        <v>2056</v>
      </c>
      <c r="Z312" s="565">
        <f t="shared" si="282"/>
        <v>0</v>
      </c>
      <c r="AA312" s="566">
        <f t="shared" si="282"/>
        <v>2572</v>
      </c>
      <c r="AB312" s="564">
        <f t="shared" si="282"/>
        <v>2523</v>
      </c>
      <c r="AC312" s="567">
        <f t="shared" si="282"/>
        <v>0</v>
      </c>
      <c r="AD312" s="564">
        <f t="shared" si="282"/>
        <v>1632</v>
      </c>
      <c r="AE312" s="564">
        <f t="shared" si="282"/>
        <v>2118</v>
      </c>
      <c r="AF312" s="565">
        <f t="shared" si="282"/>
        <v>0</v>
      </c>
      <c r="AG312" s="566">
        <f t="shared" si="282"/>
        <v>1632</v>
      </c>
      <c r="AH312" s="564">
        <f t="shared" si="282"/>
        <v>2066</v>
      </c>
      <c r="AI312" s="567">
        <f t="shared" si="282"/>
        <v>0</v>
      </c>
      <c r="AJ312" s="564">
        <f t="shared" si="282"/>
        <v>1632</v>
      </c>
      <c r="AK312" s="564">
        <f t="shared" si="282"/>
        <v>2061</v>
      </c>
      <c r="AL312" s="565">
        <f t="shared" si="282"/>
        <v>0</v>
      </c>
      <c r="AM312" s="566">
        <f t="shared" si="282"/>
        <v>1632</v>
      </c>
      <c r="AN312" s="647">
        <f t="shared" si="282"/>
        <v>1655</v>
      </c>
      <c r="AO312" s="590">
        <f t="shared" si="282"/>
        <v>0</v>
      </c>
    </row>
    <row r="313" spans="1:42" ht="15" thickBot="1" x14ac:dyDescent="0.25">
      <c r="A313" s="569"/>
      <c r="B313" s="570" t="s">
        <v>1334</v>
      </c>
      <c r="C313" s="571"/>
      <c r="D313" s="572"/>
      <c r="E313" s="573">
        <f t="shared" si="281"/>
        <v>0</v>
      </c>
      <c r="F313" s="571"/>
      <c r="G313" s="572"/>
      <c r="H313" s="627"/>
      <c r="I313" s="531"/>
      <c r="J313" s="572"/>
      <c r="K313" s="628"/>
      <c r="L313" s="530"/>
      <c r="M313" s="572"/>
      <c r="N313" s="627"/>
      <c r="O313" s="531"/>
      <c r="P313" s="572"/>
      <c r="Q313" s="628"/>
      <c r="R313" s="530"/>
      <c r="S313" s="572"/>
      <c r="T313" s="627"/>
      <c r="U313" s="531"/>
      <c r="V313" s="572"/>
      <c r="W313" s="628"/>
      <c r="X313" s="530"/>
      <c r="Y313" s="572"/>
      <c r="Z313" s="627"/>
      <c r="AA313" s="531"/>
      <c r="AB313" s="572"/>
      <c r="AC313" s="628"/>
      <c r="AD313" s="530"/>
      <c r="AE313" s="572"/>
      <c r="AF313" s="627"/>
      <c r="AG313" s="531"/>
      <c r="AH313" s="572"/>
      <c r="AI313" s="628"/>
      <c r="AJ313" s="530"/>
      <c r="AK313" s="572"/>
      <c r="AL313" s="627"/>
      <c r="AM313" s="531"/>
      <c r="AN313" s="572"/>
      <c r="AO313" s="573"/>
    </row>
    <row r="314" spans="1:42" ht="15" thickBot="1" x14ac:dyDescent="0.25">
      <c r="A314" s="575"/>
      <c r="B314" s="576" t="s">
        <v>1335</v>
      </c>
      <c r="C314" s="528"/>
      <c r="D314" s="577"/>
      <c r="E314" s="563">
        <f t="shared" si="281"/>
        <v>9604</v>
      </c>
      <c r="F314" s="528"/>
      <c r="G314" s="577"/>
      <c r="H314" s="578">
        <f>SUM(H312:H313)</f>
        <v>1797</v>
      </c>
      <c r="I314" s="579"/>
      <c r="J314" s="577"/>
      <c r="K314" s="580">
        <f>SUM(K312:K313)</f>
        <v>1143</v>
      </c>
      <c r="L314" s="529"/>
      <c r="M314" s="577"/>
      <c r="N314" s="578">
        <f>SUM(N312:N313)</f>
        <v>1267</v>
      </c>
      <c r="O314" s="579"/>
      <c r="P314" s="577"/>
      <c r="Q314" s="580">
        <f>SUM(Q312:Q313)</f>
        <v>1412</v>
      </c>
      <c r="R314" s="529"/>
      <c r="S314" s="577"/>
      <c r="T314" s="578">
        <f>SUM(T312:T313)</f>
        <v>1500</v>
      </c>
      <c r="U314" s="579"/>
      <c r="V314" s="577"/>
      <c r="W314" s="580">
        <f>SUM(W312:W313)</f>
        <v>2485</v>
      </c>
      <c r="X314" s="529"/>
      <c r="Y314" s="577"/>
      <c r="Z314" s="578">
        <f>SUM(Z312:Z313)</f>
        <v>0</v>
      </c>
      <c r="AA314" s="579"/>
      <c r="AB314" s="577"/>
      <c r="AC314" s="580">
        <f>SUM(AC312:AC313)</f>
        <v>0</v>
      </c>
      <c r="AD314" s="529"/>
      <c r="AE314" s="577"/>
      <c r="AF314" s="578">
        <f>SUM(AF312:AF313)</f>
        <v>0</v>
      </c>
      <c r="AG314" s="579"/>
      <c r="AH314" s="577"/>
      <c r="AI314" s="580">
        <f>SUM(AI312:AI313)</f>
        <v>0</v>
      </c>
      <c r="AJ314" s="529"/>
      <c r="AK314" s="577"/>
      <c r="AL314" s="578">
        <f>SUM(AL312:AL313)</f>
        <v>0</v>
      </c>
      <c r="AM314" s="579"/>
      <c r="AN314" s="577"/>
      <c r="AO314" s="563">
        <f>SUM(AO312:AO313)</f>
        <v>0</v>
      </c>
    </row>
    <row r="315" spans="1:42" s="525" customFormat="1" ht="15" customHeight="1" thickBot="1" x14ac:dyDescent="0.25">
      <c r="A315" s="581"/>
      <c r="B315" s="582" t="s">
        <v>1336</v>
      </c>
      <c r="C315" s="583"/>
      <c r="D315" s="584"/>
      <c r="E315" s="563">
        <f t="shared" si="281"/>
        <v>1041</v>
      </c>
      <c r="F315" s="583"/>
      <c r="G315" s="584"/>
      <c r="H315" s="585">
        <f>SUM(H293-H314)</f>
        <v>-424</v>
      </c>
      <c r="I315" s="586"/>
      <c r="J315" s="584"/>
      <c r="K315" s="587">
        <f>SUM(K293-K314)</f>
        <v>-149</v>
      </c>
      <c r="L315" s="588"/>
      <c r="M315" s="584"/>
      <c r="N315" s="585">
        <f>SUM(N293-N314)</f>
        <v>166</v>
      </c>
      <c r="O315" s="586"/>
      <c r="P315" s="584"/>
      <c r="Q315" s="587">
        <f>SUM(Q293-Q314)</f>
        <v>193</v>
      </c>
      <c r="R315" s="588"/>
      <c r="S315" s="584"/>
      <c r="T315" s="585">
        <f>SUM(T293-T314)</f>
        <v>57</v>
      </c>
      <c r="U315" s="586"/>
      <c r="V315" s="584"/>
      <c r="W315" s="587">
        <f>SUM(W293-W314)</f>
        <v>1198</v>
      </c>
      <c r="X315" s="588"/>
      <c r="Y315" s="584"/>
      <c r="Z315" s="585">
        <f>SUM(Z293-Z314)</f>
        <v>0</v>
      </c>
      <c r="AA315" s="586"/>
      <c r="AB315" s="584"/>
      <c r="AC315" s="587">
        <f>SUM(AC293-AC314)</f>
        <v>0</v>
      </c>
      <c r="AD315" s="588"/>
      <c r="AE315" s="584"/>
      <c r="AF315" s="585">
        <f>SUM(AF293-AF314)</f>
        <v>0</v>
      </c>
      <c r="AG315" s="586"/>
      <c r="AH315" s="584"/>
      <c r="AI315" s="587">
        <f>SUM(AI293-AI314)</f>
        <v>0</v>
      </c>
      <c r="AJ315" s="588"/>
      <c r="AK315" s="584"/>
      <c r="AL315" s="585">
        <f>SUM(AL293-AL314)</f>
        <v>0</v>
      </c>
      <c r="AM315" s="586"/>
      <c r="AN315" s="589"/>
      <c r="AO315" s="590">
        <f>SUM(AO293-AO314)</f>
        <v>0</v>
      </c>
      <c r="AP315" s="479"/>
    </row>
    <row r="316" spans="1:42" ht="9" customHeight="1" x14ac:dyDescent="0.2"/>
    <row r="317" spans="1:42" s="444" customFormat="1" ht="12.75" x14ac:dyDescent="0.2">
      <c r="A317" s="1057" t="s">
        <v>429</v>
      </c>
      <c r="B317" s="1057"/>
      <c r="C317" s="1057"/>
      <c r="D317" s="1057"/>
      <c r="E317" s="1057"/>
      <c r="F317" s="1057"/>
      <c r="G317" s="1057"/>
      <c r="H317" s="1057"/>
      <c r="I317" s="1057"/>
      <c r="J317" s="1058" t="s">
        <v>630</v>
      </c>
      <c r="K317" s="1058"/>
      <c r="L317" s="1058"/>
      <c r="M317" s="1058"/>
      <c r="N317" s="1058"/>
      <c r="O317" s="1058"/>
      <c r="P317" s="1058"/>
      <c r="Q317" s="1058"/>
      <c r="R317" s="1058"/>
      <c r="S317" s="1058"/>
      <c r="T317" s="1058"/>
      <c r="U317" s="1058"/>
      <c r="V317" s="1058"/>
      <c r="W317" s="1058"/>
      <c r="X317" s="1058"/>
      <c r="Y317" s="1058"/>
      <c r="Z317" s="1058"/>
      <c r="AA317" s="1058"/>
      <c r="AB317" s="1058"/>
      <c r="AC317" s="1058"/>
      <c r="AD317" s="441"/>
      <c r="AE317" s="441"/>
      <c r="AF317" s="441"/>
      <c r="AG317" s="441"/>
      <c r="AH317" s="441"/>
      <c r="AI317" s="441"/>
      <c r="AJ317" s="441"/>
      <c r="AK317" s="441"/>
      <c r="AL317" s="441"/>
      <c r="AM317" s="441"/>
      <c r="AN317" s="442"/>
      <c r="AO317" s="443" t="s">
        <v>714</v>
      </c>
      <c r="AP317" s="442"/>
    </row>
    <row r="318" spans="1:42" ht="11.25" customHeight="1" thickBot="1" x14ac:dyDescent="0.25">
      <c r="A318" s="445"/>
      <c r="B318" s="445"/>
      <c r="C318" s="445"/>
      <c r="D318" s="445"/>
      <c r="E318" s="445"/>
      <c r="F318" s="445"/>
      <c r="G318" s="445"/>
      <c r="H318" s="445"/>
      <c r="I318" s="445"/>
      <c r="J318" s="445"/>
      <c r="K318" s="445"/>
      <c r="L318" s="445"/>
      <c r="M318" s="445"/>
      <c r="N318" s="445"/>
      <c r="O318" s="445"/>
      <c r="P318" s="445"/>
      <c r="Q318" s="445"/>
      <c r="R318" s="445"/>
      <c r="S318" s="445"/>
      <c r="T318" s="445"/>
      <c r="U318" s="445"/>
      <c r="V318" s="445"/>
      <c r="W318" s="445"/>
      <c r="X318" s="445"/>
      <c r="Y318" s="445"/>
      <c r="Z318" s="445"/>
      <c r="AA318" s="445"/>
      <c r="AB318" s="445"/>
      <c r="AC318" s="445"/>
      <c r="AD318" s="445"/>
      <c r="AE318" s="445"/>
      <c r="AF318" s="445"/>
      <c r="AG318" s="445"/>
      <c r="AH318" s="445"/>
      <c r="AI318" s="445"/>
      <c r="AJ318" s="445"/>
      <c r="AK318" s="445"/>
      <c r="AL318" s="445"/>
      <c r="AM318" s="445"/>
      <c r="AO318" s="447" t="s">
        <v>1338</v>
      </c>
    </row>
    <row r="319" spans="1:42" x14ac:dyDescent="0.2">
      <c r="A319" s="1046"/>
      <c r="B319" s="1048" t="s">
        <v>632</v>
      </c>
      <c r="C319" s="1050" t="s">
        <v>633</v>
      </c>
      <c r="D319" s="1052" t="s">
        <v>1326</v>
      </c>
      <c r="E319" s="1054" t="s">
        <v>1327</v>
      </c>
      <c r="F319" s="1044" t="s">
        <v>634</v>
      </c>
      <c r="G319" s="1044"/>
      <c r="H319" s="1044"/>
      <c r="I319" s="1043" t="s">
        <v>635</v>
      </c>
      <c r="J319" s="1044"/>
      <c r="K319" s="1045"/>
      <c r="L319" s="1044" t="s">
        <v>636</v>
      </c>
      <c r="M319" s="1044"/>
      <c r="N319" s="1044"/>
      <c r="O319" s="1043" t="s">
        <v>637</v>
      </c>
      <c r="P319" s="1044"/>
      <c r="Q319" s="1045"/>
      <c r="R319" s="1044" t="s">
        <v>638</v>
      </c>
      <c r="S319" s="1044"/>
      <c r="T319" s="1044"/>
      <c r="U319" s="1043" t="s">
        <v>639</v>
      </c>
      <c r="V319" s="1044"/>
      <c r="W319" s="1045"/>
      <c r="X319" s="1044" t="s">
        <v>640</v>
      </c>
      <c r="Y319" s="1044"/>
      <c r="Z319" s="1044"/>
      <c r="AA319" s="1043" t="s">
        <v>641</v>
      </c>
      <c r="AB319" s="1044"/>
      <c r="AC319" s="1045"/>
      <c r="AD319" s="1044" t="s">
        <v>642</v>
      </c>
      <c r="AE319" s="1044"/>
      <c r="AF319" s="1044"/>
      <c r="AG319" s="1043" t="s">
        <v>643</v>
      </c>
      <c r="AH319" s="1044"/>
      <c r="AI319" s="1045"/>
      <c r="AJ319" s="1044" t="s">
        <v>644</v>
      </c>
      <c r="AK319" s="1044"/>
      <c r="AL319" s="1044"/>
      <c r="AM319" s="1043" t="s">
        <v>645</v>
      </c>
      <c r="AN319" s="1044"/>
      <c r="AO319" s="1056"/>
    </row>
    <row r="320" spans="1:42" x14ac:dyDescent="0.2">
      <c r="A320" s="1047"/>
      <c r="B320" s="1049"/>
      <c r="C320" s="1051"/>
      <c r="D320" s="1053"/>
      <c r="E320" s="1055"/>
      <c r="F320" s="450" t="s">
        <v>1328</v>
      </c>
      <c r="G320" s="451" t="s">
        <v>1329</v>
      </c>
      <c r="H320" s="452" t="s">
        <v>1330</v>
      </c>
      <c r="I320" s="453" t="s">
        <v>1328</v>
      </c>
      <c r="J320" s="451" t="s">
        <v>1329</v>
      </c>
      <c r="K320" s="454" t="s">
        <v>1330</v>
      </c>
      <c r="L320" s="455" t="s">
        <v>1328</v>
      </c>
      <c r="M320" s="451" t="s">
        <v>1329</v>
      </c>
      <c r="N320" s="452" t="s">
        <v>1330</v>
      </c>
      <c r="O320" s="453" t="s">
        <v>1328</v>
      </c>
      <c r="P320" s="451" t="s">
        <v>1329</v>
      </c>
      <c r="Q320" s="454" t="s">
        <v>1330</v>
      </c>
      <c r="R320" s="455" t="s">
        <v>1328</v>
      </c>
      <c r="S320" s="451" t="s">
        <v>1329</v>
      </c>
      <c r="T320" s="452" t="s">
        <v>1330</v>
      </c>
      <c r="U320" s="453" t="s">
        <v>1328</v>
      </c>
      <c r="V320" s="451" t="s">
        <v>1329</v>
      </c>
      <c r="W320" s="454" t="s">
        <v>1330</v>
      </c>
      <c r="X320" s="455" t="s">
        <v>1328</v>
      </c>
      <c r="Y320" s="451" t="s">
        <v>1329</v>
      </c>
      <c r="Z320" s="452" t="s">
        <v>1330</v>
      </c>
      <c r="AA320" s="453" t="s">
        <v>1328</v>
      </c>
      <c r="AB320" s="451" t="s">
        <v>1329</v>
      </c>
      <c r="AC320" s="454" t="s">
        <v>1330</v>
      </c>
      <c r="AD320" s="455" t="s">
        <v>1328</v>
      </c>
      <c r="AE320" s="451" t="s">
        <v>1329</v>
      </c>
      <c r="AF320" s="452" t="s">
        <v>1330</v>
      </c>
      <c r="AG320" s="453" t="s">
        <v>1328</v>
      </c>
      <c r="AH320" s="451" t="s">
        <v>1329</v>
      </c>
      <c r="AI320" s="454" t="s">
        <v>1330</v>
      </c>
      <c r="AJ320" s="455" t="s">
        <v>1328</v>
      </c>
      <c r="AK320" s="451" t="s">
        <v>1329</v>
      </c>
      <c r="AL320" s="452" t="s">
        <v>1330</v>
      </c>
      <c r="AM320" s="453" t="s">
        <v>1328</v>
      </c>
      <c r="AN320" s="451" t="s">
        <v>1329</v>
      </c>
      <c r="AO320" s="456" t="s">
        <v>1330</v>
      </c>
    </row>
    <row r="321" spans="1:42" x14ac:dyDescent="0.2">
      <c r="A321" s="466" t="s">
        <v>646</v>
      </c>
      <c r="B321" s="467" t="s">
        <v>647</v>
      </c>
      <c r="C321" s="591">
        <f>SUM(F321,I321,L321,O321,R321,U321,X321,AA321,AD321,AG321,AJ321,AM321)</f>
        <v>850</v>
      </c>
      <c r="D321" s="543">
        <f t="shared" ref="D321:E336" si="283">SUM(G321,J321,M321,P321,S321,V321,Y321,AB321,AE321,AH321,AK321,AN321)</f>
        <v>850</v>
      </c>
      <c r="E321" s="465">
        <f t="shared" si="283"/>
        <v>200</v>
      </c>
      <c r="F321" s="469">
        <v>100</v>
      </c>
      <c r="G321" s="592"/>
      <c r="H321" s="593"/>
      <c r="I321" s="549">
        <v>100</v>
      </c>
      <c r="J321" s="592"/>
      <c r="K321" s="595"/>
      <c r="L321" s="469">
        <v>100</v>
      </c>
      <c r="M321" s="592"/>
      <c r="N321" s="593"/>
      <c r="O321" s="549">
        <v>100</v>
      </c>
      <c r="P321" s="592">
        <v>200</v>
      </c>
      <c r="Q321" s="595">
        <v>200</v>
      </c>
      <c r="R321" s="469">
        <v>100</v>
      </c>
      <c r="S321" s="592"/>
      <c r="T321" s="593"/>
      <c r="U321" s="549">
        <v>100</v>
      </c>
      <c r="V321" s="592"/>
      <c r="W321" s="595"/>
      <c r="X321" s="469">
        <v>100</v>
      </c>
      <c r="Y321" s="592"/>
      <c r="Z321" s="593"/>
      <c r="AA321" s="549">
        <v>100</v>
      </c>
      <c r="AB321" s="592">
        <v>200</v>
      </c>
      <c r="AC321" s="595"/>
      <c r="AD321" s="469">
        <v>50</v>
      </c>
      <c r="AE321" s="592">
        <v>200</v>
      </c>
      <c r="AF321" s="593"/>
      <c r="AG321" s="549"/>
      <c r="AH321" s="592">
        <v>200</v>
      </c>
      <c r="AI321" s="595"/>
      <c r="AJ321" s="469"/>
      <c r="AK321" s="592">
        <v>50</v>
      </c>
      <c r="AL321" s="593"/>
      <c r="AM321" s="549"/>
      <c r="AN321" s="592"/>
      <c r="AO321" s="465"/>
    </row>
    <row r="322" spans="1:42" x14ac:dyDescent="0.2">
      <c r="A322" s="466" t="s">
        <v>650</v>
      </c>
      <c r="B322" s="467" t="s">
        <v>649</v>
      </c>
      <c r="C322" s="468">
        <f t="shared" ref="C322:C326" si="284">SUM(F322,I322,L322,O322,R322,U322,X322,AA322,AD322,AG322,AJ322,AM322)</f>
        <v>0</v>
      </c>
      <c r="D322" s="469">
        <f t="shared" si="283"/>
        <v>0</v>
      </c>
      <c r="E322" s="470">
        <f t="shared" si="283"/>
        <v>0</v>
      </c>
      <c r="F322" s="469"/>
      <c r="G322" s="598"/>
      <c r="H322" s="599"/>
      <c r="I322" s="549"/>
      <c r="J322" s="598"/>
      <c r="K322" s="600"/>
      <c r="L322" s="469"/>
      <c r="M322" s="598"/>
      <c r="N322" s="599"/>
      <c r="O322" s="549"/>
      <c r="P322" s="598"/>
      <c r="Q322" s="600"/>
      <c r="R322" s="469"/>
      <c r="S322" s="598"/>
      <c r="T322" s="599"/>
      <c r="U322" s="549"/>
      <c r="V322" s="598"/>
      <c r="W322" s="600"/>
      <c r="X322" s="469"/>
      <c r="Y322" s="598"/>
      <c r="Z322" s="599"/>
      <c r="AA322" s="549"/>
      <c r="AB322" s="598"/>
      <c r="AC322" s="600"/>
      <c r="AD322" s="469"/>
      <c r="AE322" s="598"/>
      <c r="AF322" s="599"/>
      <c r="AG322" s="549"/>
      <c r="AH322" s="598"/>
      <c r="AI322" s="600"/>
      <c r="AJ322" s="469"/>
      <c r="AK322" s="598"/>
      <c r="AL322" s="599"/>
      <c r="AM322" s="549"/>
      <c r="AN322" s="598"/>
      <c r="AO322" s="470"/>
    </row>
    <row r="323" spans="1:42" x14ac:dyDescent="0.2">
      <c r="A323" s="466" t="s">
        <v>652</v>
      </c>
      <c r="B323" s="467" t="s">
        <v>651</v>
      </c>
      <c r="C323" s="468">
        <f t="shared" si="284"/>
        <v>35856</v>
      </c>
      <c r="D323" s="469">
        <f t="shared" si="283"/>
        <v>35856</v>
      </c>
      <c r="E323" s="470">
        <f t="shared" si="283"/>
        <v>15179</v>
      </c>
      <c r="F323" s="469">
        <v>2310</v>
      </c>
      <c r="G323" s="598">
        <v>1614</v>
      </c>
      <c r="H323" s="599">
        <v>1614</v>
      </c>
      <c r="I323" s="549">
        <v>3212</v>
      </c>
      <c r="J323" s="598">
        <v>1286</v>
      </c>
      <c r="K323" s="600">
        <v>1286</v>
      </c>
      <c r="L323" s="469">
        <v>3000</v>
      </c>
      <c r="M323" s="598">
        <v>1630</v>
      </c>
      <c r="N323" s="599">
        <v>1630</v>
      </c>
      <c r="O323" s="549">
        <v>3003</v>
      </c>
      <c r="P323" s="598">
        <v>5360</v>
      </c>
      <c r="Q323" s="600">
        <v>5360</v>
      </c>
      <c r="R323" s="469">
        <v>3630</v>
      </c>
      <c r="S323" s="598">
        <v>1797</v>
      </c>
      <c r="T323" s="599">
        <v>1797</v>
      </c>
      <c r="U323" s="549">
        <v>3020</v>
      </c>
      <c r="V323" s="598">
        <v>3492</v>
      </c>
      <c r="W323" s="600">
        <v>3492</v>
      </c>
      <c r="X323" s="469">
        <v>3000</v>
      </c>
      <c r="Y323" s="598">
        <v>3445</v>
      </c>
      <c r="Z323" s="599"/>
      <c r="AA323" s="549">
        <v>3005</v>
      </c>
      <c r="AB323" s="598">
        <v>3445</v>
      </c>
      <c r="AC323" s="600"/>
      <c r="AD323" s="469">
        <v>3053</v>
      </c>
      <c r="AE323" s="598">
        <v>3445</v>
      </c>
      <c r="AF323" s="599"/>
      <c r="AG323" s="549">
        <v>3100</v>
      </c>
      <c r="AH323" s="598">
        <v>3445</v>
      </c>
      <c r="AI323" s="600"/>
      <c r="AJ323" s="469">
        <v>3100</v>
      </c>
      <c r="AK323" s="598">
        <v>3445</v>
      </c>
      <c r="AL323" s="599"/>
      <c r="AM323" s="549">
        <v>2423</v>
      </c>
      <c r="AN323" s="598">
        <v>3452</v>
      </c>
      <c r="AO323" s="470"/>
    </row>
    <row r="324" spans="1:42" x14ac:dyDescent="0.2">
      <c r="A324" s="466" t="s">
        <v>1331</v>
      </c>
      <c r="B324" s="467" t="s">
        <v>653</v>
      </c>
      <c r="C324" s="468">
        <f t="shared" si="284"/>
        <v>0</v>
      </c>
      <c r="D324" s="469">
        <f t="shared" si="283"/>
        <v>0</v>
      </c>
      <c r="E324" s="470">
        <f t="shared" si="283"/>
        <v>0</v>
      </c>
      <c r="F324" s="469"/>
      <c r="G324" s="598"/>
      <c r="H324" s="599"/>
      <c r="I324" s="549"/>
      <c r="J324" s="598"/>
      <c r="K324" s="600"/>
      <c r="L324" s="469"/>
      <c r="M324" s="598"/>
      <c r="N324" s="599"/>
      <c r="O324" s="549"/>
      <c r="P324" s="598"/>
      <c r="Q324" s="600"/>
      <c r="R324" s="469"/>
      <c r="S324" s="598"/>
      <c r="T324" s="599"/>
      <c r="U324" s="549"/>
      <c r="V324" s="598"/>
      <c r="W324" s="600"/>
      <c r="X324" s="469"/>
      <c r="Y324" s="598"/>
      <c r="Z324" s="599"/>
      <c r="AA324" s="549"/>
      <c r="AB324" s="598"/>
      <c r="AC324" s="600"/>
      <c r="AD324" s="469"/>
      <c r="AE324" s="598"/>
      <c r="AF324" s="599"/>
      <c r="AG324" s="549"/>
      <c r="AH324" s="598"/>
      <c r="AI324" s="600"/>
      <c r="AJ324" s="469"/>
      <c r="AK324" s="598"/>
      <c r="AL324" s="599"/>
      <c r="AM324" s="549"/>
      <c r="AN324" s="598"/>
      <c r="AO324" s="470"/>
    </row>
    <row r="325" spans="1:42" x14ac:dyDescent="0.2">
      <c r="A325" s="471" t="s">
        <v>654</v>
      </c>
      <c r="B325" s="472" t="s">
        <v>655</v>
      </c>
      <c r="C325" s="473">
        <f t="shared" si="284"/>
        <v>36706</v>
      </c>
      <c r="D325" s="474">
        <f t="shared" si="283"/>
        <v>36706</v>
      </c>
      <c r="E325" s="475">
        <f t="shared" si="283"/>
        <v>15379</v>
      </c>
      <c r="F325" s="474">
        <f>SUM(F321:F324)</f>
        <v>2410</v>
      </c>
      <c r="G325" s="603">
        <f t="shared" ref="G325:AO325" si="285">SUM(G321:G324)</f>
        <v>1614</v>
      </c>
      <c r="H325" s="604">
        <f t="shared" si="285"/>
        <v>1614</v>
      </c>
      <c r="I325" s="477">
        <f t="shared" si="285"/>
        <v>3312</v>
      </c>
      <c r="J325" s="603">
        <f t="shared" si="285"/>
        <v>1286</v>
      </c>
      <c r="K325" s="605">
        <f t="shared" si="285"/>
        <v>1286</v>
      </c>
      <c r="L325" s="474">
        <f t="shared" si="285"/>
        <v>3100</v>
      </c>
      <c r="M325" s="603">
        <f t="shared" si="285"/>
        <v>1630</v>
      </c>
      <c r="N325" s="604">
        <f t="shared" si="285"/>
        <v>1630</v>
      </c>
      <c r="O325" s="477">
        <f t="shared" si="285"/>
        <v>3103</v>
      </c>
      <c r="P325" s="603">
        <f t="shared" si="285"/>
        <v>5560</v>
      </c>
      <c r="Q325" s="605">
        <f t="shared" si="285"/>
        <v>5560</v>
      </c>
      <c r="R325" s="474">
        <f t="shared" si="285"/>
        <v>3730</v>
      </c>
      <c r="S325" s="603">
        <f t="shared" si="285"/>
        <v>1797</v>
      </c>
      <c r="T325" s="604">
        <f t="shared" si="285"/>
        <v>1797</v>
      </c>
      <c r="U325" s="477">
        <f t="shared" si="285"/>
        <v>3120</v>
      </c>
      <c r="V325" s="603">
        <f t="shared" si="285"/>
        <v>3492</v>
      </c>
      <c r="W325" s="605">
        <f t="shared" si="285"/>
        <v>3492</v>
      </c>
      <c r="X325" s="474">
        <f t="shared" si="285"/>
        <v>3100</v>
      </c>
      <c r="Y325" s="603">
        <f t="shared" si="285"/>
        <v>3445</v>
      </c>
      <c r="Z325" s="604">
        <f t="shared" si="285"/>
        <v>0</v>
      </c>
      <c r="AA325" s="477">
        <f t="shared" si="285"/>
        <v>3105</v>
      </c>
      <c r="AB325" s="603">
        <f t="shared" si="285"/>
        <v>3645</v>
      </c>
      <c r="AC325" s="605">
        <f t="shared" si="285"/>
        <v>0</v>
      </c>
      <c r="AD325" s="474">
        <f t="shared" si="285"/>
        <v>3103</v>
      </c>
      <c r="AE325" s="603">
        <f t="shared" si="285"/>
        <v>3645</v>
      </c>
      <c r="AF325" s="604">
        <f t="shared" si="285"/>
        <v>0</v>
      </c>
      <c r="AG325" s="477">
        <f t="shared" si="285"/>
        <v>3100</v>
      </c>
      <c r="AH325" s="603">
        <f t="shared" si="285"/>
        <v>3645</v>
      </c>
      <c r="AI325" s="605">
        <f t="shared" si="285"/>
        <v>0</v>
      </c>
      <c r="AJ325" s="474">
        <f t="shared" si="285"/>
        <v>3100</v>
      </c>
      <c r="AK325" s="603">
        <f t="shared" si="285"/>
        <v>3495</v>
      </c>
      <c r="AL325" s="604">
        <f t="shared" si="285"/>
        <v>0</v>
      </c>
      <c r="AM325" s="477">
        <f t="shared" si="285"/>
        <v>2423</v>
      </c>
      <c r="AN325" s="603">
        <f t="shared" si="285"/>
        <v>3452</v>
      </c>
      <c r="AO325" s="475">
        <f t="shared" si="285"/>
        <v>0</v>
      </c>
    </row>
    <row r="326" spans="1:42" x14ac:dyDescent="0.2">
      <c r="A326" s="471" t="s">
        <v>656</v>
      </c>
      <c r="B326" s="472" t="s">
        <v>657</v>
      </c>
      <c r="C326" s="473">
        <f t="shared" si="284"/>
        <v>85175</v>
      </c>
      <c r="D326" s="474">
        <f t="shared" si="283"/>
        <v>87154</v>
      </c>
      <c r="E326" s="475">
        <f t="shared" si="283"/>
        <v>40268</v>
      </c>
      <c r="F326" s="474">
        <v>6971</v>
      </c>
      <c r="G326" s="603">
        <v>2232</v>
      </c>
      <c r="H326" s="604">
        <v>4693</v>
      </c>
      <c r="I326" s="477">
        <v>4854</v>
      </c>
      <c r="J326" s="603">
        <v>4983</v>
      </c>
      <c r="K326" s="605">
        <v>4983</v>
      </c>
      <c r="L326" s="474">
        <v>7154</v>
      </c>
      <c r="M326" s="603">
        <v>9203</v>
      </c>
      <c r="N326" s="604">
        <v>9203</v>
      </c>
      <c r="O326" s="477">
        <v>8242</v>
      </c>
      <c r="P326" s="603">
        <v>7286</v>
      </c>
      <c r="Q326" s="605">
        <v>7286</v>
      </c>
      <c r="R326" s="474">
        <v>7416</v>
      </c>
      <c r="S326" s="603">
        <v>4118</v>
      </c>
      <c r="T326" s="604">
        <v>4118</v>
      </c>
      <c r="U326" s="477">
        <v>5570</v>
      </c>
      <c r="V326" s="603">
        <v>9985</v>
      </c>
      <c r="W326" s="605">
        <v>9985</v>
      </c>
      <c r="X326" s="474">
        <v>9361</v>
      </c>
      <c r="Y326" s="603">
        <v>12139</v>
      </c>
      <c r="Z326" s="604"/>
      <c r="AA326" s="477">
        <v>8243</v>
      </c>
      <c r="AB326" s="603">
        <v>8338</v>
      </c>
      <c r="AC326" s="605"/>
      <c r="AD326" s="474">
        <v>6663</v>
      </c>
      <c r="AE326" s="603">
        <v>6121</v>
      </c>
      <c r="AF326" s="604"/>
      <c r="AG326" s="477">
        <v>7426</v>
      </c>
      <c r="AH326" s="603">
        <v>7516</v>
      </c>
      <c r="AI326" s="605"/>
      <c r="AJ326" s="474">
        <v>7580</v>
      </c>
      <c r="AK326" s="603">
        <v>7185</v>
      </c>
      <c r="AL326" s="604"/>
      <c r="AM326" s="477">
        <v>5695</v>
      </c>
      <c r="AN326" s="603">
        <v>8048</v>
      </c>
      <c r="AO326" s="475"/>
    </row>
    <row r="327" spans="1:42" x14ac:dyDescent="0.2">
      <c r="A327" s="481" t="s">
        <v>658</v>
      </c>
      <c r="B327" s="482" t="s">
        <v>659</v>
      </c>
      <c r="C327" s="483">
        <f>SUM(F327,I327,L327,O327,R327,U327,X327,AA327,AD327,AG327,AJ327,AM327)</f>
        <v>3123</v>
      </c>
      <c r="D327" s="484">
        <f t="shared" si="283"/>
        <v>3123</v>
      </c>
      <c r="E327" s="485">
        <f t="shared" si="283"/>
        <v>0</v>
      </c>
      <c r="F327" s="487">
        <v>3123</v>
      </c>
      <c r="G327" s="606"/>
      <c r="H327" s="607"/>
      <c r="I327" s="487"/>
      <c r="J327" s="606"/>
      <c r="K327" s="608"/>
      <c r="L327" s="484"/>
      <c r="M327" s="606"/>
      <c r="N327" s="607"/>
      <c r="O327" s="487"/>
      <c r="P327" s="606"/>
      <c r="Q327" s="608"/>
      <c r="R327" s="484"/>
      <c r="S327" s="606"/>
      <c r="T327" s="607"/>
      <c r="U327" s="487"/>
      <c r="V327" s="606"/>
      <c r="W327" s="608"/>
      <c r="X327" s="484"/>
      <c r="Y327" s="606">
        <v>3123</v>
      </c>
      <c r="Z327" s="607"/>
      <c r="AA327" s="487"/>
      <c r="AB327" s="606"/>
      <c r="AC327" s="608"/>
      <c r="AD327" s="484"/>
      <c r="AE327" s="606"/>
      <c r="AF327" s="607"/>
      <c r="AG327" s="487"/>
      <c r="AH327" s="606"/>
      <c r="AI327" s="608"/>
      <c r="AJ327" s="484"/>
      <c r="AK327" s="606"/>
      <c r="AL327" s="607"/>
      <c r="AM327" s="487"/>
      <c r="AN327" s="606"/>
      <c r="AO327" s="485"/>
    </row>
    <row r="328" spans="1:42" x14ac:dyDescent="0.2">
      <c r="A328" s="471" t="s">
        <v>660</v>
      </c>
      <c r="B328" s="472" t="s">
        <v>661</v>
      </c>
      <c r="C328" s="473">
        <f>SUM(F328,I328,L328,O328,R328,U328,X328,AA328,AD328,AG328,AJ328,AM328)</f>
        <v>121881</v>
      </c>
      <c r="D328" s="474">
        <f t="shared" si="283"/>
        <v>123860</v>
      </c>
      <c r="E328" s="475">
        <f t="shared" si="283"/>
        <v>55647</v>
      </c>
      <c r="F328" s="474">
        <f>SUM(+F325,F326)</f>
        <v>9381</v>
      </c>
      <c r="G328" s="603">
        <f t="shared" ref="G328:H328" si="286">SUM(G325,G326)</f>
        <v>3846</v>
      </c>
      <c r="H328" s="604">
        <f t="shared" si="286"/>
        <v>6307</v>
      </c>
      <c r="I328" s="477">
        <f>SUM(I325,I326)</f>
        <v>8166</v>
      </c>
      <c r="J328" s="603">
        <f t="shared" ref="J328:AO328" si="287">SUM(J325,J326)</f>
        <v>6269</v>
      </c>
      <c r="K328" s="605">
        <f t="shared" si="287"/>
        <v>6269</v>
      </c>
      <c r="L328" s="474">
        <f t="shared" si="287"/>
        <v>10254</v>
      </c>
      <c r="M328" s="603">
        <f t="shared" si="287"/>
        <v>10833</v>
      </c>
      <c r="N328" s="604">
        <f t="shared" si="287"/>
        <v>10833</v>
      </c>
      <c r="O328" s="477">
        <f t="shared" si="287"/>
        <v>11345</v>
      </c>
      <c r="P328" s="603">
        <f t="shared" si="287"/>
        <v>12846</v>
      </c>
      <c r="Q328" s="605">
        <f t="shared" si="287"/>
        <v>12846</v>
      </c>
      <c r="R328" s="474">
        <f t="shared" si="287"/>
        <v>11146</v>
      </c>
      <c r="S328" s="603">
        <f t="shared" si="287"/>
        <v>5915</v>
      </c>
      <c r="T328" s="604">
        <f t="shared" si="287"/>
        <v>5915</v>
      </c>
      <c r="U328" s="477">
        <f t="shared" si="287"/>
        <v>8690</v>
      </c>
      <c r="V328" s="603">
        <f t="shared" si="287"/>
        <v>13477</v>
      </c>
      <c r="W328" s="605">
        <f t="shared" si="287"/>
        <v>13477</v>
      </c>
      <c r="X328" s="474">
        <f t="shared" si="287"/>
        <v>12461</v>
      </c>
      <c r="Y328" s="603">
        <f t="shared" si="287"/>
        <v>15584</v>
      </c>
      <c r="Z328" s="604">
        <f t="shared" si="287"/>
        <v>0</v>
      </c>
      <c r="AA328" s="477">
        <f t="shared" si="287"/>
        <v>11348</v>
      </c>
      <c r="AB328" s="603">
        <f t="shared" si="287"/>
        <v>11983</v>
      </c>
      <c r="AC328" s="605">
        <f t="shared" si="287"/>
        <v>0</v>
      </c>
      <c r="AD328" s="474">
        <f t="shared" si="287"/>
        <v>9766</v>
      </c>
      <c r="AE328" s="603">
        <f t="shared" si="287"/>
        <v>9766</v>
      </c>
      <c r="AF328" s="604">
        <f t="shared" si="287"/>
        <v>0</v>
      </c>
      <c r="AG328" s="477">
        <f t="shared" si="287"/>
        <v>10526</v>
      </c>
      <c r="AH328" s="603">
        <f t="shared" si="287"/>
        <v>11161</v>
      </c>
      <c r="AI328" s="605">
        <f t="shared" si="287"/>
        <v>0</v>
      </c>
      <c r="AJ328" s="474">
        <f t="shared" si="287"/>
        <v>10680</v>
      </c>
      <c r="AK328" s="603">
        <f t="shared" si="287"/>
        <v>10680</v>
      </c>
      <c r="AL328" s="604">
        <f t="shared" si="287"/>
        <v>0</v>
      </c>
      <c r="AM328" s="477">
        <f t="shared" si="287"/>
        <v>8118</v>
      </c>
      <c r="AN328" s="603">
        <f t="shared" si="287"/>
        <v>11500</v>
      </c>
      <c r="AO328" s="475">
        <f t="shared" si="287"/>
        <v>0</v>
      </c>
    </row>
    <row r="329" spans="1:42" x14ac:dyDescent="0.2">
      <c r="A329" s="466" t="s">
        <v>648</v>
      </c>
      <c r="B329" s="467" t="s">
        <v>662</v>
      </c>
      <c r="C329" s="468">
        <f t="shared" ref="C329:C333" si="288">SUM(F329,I329,L329,O329,R329,U329,X329,AA329,AD329,AG329,AJ329,AM329)</f>
        <v>0</v>
      </c>
      <c r="D329" s="469">
        <f t="shared" si="283"/>
        <v>0</v>
      </c>
      <c r="E329" s="470">
        <f t="shared" si="283"/>
        <v>0</v>
      </c>
      <c r="F329" s="469"/>
      <c r="G329" s="598"/>
      <c r="H329" s="599"/>
      <c r="I329" s="549"/>
      <c r="J329" s="598"/>
      <c r="K329" s="600"/>
      <c r="L329" s="469"/>
      <c r="M329" s="598"/>
      <c r="N329" s="599"/>
      <c r="O329" s="549"/>
      <c r="P329" s="598"/>
      <c r="Q329" s="600"/>
      <c r="R329" s="469"/>
      <c r="S329" s="598"/>
      <c r="T329" s="599"/>
      <c r="U329" s="549"/>
      <c r="V329" s="598"/>
      <c r="W329" s="600"/>
      <c r="X329" s="469"/>
      <c r="Y329" s="598"/>
      <c r="Z329" s="599"/>
      <c r="AA329" s="549"/>
      <c r="AB329" s="598"/>
      <c r="AC329" s="600"/>
      <c r="AD329" s="469"/>
      <c r="AE329" s="598"/>
      <c r="AF329" s="599"/>
      <c r="AG329" s="549"/>
      <c r="AH329" s="598"/>
      <c r="AI329" s="600"/>
      <c r="AJ329" s="469"/>
      <c r="AK329" s="598"/>
      <c r="AL329" s="599"/>
      <c r="AM329" s="549"/>
      <c r="AN329" s="598"/>
      <c r="AO329" s="470"/>
    </row>
    <row r="330" spans="1:42" x14ac:dyDescent="0.2">
      <c r="A330" s="491" t="s">
        <v>663</v>
      </c>
      <c r="B330" s="492" t="s">
        <v>664</v>
      </c>
      <c r="C330" s="468">
        <f t="shared" si="288"/>
        <v>0</v>
      </c>
      <c r="D330" s="469">
        <f t="shared" si="283"/>
        <v>0</v>
      </c>
      <c r="E330" s="470">
        <f t="shared" si="283"/>
        <v>0</v>
      </c>
      <c r="F330" s="630"/>
      <c r="G330" s="598"/>
      <c r="H330" s="599"/>
      <c r="I330" s="631"/>
      <c r="J330" s="598"/>
      <c r="K330" s="600"/>
      <c r="L330" s="630"/>
      <c r="M330" s="598"/>
      <c r="N330" s="599"/>
      <c r="O330" s="631"/>
      <c r="P330" s="598"/>
      <c r="Q330" s="600"/>
      <c r="R330" s="630"/>
      <c r="S330" s="598"/>
      <c r="T330" s="599"/>
      <c r="U330" s="631"/>
      <c r="V330" s="598"/>
      <c r="W330" s="600"/>
      <c r="X330" s="630"/>
      <c r="Y330" s="598"/>
      <c r="Z330" s="599"/>
      <c r="AA330" s="631"/>
      <c r="AB330" s="598"/>
      <c r="AC330" s="600"/>
      <c r="AD330" s="630"/>
      <c r="AE330" s="598"/>
      <c r="AF330" s="599"/>
      <c r="AG330" s="631"/>
      <c r="AH330" s="598"/>
      <c r="AI330" s="600"/>
      <c r="AJ330" s="630"/>
      <c r="AK330" s="598"/>
      <c r="AL330" s="599"/>
      <c r="AM330" s="631"/>
      <c r="AN330" s="598"/>
      <c r="AO330" s="470"/>
    </row>
    <row r="331" spans="1:42" x14ac:dyDescent="0.2">
      <c r="A331" s="491" t="s">
        <v>665</v>
      </c>
      <c r="B331" s="492" t="s">
        <v>666</v>
      </c>
      <c r="C331" s="468">
        <f t="shared" si="288"/>
        <v>0</v>
      </c>
      <c r="D331" s="469">
        <f t="shared" si="283"/>
        <v>0</v>
      </c>
      <c r="E331" s="470">
        <f t="shared" si="283"/>
        <v>0</v>
      </c>
      <c r="F331" s="630"/>
      <c r="G331" s="598"/>
      <c r="H331" s="599"/>
      <c r="I331" s="631"/>
      <c r="J331" s="598"/>
      <c r="K331" s="600"/>
      <c r="L331" s="630"/>
      <c r="M331" s="598"/>
      <c r="N331" s="599"/>
      <c r="O331" s="631"/>
      <c r="P331" s="598"/>
      <c r="Q331" s="600"/>
      <c r="R331" s="630"/>
      <c r="S331" s="598"/>
      <c r="T331" s="599"/>
      <c r="U331" s="631"/>
      <c r="V331" s="598"/>
      <c r="W331" s="600"/>
      <c r="X331" s="630"/>
      <c r="Y331" s="598"/>
      <c r="Z331" s="599"/>
      <c r="AA331" s="631"/>
      <c r="AB331" s="598"/>
      <c r="AC331" s="600"/>
      <c r="AD331" s="630"/>
      <c r="AE331" s="598"/>
      <c r="AF331" s="599"/>
      <c r="AG331" s="631"/>
      <c r="AH331" s="598"/>
      <c r="AI331" s="600"/>
      <c r="AJ331" s="630"/>
      <c r="AK331" s="598"/>
      <c r="AL331" s="599"/>
      <c r="AM331" s="631"/>
      <c r="AN331" s="598"/>
      <c r="AO331" s="470"/>
    </row>
    <row r="332" spans="1:42" x14ac:dyDescent="0.2">
      <c r="A332" s="471" t="s">
        <v>667</v>
      </c>
      <c r="B332" s="472" t="s">
        <v>668</v>
      </c>
      <c r="C332" s="473">
        <f t="shared" si="288"/>
        <v>0</v>
      </c>
      <c r="D332" s="474">
        <f t="shared" si="283"/>
        <v>0</v>
      </c>
      <c r="E332" s="475">
        <f t="shared" si="283"/>
        <v>0</v>
      </c>
      <c r="F332" s="473">
        <f>SUM(F329:F331)</f>
        <v>0</v>
      </c>
      <c r="G332" s="603">
        <f t="shared" ref="G332:AO332" si="289">SUM(G329:G331)</f>
        <v>0</v>
      </c>
      <c r="H332" s="604">
        <f t="shared" si="289"/>
        <v>0</v>
      </c>
      <c r="I332" s="477">
        <f t="shared" si="289"/>
        <v>0</v>
      </c>
      <c r="J332" s="603">
        <f t="shared" si="289"/>
        <v>0</v>
      </c>
      <c r="K332" s="605">
        <f t="shared" si="289"/>
        <v>0</v>
      </c>
      <c r="L332" s="474">
        <f t="shared" si="289"/>
        <v>0</v>
      </c>
      <c r="M332" s="603">
        <f t="shared" si="289"/>
        <v>0</v>
      </c>
      <c r="N332" s="604">
        <f t="shared" si="289"/>
        <v>0</v>
      </c>
      <c r="O332" s="477">
        <f t="shared" si="289"/>
        <v>0</v>
      </c>
      <c r="P332" s="603">
        <f t="shared" si="289"/>
        <v>0</v>
      </c>
      <c r="Q332" s="605">
        <f t="shared" si="289"/>
        <v>0</v>
      </c>
      <c r="R332" s="474">
        <f t="shared" si="289"/>
        <v>0</v>
      </c>
      <c r="S332" s="603">
        <f t="shared" si="289"/>
        <v>0</v>
      </c>
      <c r="T332" s="604">
        <f t="shared" si="289"/>
        <v>0</v>
      </c>
      <c r="U332" s="477">
        <f t="shared" si="289"/>
        <v>0</v>
      </c>
      <c r="V332" s="603">
        <f t="shared" si="289"/>
        <v>0</v>
      </c>
      <c r="W332" s="605">
        <f t="shared" si="289"/>
        <v>0</v>
      </c>
      <c r="X332" s="474">
        <f t="shared" si="289"/>
        <v>0</v>
      </c>
      <c r="Y332" s="603">
        <f t="shared" si="289"/>
        <v>0</v>
      </c>
      <c r="Z332" s="604">
        <f t="shared" si="289"/>
        <v>0</v>
      </c>
      <c r="AA332" s="477">
        <f t="shared" si="289"/>
        <v>0</v>
      </c>
      <c r="AB332" s="603">
        <f t="shared" si="289"/>
        <v>0</v>
      </c>
      <c r="AC332" s="605">
        <f t="shared" si="289"/>
        <v>0</v>
      </c>
      <c r="AD332" s="474">
        <f t="shared" si="289"/>
        <v>0</v>
      </c>
      <c r="AE332" s="603">
        <f t="shared" si="289"/>
        <v>0</v>
      </c>
      <c r="AF332" s="604">
        <f t="shared" si="289"/>
        <v>0</v>
      </c>
      <c r="AG332" s="477">
        <f t="shared" si="289"/>
        <v>0</v>
      </c>
      <c r="AH332" s="603">
        <f t="shared" si="289"/>
        <v>0</v>
      </c>
      <c r="AI332" s="605">
        <f t="shared" si="289"/>
        <v>0</v>
      </c>
      <c r="AJ332" s="474">
        <f t="shared" si="289"/>
        <v>0</v>
      </c>
      <c r="AK332" s="603">
        <f t="shared" si="289"/>
        <v>0</v>
      </c>
      <c r="AL332" s="604">
        <f t="shared" si="289"/>
        <v>0</v>
      </c>
      <c r="AM332" s="477">
        <f t="shared" si="289"/>
        <v>0</v>
      </c>
      <c r="AN332" s="603">
        <f t="shared" si="289"/>
        <v>0</v>
      </c>
      <c r="AO332" s="475">
        <f t="shared" si="289"/>
        <v>0</v>
      </c>
    </row>
    <row r="333" spans="1:42" x14ac:dyDescent="0.2">
      <c r="A333" s="493" t="s">
        <v>669</v>
      </c>
      <c r="B333" s="494" t="s">
        <v>657</v>
      </c>
      <c r="C333" s="473">
        <f t="shared" si="288"/>
        <v>3119</v>
      </c>
      <c r="D333" s="474">
        <f t="shared" si="283"/>
        <v>3119</v>
      </c>
      <c r="E333" s="475">
        <f t="shared" si="283"/>
        <v>1362</v>
      </c>
      <c r="F333" s="632">
        <f>+F353</f>
        <v>658</v>
      </c>
      <c r="G333" s="603">
        <v>658</v>
      </c>
      <c r="H333" s="604">
        <v>658</v>
      </c>
      <c r="I333" s="497">
        <f t="shared" ref="I333:AJ333" si="290">+I353</f>
        <v>0</v>
      </c>
      <c r="J333" s="603"/>
      <c r="K333" s="605"/>
      <c r="L333" s="495">
        <f t="shared" si="290"/>
        <v>635</v>
      </c>
      <c r="M333" s="603">
        <v>20</v>
      </c>
      <c r="N333" s="604">
        <v>20</v>
      </c>
      <c r="O333" s="497">
        <f t="shared" si="290"/>
        <v>0</v>
      </c>
      <c r="P333" s="603">
        <v>134</v>
      </c>
      <c r="Q333" s="605">
        <v>134</v>
      </c>
      <c r="R333" s="495">
        <f t="shared" si="290"/>
        <v>556</v>
      </c>
      <c r="S333" s="603">
        <v>248</v>
      </c>
      <c r="T333" s="604">
        <v>248</v>
      </c>
      <c r="U333" s="497">
        <f t="shared" si="290"/>
        <v>0</v>
      </c>
      <c r="V333" s="603">
        <v>302</v>
      </c>
      <c r="W333" s="605">
        <v>302</v>
      </c>
      <c r="X333" s="495">
        <f t="shared" si="290"/>
        <v>0</v>
      </c>
      <c r="Y333" s="603"/>
      <c r="Z333" s="604"/>
      <c r="AA333" s="497">
        <f t="shared" si="290"/>
        <v>635</v>
      </c>
      <c r="AB333" s="603">
        <v>635</v>
      </c>
      <c r="AC333" s="605"/>
      <c r="AD333" s="495">
        <f t="shared" si="290"/>
        <v>0</v>
      </c>
      <c r="AE333" s="603"/>
      <c r="AF333" s="604"/>
      <c r="AG333" s="497">
        <f t="shared" si="290"/>
        <v>635</v>
      </c>
      <c r="AH333" s="603">
        <v>635</v>
      </c>
      <c r="AI333" s="605"/>
      <c r="AJ333" s="495">
        <f t="shared" si="290"/>
        <v>0</v>
      </c>
      <c r="AK333" s="603"/>
      <c r="AL333" s="604"/>
      <c r="AM333" s="477">
        <f>+AM353</f>
        <v>0</v>
      </c>
      <c r="AN333" s="603">
        <v>487</v>
      </c>
      <c r="AO333" s="475"/>
    </row>
    <row r="334" spans="1:42" x14ac:dyDescent="0.2">
      <c r="A334" s="481" t="s">
        <v>658</v>
      </c>
      <c r="B334" s="482" t="s">
        <v>659</v>
      </c>
      <c r="C334" s="483">
        <f>SUM(F334,I334,L334,O334,R334,U334,X334,AA334,AD334,AG334,AJ334,AM334)</f>
        <v>0</v>
      </c>
      <c r="D334" s="484">
        <f t="shared" si="283"/>
        <v>0</v>
      </c>
      <c r="E334" s="485">
        <f t="shared" si="283"/>
        <v>0</v>
      </c>
      <c r="F334" s="460"/>
      <c r="G334" s="598"/>
      <c r="H334" s="599"/>
      <c r="I334" s="463"/>
      <c r="J334" s="598"/>
      <c r="K334" s="600"/>
      <c r="L334" s="460"/>
      <c r="M334" s="598"/>
      <c r="N334" s="599"/>
      <c r="O334" s="463"/>
      <c r="P334" s="598"/>
      <c r="Q334" s="600"/>
      <c r="R334" s="460"/>
      <c r="S334" s="598"/>
      <c r="T334" s="599"/>
      <c r="U334" s="463"/>
      <c r="V334" s="598"/>
      <c r="W334" s="600"/>
      <c r="X334" s="460"/>
      <c r="Y334" s="598"/>
      <c r="Z334" s="599"/>
      <c r="AA334" s="463"/>
      <c r="AB334" s="598"/>
      <c r="AC334" s="600"/>
      <c r="AD334" s="460"/>
      <c r="AE334" s="598"/>
      <c r="AF334" s="599"/>
      <c r="AG334" s="463"/>
      <c r="AH334" s="598"/>
      <c r="AI334" s="600"/>
      <c r="AJ334" s="460"/>
      <c r="AK334" s="598"/>
      <c r="AL334" s="599"/>
      <c r="AM334" s="463"/>
      <c r="AN334" s="598"/>
      <c r="AO334" s="470"/>
    </row>
    <row r="335" spans="1:42" s="480" customFormat="1" ht="15.75" thickBot="1" x14ac:dyDescent="0.25">
      <c r="A335" s="505" t="s">
        <v>670</v>
      </c>
      <c r="B335" s="506" t="s">
        <v>671</v>
      </c>
      <c r="C335" s="507">
        <f>SUM(F335,I335,L335,O335,R335,U335,X335,AA335,AD335,AG335,AJ335,AM335)</f>
        <v>3119</v>
      </c>
      <c r="D335" s="508">
        <f t="shared" si="283"/>
        <v>3119</v>
      </c>
      <c r="E335" s="509">
        <f t="shared" si="283"/>
        <v>1362</v>
      </c>
      <c r="F335" s="557">
        <f>SUM(F332,F333)</f>
        <v>658</v>
      </c>
      <c r="G335" s="610">
        <f t="shared" ref="G335:H335" si="291">SUM(G332,G333)</f>
        <v>658</v>
      </c>
      <c r="H335" s="611">
        <f t="shared" si="291"/>
        <v>658</v>
      </c>
      <c r="I335" s="512">
        <f>SUM(I332,I333)</f>
        <v>0</v>
      </c>
      <c r="J335" s="610">
        <f t="shared" ref="J335:AO335" si="292">SUM(J332,J333)</f>
        <v>0</v>
      </c>
      <c r="K335" s="612">
        <f t="shared" si="292"/>
        <v>0</v>
      </c>
      <c r="L335" s="510">
        <f t="shared" si="292"/>
        <v>635</v>
      </c>
      <c r="M335" s="610">
        <f t="shared" si="292"/>
        <v>20</v>
      </c>
      <c r="N335" s="611">
        <f t="shared" si="292"/>
        <v>20</v>
      </c>
      <c r="O335" s="512">
        <f t="shared" si="292"/>
        <v>0</v>
      </c>
      <c r="P335" s="610">
        <f t="shared" si="292"/>
        <v>134</v>
      </c>
      <c r="Q335" s="612">
        <f t="shared" si="292"/>
        <v>134</v>
      </c>
      <c r="R335" s="510">
        <f t="shared" si="292"/>
        <v>556</v>
      </c>
      <c r="S335" s="610">
        <f t="shared" si="292"/>
        <v>248</v>
      </c>
      <c r="T335" s="611">
        <f t="shared" si="292"/>
        <v>248</v>
      </c>
      <c r="U335" s="512">
        <f t="shared" si="292"/>
        <v>0</v>
      </c>
      <c r="V335" s="610">
        <f t="shared" si="292"/>
        <v>302</v>
      </c>
      <c r="W335" s="612">
        <f t="shared" si="292"/>
        <v>302</v>
      </c>
      <c r="X335" s="510">
        <f t="shared" si="292"/>
        <v>0</v>
      </c>
      <c r="Y335" s="610">
        <f t="shared" si="292"/>
        <v>0</v>
      </c>
      <c r="Z335" s="611">
        <f t="shared" si="292"/>
        <v>0</v>
      </c>
      <c r="AA335" s="512">
        <f t="shared" si="292"/>
        <v>635</v>
      </c>
      <c r="AB335" s="610">
        <f t="shared" si="292"/>
        <v>635</v>
      </c>
      <c r="AC335" s="612">
        <f t="shared" si="292"/>
        <v>0</v>
      </c>
      <c r="AD335" s="510">
        <f t="shared" si="292"/>
        <v>0</v>
      </c>
      <c r="AE335" s="610">
        <f t="shared" si="292"/>
        <v>0</v>
      </c>
      <c r="AF335" s="611">
        <f t="shared" si="292"/>
        <v>0</v>
      </c>
      <c r="AG335" s="512">
        <f t="shared" si="292"/>
        <v>635</v>
      </c>
      <c r="AH335" s="610">
        <f t="shared" si="292"/>
        <v>635</v>
      </c>
      <c r="AI335" s="612">
        <f t="shared" si="292"/>
        <v>0</v>
      </c>
      <c r="AJ335" s="510">
        <f t="shared" si="292"/>
        <v>0</v>
      </c>
      <c r="AK335" s="610">
        <f t="shared" si="292"/>
        <v>0</v>
      </c>
      <c r="AL335" s="611">
        <f t="shared" si="292"/>
        <v>0</v>
      </c>
      <c r="AM335" s="514">
        <f t="shared" si="292"/>
        <v>0</v>
      </c>
      <c r="AN335" s="610">
        <f t="shared" si="292"/>
        <v>487</v>
      </c>
      <c r="AO335" s="509">
        <f t="shared" si="292"/>
        <v>0</v>
      </c>
      <c r="AP335" s="479"/>
    </row>
    <row r="336" spans="1:42" ht="15" thickBot="1" x14ac:dyDescent="0.25">
      <c r="A336" s="515" t="s">
        <v>672</v>
      </c>
      <c r="B336" s="516" t="s">
        <v>673</v>
      </c>
      <c r="C336" s="632">
        <f>SUM(F336,I336,L336,O336,R336,U336,X336,AA336,AD336,AG336,AJ336,AM336)</f>
        <v>125000</v>
      </c>
      <c r="D336" s="633">
        <f t="shared" si="283"/>
        <v>126979</v>
      </c>
      <c r="E336" s="634">
        <f t="shared" si="283"/>
        <v>57009</v>
      </c>
      <c r="F336" s="520">
        <f>SUM(F335,F328)</f>
        <v>10039</v>
      </c>
      <c r="G336" s="520">
        <f t="shared" ref="G336:H336" si="293">SUM(G335,G328)</f>
        <v>4504</v>
      </c>
      <c r="H336" s="521">
        <f t="shared" si="293"/>
        <v>6965</v>
      </c>
      <c r="I336" s="522">
        <f t="shared" ref="I336:AM336" si="294">SUM(I328,I335)</f>
        <v>8166</v>
      </c>
      <c r="J336" s="520">
        <f t="shared" ref="J336:K336" si="295">SUM(J335,J328)</f>
        <v>6269</v>
      </c>
      <c r="K336" s="523">
        <f t="shared" si="295"/>
        <v>6269</v>
      </c>
      <c r="L336" s="520">
        <f t="shared" si="294"/>
        <v>10889</v>
      </c>
      <c r="M336" s="520">
        <f t="shared" ref="M336:N336" si="296">SUM(M335,M328)</f>
        <v>10853</v>
      </c>
      <c r="N336" s="521">
        <f t="shared" si="296"/>
        <v>10853</v>
      </c>
      <c r="O336" s="522">
        <f t="shared" si="294"/>
        <v>11345</v>
      </c>
      <c r="P336" s="520">
        <f t="shared" ref="P336:Q336" si="297">SUM(P335,P328)</f>
        <v>12980</v>
      </c>
      <c r="Q336" s="523">
        <f t="shared" si="297"/>
        <v>12980</v>
      </c>
      <c r="R336" s="520">
        <f t="shared" si="294"/>
        <v>11702</v>
      </c>
      <c r="S336" s="520">
        <f t="shared" ref="S336:T336" si="298">SUM(S335,S328)</f>
        <v>6163</v>
      </c>
      <c r="T336" s="521">
        <f t="shared" si="298"/>
        <v>6163</v>
      </c>
      <c r="U336" s="522">
        <f t="shared" si="294"/>
        <v>8690</v>
      </c>
      <c r="V336" s="520">
        <f t="shared" ref="V336:W336" si="299">SUM(V335,V328)</f>
        <v>13779</v>
      </c>
      <c r="W336" s="523">
        <f t="shared" si="299"/>
        <v>13779</v>
      </c>
      <c r="X336" s="520">
        <f t="shared" si="294"/>
        <v>12461</v>
      </c>
      <c r="Y336" s="520">
        <f t="shared" ref="Y336:Z336" si="300">SUM(Y335,Y328)</f>
        <v>15584</v>
      </c>
      <c r="Z336" s="521">
        <f t="shared" si="300"/>
        <v>0</v>
      </c>
      <c r="AA336" s="522">
        <f t="shared" si="294"/>
        <v>11983</v>
      </c>
      <c r="AB336" s="520">
        <f t="shared" ref="AB336:AC336" si="301">SUM(AB335,AB328)</f>
        <v>12618</v>
      </c>
      <c r="AC336" s="523">
        <f t="shared" si="301"/>
        <v>0</v>
      </c>
      <c r="AD336" s="520">
        <f t="shared" si="294"/>
        <v>9766</v>
      </c>
      <c r="AE336" s="520">
        <f t="shared" ref="AE336:AF336" si="302">SUM(AE335,AE328)</f>
        <v>9766</v>
      </c>
      <c r="AF336" s="521">
        <f t="shared" si="302"/>
        <v>0</v>
      </c>
      <c r="AG336" s="522">
        <f t="shared" si="294"/>
        <v>11161</v>
      </c>
      <c r="AH336" s="520">
        <f t="shared" ref="AH336:AI336" si="303">SUM(AH335,AH328)</f>
        <v>11796</v>
      </c>
      <c r="AI336" s="523">
        <f t="shared" si="303"/>
        <v>0</v>
      </c>
      <c r="AJ336" s="520">
        <f t="shared" si="294"/>
        <v>10680</v>
      </c>
      <c r="AK336" s="520">
        <f t="shared" ref="AK336:AL336" si="304">SUM(AK335,AK328)</f>
        <v>10680</v>
      </c>
      <c r="AL336" s="521">
        <f t="shared" si="304"/>
        <v>0</v>
      </c>
      <c r="AM336" s="522">
        <f t="shared" si="294"/>
        <v>8118</v>
      </c>
      <c r="AN336" s="635">
        <f t="shared" ref="AN336:AO336" si="305">SUM(AN335,AN328)</f>
        <v>11987</v>
      </c>
      <c r="AO336" s="563">
        <f t="shared" si="305"/>
        <v>0</v>
      </c>
    </row>
    <row r="337" spans="1:41" ht="15" thickBot="1" x14ac:dyDescent="0.25">
      <c r="A337" s="526"/>
      <c r="B337" s="527" t="s">
        <v>1332</v>
      </c>
      <c r="C337" s="528"/>
      <c r="D337" s="529"/>
      <c r="E337" s="519">
        <f t="shared" ref="E337:E338" si="306">SUM(H337,K337,N337,Q337,T337,W337,Z337,AC337,AF337,AI337,AL337,AO337)</f>
        <v>4382</v>
      </c>
      <c r="F337" s="530"/>
      <c r="G337" s="530"/>
      <c r="H337" s="536">
        <v>3123</v>
      </c>
      <c r="I337" s="531"/>
      <c r="J337" s="530"/>
      <c r="K337" s="537"/>
      <c r="L337" s="530"/>
      <c r="M337" s="530"/>
      <c r="N337" s="536"/>
      <c r="O337" s="531"/>
      <c r="P337" s="530"/>
      <c r="Q337" s="537"/>
      <c r="R337" s="530"/>
      <c r="S337" s="530"/>
      <c r="T337" s="536"/>
      <c r="U337" s="531"/>
      <c r="V337" s="530"/>
      <c r="W337" s="537">
        <v>1259</v>
      </c>
      <c r="X337" s="530"/>
      <c r="Y337" s="530"/>
      <c r="Z337" s="536"/>
      <c r="AA337" s="531"/>
      <c r="AB337" s="530"/>
      <c r="AC337" s="537"/>
      <c r="AD337" s="530"/>
      <c r="AE337" s="530"/>
      <c r="AF337" s="536"/>
      <c r="AG337" s="531"/>
      <c r="AH337" s="530"/>
      <c r="AI337" s="537"/>
      <c r="AJ337" s="530"/>
      <c r="AK337" s="532"/>
      <c r="AL337" s="536"/>
      <c r="AM337" s="531"/>
      <c r="AN337" s="532"/>
      <c r="AO337" s="613"/>
    </row>
    <row r="338" spans="1:41" ht="15" thickBot="1" x14ac:dyDescent="0.25">
      <c r="A338" s="526"/>
      <c r="B338" s="527" t="s">
        <v>1333</v>
      </c>
      <c r="C338" s="534"/>
      <c r="D338" s="535"/>
      <c r="E338" s="519">
        <f t="shared" si="306"/>
        <v>61391</v>
      </c>
      <c r="F338" s="530"/>
      <c r="G338" s="530"/>
      <c r="H338" s="536">
        <f>SUM(H336:H337)</f>
        <v>10088</v>
      </c>
      <c r="I338" s="531"/>
      <c r="J338" s="530"/>
      <c r="K338" s="537">
        <f>SUM(K336:K337)</f>
        <v>6269</v>
      </c>
      <c r="L338" s="530"/>
      <c r="M338" s="530"/>
      <c r="N338" s="536">
        <f>SUM(N336:N337)</f>
        <v>10853</v>
      </c>
      <c r="O338" s="531"/>
      <c r="P338" s="530"/>
      <c r="Q338" s="537">
        <f>SUM(Q336:Q337)</f>
        <v>12980</v>
      </c>
      <c r="R338" s="530"/>
      <c r="S338" s="530"/>
      <c r="T338" s="536">
        <f>SUM(T336:T337)</f>
        <v>6163</v>
      </c>
      <c r="U338" s="531"/>
      <c r="V338" s="530"/>
      <c r="W338" s="537">
        <f>SUM(W336:W337)</f>
        <v>15038</v>
      </c>
      <c r="X338" s="530"/>
      <c r="Y338" s="530"/>
      <c r="Z338" s="536">
        <f>SUM(Z336:Z337)</f>
        <v>0</v>
      </c>
      <c r="AA338" s="531"/>
      <c r="AB338" s="530"/>
      <c r="AC338" s="537">
        <f>SUM(AC336:AC337)</f>
        <v>0</v>
      </c>
      <c r="AD338" s="530"/>
      <c r="AE338" s="530"/>
      <c r="AF338" s="536">
        <f>SUM(AF336:AF337)</f>
        <v>0</v>
      </c>
      <c r="AG338" s="531"/>
      <c r="AH338" s="530"/>
      <c r="AI338" s="537">
        <f>SUM(AI336:AI337)</f>
        <v>0</v>
      </c>
      <c r="AJ338" s="530"/>
      <c r="AK338" s="532"/>
      <c r="AL338" s="536">
        <f>SUM(AL336:AL337)</f>
        <v>0</v>
      </c>
      <c r="AM338" s="531"/>
      <c r="AN338" s="532"/>
      <c r="AO338" s="524">
        <f>SUM(AO336:AO337)</f>
        <v>0</v>
      </c>
    </row>
    <row r="339" spans="1:41" x14ac:dyDescent="0.2">
      <c r="A339" s="538"/>
      <c r="B339" s="539" t="s">
        <v>674</v>
      </c>
      <c r="C339" s="614" t="s">
        <v>633</v>
      </c>
      <c r="D339" s="615" t="s">
        <v>1326</v>
      </c>
      <c r="E339" s="616" t="s">
        <v>1327</v>
      </c>
      <c r="F339" s="617"/>
      <c r="G339" s="617"/>
      <c r="H339" s="618"/>
      <c r="I339" s="619"/>
      <c r="J339" s="617"/>
      <c r="K339" s="636"/>
      <c r="L339" s="617"/>
      <c r="M339" s="617"/>
      <c r="N339" s="618"/>
      <c r="O339" s="619"/>
      <c r="P339" s="617"/>
      <c r="Q339" s="636"/>
      <c r="R339" s="617"/>
      <c r="S339" s="617"/>
      <c r="T339" s="618"/>
      <c r="U339" s="619"/>
      <c r="V339" s="617"/>
      <c r="W339" s="636"/>
      <c r="X339" s="617"/>
      <c r="Y339" s="617"/>
      <c r="Z339" s="618"/>
      <c r="AA339" s="619"/>
      <c r="AB339" s="617"/>
      <c r="AC339" s="636"/>
      <c r="AD339" s="617"/>
      <c r="AE339" s="617"/>
      <c r="AF339" s="618"/>
      <c r="AG339" s="619"/>
      <c r="AH339" s="617"/>
      <c r="AI339" s="636"/>
      <c r="AJ339" s="617"/>
      <c r="AK339" s="617"/>
      <c r="AL339" s="618"/>
      <c r="AM339" s="619"/>
      <c r="AN339" s="620"/>
      <c r="AO339" s="637"/>
    </row>
    <row r="340" spans="1:41" x14ac:dyDescent="0.2">
      <c r="A340" s="457" t="s">
        <v>675</v>
      </c>
      <c r="B340" s="458" t="s">
        <v>676</v>
      </c>
      <c r="C340" s="468">
        <f t="shared" ref="C340:E356" si="307">SUM(F340,I340,L340,O340,R340,U340,X340,AA340,AD340,AG340,AJ340,AM340)</f>
        <v>52172</v>
      </c>
      <c r="D340" s="543">
        <f t="shared" si="307"/>
        <v>53730</v>
      </c>
      <c r="E340" s="465">
        <f t="shared" si="307"/>
        <v>24524</v>
      </c>
      <c r="F340" s="469">
        <v>4490</v>
      </c>
      <c r="G340" s="592">
        <f>6678-6678</f>
        <v>0</v>
      </c>
      <c r="H340" s="593">
        <v>6678</v>
      </c>
      <c r="I340" s="549">
        <v>3765</v>
      </c>
      <c r="J340" s="592">
        <f>3223-2575</f>
        <v>648</v>
      </c>
      <c r="K340" s="595">
        <v>3223</v>
      </c>
      <c r="L340" s="469">
        <v>3765</v>
      </c>
      <c r="M340" s="592">
        <f>3645+1030</f>
        <v>4675</v>
      </c>
      <c r="N340" s="593">
        <v>3645</v>
      </c>
      <c r="O340" s="549">
        <v>5862</v>
      </c>
      <c r="P340" s="592">
        <f>3266+2612</f>
        <v>5878</v>
      </c>
      <c r="Q340" s="595">
        <v>3266</v>
      </c>
      <c r="R340" s="469">
        <v>4222</v>
      </c>
      <c r="S340" s="592">
        <f>4180-2993</f>
        <v>1187</v>
      </c>
      <c r="T340" s="593">
        <v>4180</v>
      </c>
      <c r="U340" s="549">
        <v>3763</v>
      </c>
      <c r="V340" s="592">
        <f>3532+3540</f>
        <v>7072</v>
      </c>
      <c r="W340" s="595">
        <v>3532</v>
      </c>
      <c r="X340" s="469">
        <v>5603</v>
      </c>
      <c r="Y340" s="592">
        <v>8726</v>
      </c>
      <c r="Z340" s="593"/>
      <c r="AA340" s="549">
        <v>3603</v>
      </c>
      <c r="AB340" s="592">
        <v>4238</v>
      </c>
      <c r="AC340" s="595"/>
      <c r="AD340" s="469">
        <v>3763</v>
      </c>
      <c r="AE340" s="592">
        <v>3763</v>
      </c>
      <c r="AF340" s="593"/>
      <c r="AG340" s="549">
        <v>4806</v>
      </c>
      <c r="AH340" s="592">
        <v>5441</v>
      </c>
      <c r="AI340" s="595"/>
      <c r="AJ340" s="469">
        <v>4765</v>
      </c>
      <c r="AK340" s="592">
        <v>4765</v>
      </c>
      <c r="AL340" s="593"/>
      <c r="AM340" s="594">
        <v>3765</v>
      </c>
      <c r="AN340" s="592">
        <v>7337</v>
      </c>
      <c r="AO340" s="465"/>
    </row>
    <row r="341" spans="1:41" x14ac:dyDescent="0.2">
      <c r="A341" s="466" t="s">
        <v>677</v>
      </c>
      <c r="B341" s="467" t="s">
        <v>678</v>
      </c>
      <c r="C341" s="468">
        <f t="shared" si="307"/>
        <v>14030.58</v>
      </c>
      <c r="D341" s="469">
        <f t="shared" si="307"/>
        <v>14369</v>
      </c>
      <c r="E341" s="470">
        <f t="shared" si="307"/>
        <v>6518</v>
      </c>
      <c r="F341" s="469">
        <v>1454</v>
      </c>
      <c r="G341" s="598">
        <f>1720-1057</f>
        <v>663</v>
      </c>
      <c r="H341" s="599">
        <v>1720</v>
      </c>
      <c r="I341" s="549">
        <v>1017</v>
      </c>
      <c r="J341" s="598">
        <f>859+1057</f>
        <v>1916</v>
      </c>
      <c r="K341" s="600">
        <v>859</v>
      </c>
      <c r="L341" s="469">
        <v>1017</v>
      </c>
      <c r="M341" s="598">
        <v>953</v>
      </c>
      <c r="N341" s="599">
        <v>953</v>
      </c>
      <c r="O341" s="549">
        <v>1286</v>
      </c>
      <c r="P341" s="598">
        <v>878</v>
      </c>
      <c r="Q341" s="600">
        <v>878</v>
      </c>
      <c r="R341" s="469">
        <v>1139.94</v>
      </c>
      <c r="S341" s="598">
        <v>1173</v>
      </c>
      <c r="T341" s="599">
        <v>1173</v>
      </c>
      <c r="U341" s="549">
        <v>1016.01</v>
      </c>
      <c r="V341" s="598">
        <v>935</v>
      </c>
      <c r="W341" s="600">
        <v>935</v>
      </c>
      <c r="X341" s="469">
        <v>1512.8100000000002</v>
      </c>
      <c r="Y341" s="598">
        <v>1513</v>
      </c>
      <c r="Z341" s="599"/>
      <c r="AA341" s="549">
        <v>972.81000000000006</v>
      </c>
      <c r="AB341" s="598">
        <v>973</v>
      </c>
      <c r="AC341" s="600"/>
      <c r="AD341" s="469">
        <v>1016.01</v>
      </c>
      <c r="AE341" s="598">
        <v>1016</v>
      </c>
      <c r="AF341" s="599"/>
      <c r="AG341" s="549">
        <v>1297</v>
      </c>
      <c r="AH341" s="598">
        <v>1297</v>
      </c>
      <c r="AI341" s="600"/>
      <c r="AJ341" s="469">
        <v>1286</v>
      </c>
      <c r="AK341" s="598">
        <v>1286</v>
      </c>
      <c r="AL341" s="599"/>
      <c r="AM341" s="549">
        <v>1016</v>
      </c>
      <c r="AN341" s="598">
        <v>1766</v>
      </c>
      <c r="AO341" s="470"/>
    </row>
    <row r="342" spans="1:41" x14ac:dyDescent="0.2">
      <c r="A342" s="466" t="s">
        <v>679</v>
      </c>
      <c r="B342" s="467" t="s">
        <v>680</v>
      </c>
      <c r="C342" s="468">
        <f t="shared" si="307"/>
        <v>55678</v>
      </c>
      <c r="D342" s="469">
        <f t="shared" si="307"/>
        <v>55678</v>
      </c>
      <c r="E342" s="470">
        <f t="shared" si="307"/>
        <v>27125</v>
      </c>
      <c r="F342" s="469">
        <v>3437</v>
      </c>
      <c r="G342" s="598">
        <v>3183</v>
      </c>
      <c r="H342" s="599">
        <v>3183</v>
      </c>
      <c r="I342" s="549">
        <v>3384</v>
      </c>
      <c r="J342" s="598">
        <v>3705</v>
      </c>
      <c r="K342" s="600">
        <v>3705</v>
      </c>
      <c r="L342" s="469">
        <v>5472</v>
      </c>
      <c r="M342" s="598">
        <v>5205</v>
      </c>
      <c r="N342" s="599">
        <v>5205</v>
      </c>
      <c r="O342" s="549">
        <v>4197</v>
      </c>
      <c r="P342" s="598">
        <v>6090</v>
      </c>
      <c r="Q342" s="600">
        <v>6090</v>
      </c>
      <c r="R342" s="469">
        <v>5784</v>
      </c>
      <c r="S342" s="598">
        <v>3555</v>
      </c>
      <c r="T342" s="599">
        <v>3555</v>
      </c>
      <c r="U342" s="549">
        <v>3911</v>
      </c>
      <c r="V342" s="598">
        <v>5387</v>
      </c>
      <c r="W342" s="600">
        <v>5387</v>
      </c>
      <c r="X342" s="469">
        <v>5345</v>
      </c>
      <c r="Y342" s="598">
        <v>5345</v>
      </c>
      <c r="Z342" s="599"/>
      <c r="AA342" s="549">
        <v>6772</v>
      </c>
      <c r="AB342" s="598">
        <v>6772</v>
      </c>
      <c r="AC342" s="600"/>
      <c r="AD342" s="469">
        <v>4987</v>
      </c>
      <c r="AE342" s="598">
        <v>4987</v>
      </c>
      <c r="AF342" s="599"/>
      <c r="AG342" s="549">
        <v>4423</v>
      </c>
      <c r="AH342" s="598">
        <v>4423</v>
      </c>
      <c r="AI342" s="600"/>
      <c r="AJ342" s="469">
        <v>4629</v>
      </c>
      <c r="AK342" s="598">
        <v>4629</v>
      </c>
      <c r="AL342" s="599"/>
      <c r="AM342" s="549">
        <v>3337</v>
      </c>
      <c r="AN342" s="598">
        <v>2397</v>
      </c>
      <c r="AO342" s="470"/>
    </row>
    <row r="343" spans="1:41" x14ac:dyDescent="0.2">
      <c r="A343" s="466" t="s">
        <v>681</v>
      </c>
      <c r="B343" s="467" t="s">
        <v>682</v>
      </c>
      <c r="C343" s="468">
        <f t="shared" si="307"/>
        <v>0</v>
      </c>
      <c r="D343" s="469">
        <f t="shared" si="307"/>
        <v>0</v>
      </c>
      <c r="E343" s="470">
        <f t="shared" si="307"/>
        <v>0</v>
      </c>
      <c r="F343" s="469"/>
      <c r="G343" s="598"/>
      <c r="H343" s="599"/>
      <c r="I343" s="549"/>
      <c r="J343" s="598"/>
      <c r="K343" s="600"/>
      <c r="L343" s="469"/>
      <c r="M343" s="598"/>
      <c r="N343" s="599"/>
      <c r="O343" s="549"/>
      <c r="P343" s="598"/>
      <c r="Q343" s="600"/>
      <c r="R343" s="469"/>
      <c r="S343" s="598"/>
      <c r="T343" s="599"/>
      <c r="U343" s="549"/>
      <c r="V343" s="598"/>
      <c r="W343" s="600"/>
      <c r="X343" s="469"/>
      <c r="Y343" s="598"/>
      <c r="Z343" s="599"/>
      <c r="AA343" s="549"/>
      <c r="AB343" s="598"/>
      <c r="AC343" s="600"/>
      <c r="AD343" s="469"/>
      <c r="AE343" s="598"/>
      <c r="AF343" s="599"/>
      <c r="AG343" s="549"/>
      <c r="AH343" s="598"/>
      <c r="AI343" s="600"/>
      <c r="AJ343" s="469"/>
      <c r="AK343" s="598"/>
      <c r="AL343" s="599"/>
      <c r="AM343" s="549"/>
      <c r="AN343" s="598"/>
      <c r="AO343" s="470"/>
    </row>
    <row r="344" spans="1:41" x14ac:dyDescent="0.2">
      <c r="A344" s="466" t="s">
        <v>683</v>
      </c>
      <c r="B344" s="467" t="s">
        <v>684</v>
      </c>
      <c r="C344" s="468">
        <f t="shared" si="307"/>
        <v>0</v>
      </c>
      <c r="D344" s="469">
        <f t="shared" si="307"/>
        <v>83</v>
      </c>
      <c r="E344" s="470">
        <f t="shared" si="307"/>
        <v>83</v>
      </c>
      <c r="F344" s="469"/>
      <c r="G344" s="598"/>
      <c r="H344" s="599"/>
      <c r="I344" s="549"/>
      <c r="J344" s="598"/>
      <c r="K344" s="600"/>
      <c r="L344" s="469"/>
      <c r="M344" s="598"/>
      <c r="N344" s="599"/>
      <c r="O344" s="549"/>
      <c r="P344" s="598"/>
      <c r="Q344" s="600"/>
      <c r="R344" s="469"/>
      <c r="S344" s="598"/>
      <c r="T344" s="599"/>
      <c r="U344" s="549"/>
      <c r="V344" s="598">
        <v>83</v>
      </c>
      <c r="W344" s="600">
        <v>83</v>
      </c>
      <c r="X344" s="469"/>
      <c r="Y344" s="598"/>
      <c r="Z344" s="599"/>
      <c r="AA344" s="549"/>
      <c r="AB344" s="598"/>
      <c r="AC344" s="600"/>
      <c r="AD344" s="469"/>
      <c r="AE344" s="598"/>
      <c r="AF344" s="599"/>
      <c r="AG344" s="549"/>
      <c r="AH344" s="598"/>
      <c r="AI344" s="600"/>
      <c r="AJ344" s="469"/>
      <c r="AK344" s="598"/>
      <c r="AL344" s="599"/>
      <c r="AM344" s="549"/>
      <c r="AN344" s="598"/>
      <c r="AO344" s="470"/>
    </row>
    <row r="345" spans="1:41" x14ac:dyDescent="0.2">
      <c r="A345" s="481"/>
      <c r="B345" s="482" t="s">
        <v>685</v>
      </c>
      <c r="C345" s="483">
        <f t="shared" si="307"/>
        <v>0</v>
      </c>
      <c r="D345" s="484">
        <f t="shared" si="307"/>
        <v>0</v>
      </c>
      <c r="E345" s="485">
        <f t="shared" si="307"/>
        <v>0</v>
      </c>
      <c r="F345" s="484"/>
      <c r="G345" s="606"/>
      <c r="H345" s="607"/>
      <c r="I345" s="487"/>
      <c r="J345" s="606"/>
      <c r="K345" s="608"/>
      <c r="L345" s="484"/>
      <c r="M345" s="606"/>
      <c r="N345" s="607"/>
      <c r="O345" s="487"/>
      <c r="P345" s="606"/>
      <c r="Q345" s="608"/>
      <c r="R345" s="484"/>
      <c r="S345" s="606"/>
      <c r="T345" s="607"/>
      <c r="U345" s="487"/>
      <c r="V345" s="606"/>
      <c r="W345" s="608"/>
      <c r="X345" s="484"/>
      <c r="Y345" s="606"/>
      <c r="Z345" s="607"/>
      <c r="AA345" s="487"/>
      <c r="AB345" s="606"/>
      <c r="AC345" s="608"/>
      <c r="AD345" s="484"/>
      <c r="AE345" s="606"/>
      <c r="AF345" s="607"/>
      <c r="AG345" s="487"/>
      <c r="AH345" s="606"/>
      <c r="AI345" s="608"/>
      <c r="AJ345" s="484"/>
      <c r="AK345" s="606"/>
      <c r="AL345" s="607"/>
      <c r="AM345" s="487"/>
      <c r="AN345" s="606"/>
      <c r="AO345" s="485"/>
    </row>
    <row r="346" spans="1:41" x14ac:dyDescent="0.2">
      <c r="A346" s="544"/>
      <c r="B346" s="545" t="s">
        <v>686</v>
      </c>
      <c r="C346" s="483">
        <f t="shared" si="307"/>
        <v>0</v>
      </c>
      <c r="D346" s="484">
        <f t="shared" si="307"/>
        <v>0</v>
      </c>
      <c r="E346" s="485">
        <f t="shared" si="307"/>
        <v>0</v>
      </c>
      <c r="F346" s="638"/>
      <c r="G346" s="606"/>
      <c r="H346" s="607"/>
      <c r="I346" s="639"/>
      <c r="J346" s="606"/>
      <c r="K346" s="608"/>
      <c r="L346" s="638"/>
      <c r="M346" s="606"/>
      <c r="N346" s="607"/>
      <c r="O346" s="639"/>
      <c r="P346" s="606"/>
      <c r="Q346" s="608"/>
      <c r="R346" s="638"/>
      <c r="S346" s="606"/>
      <c r="T346" s="607"/>
      <c r="U346" s="639"/>
      <c r="V346" s="606"/>
      <c r="W346" s="608"/>
      <c r="X346" s="638"/>
      <c r="Y346" s="606"/>
      <c r="Z346" s="607"/>
      <c r="AA346" s="639"/>
      <c r="AB346" s="606"/>
      <c r="AC346" s="608"/>
      <c r="AD346" s="638"/>
      <c r="AE346" s="606"/>
      <c r="AF346" s="607"/>
      <c r="AG346" s="639"/>
      <c r="AH346" s="606"/>
      <c r="AI346" s="608"/>
      <c r="AJ346" s="638"/>
      <c r="AK346" s="606"/>
      <c r="AL346" s="607"/>
      <c r="AM346" s="639"/>
      <c r="AN346" s="606"/>
      <c r="AO346" s="485"/>
    </row>
    <row r="347" spans="1:41" x14ac:dyDescent="0.2">
      <c r="A347" s="471" t="s">
        <v>654</v>
      </c>
      <c r="B347" s="472" t="s">
        <v>687</v>
      </c>
      <c r="C347" s="473">
        <f t="shared" si="307"/>
        <v>121880.58</v>
      </c>
      <c r="D347" s="474">
        <f t="shared" si="307"/>
        <v>123860</v>
      </c>
      <c r="E347" s="475">
        <f t="shared" si="307"/>
        <v>58250</v>
      </c>
      <c r="F347" s="476">
        <f>SUM(F340:F346)</f>
        <v>9381</v>
      </c>
      <c r="G347" s="603">
        <f t="shared" ref="G347:H347" si="308">SUM(G340:G344)</f>
        <v>3846</v>
      </c>
      <c r="H347" s="604">
        <f t="shared" si="308"/>
        <v>11581</v>
      </c>
      <c r="I347" s="477">
        <f t="shared" ref="I347:AM347" si="309">SUM(I340:I346)</f>
        <v>8166</v>
      </c>
      <c r="J347" s="603">
        <f t="shared" ref="J347:K347" si="310">SUM(J340:J344)</f>
        <v>6269</v>
      </c>
      <c r="K347" s="605">
        <f t="shared" si="310"/>
        <v>7787</v>
      </c>
      <c r="L347" s="474">
        <f t="shared" si="309"/>
        <v>10254</v>
      </c>
      <c r="M347" s="603">
        <f t="shared" ref="M347:N347" si="311">SUM(M340:M344)</f>
        <v>10833</v>
      </c>
      <c r="N347" s="604">
        <f t="shared" si="311"/>
        <v>9803</v>
      </c>
      <c r="O347" s="477">
        <f t="shared" si="309"/>
        <v>11345</v>
      </c>
      <c r="P347" s="603">
        <f t="shared" ref="P347:Q347" si="312">SUM(P340:P344)</f>
        <v>12846</v>
      </c>
      <c r="Q347" s="605">
        <f t="shared" si="312"/>
        <v>10234</v>
      </c>
      <c r="R347" s="474">
        <f t="shared" si="309"/>
        <v>11145.94</v>
      </c>
      <c r="S347" s="603">
        <f t="shared" ref="S347:T347" si="313">SUM(S340:S344)</f>
        <v>5915</v>
      </c>
      <c r="T347" s="604">
        <f t="shared" si="313"/>
        <v>8908</v>
      </c>
      <c r="U347" s="477">
        <f t="shared" si="309"/>
        <v>8690.01</v>
      </c>
      <c r="V347" s="603">
        <f t="shared" ref="V347:W347" si="314">SUM(V340:V344)</f>
        <v>13477</v>
      </c>
      <c r="W347" s="605">
        <f t="shared" si="314"/>
        <v>9937</v>
      </c>
      <c r="X347" s="474">
        <f t="shared" si="309"/>
        <v>12460.810000000001</v>
      </c>
      <c r="Y347" s="603">
        <f t="shared" ref="Y347:Z347" si="315">SUM(Y340:Y344)</f>
        <v>15584</v>
      </c>
      <c r="Z347" s="604">
        <f t="shared" si="315"/>
        <v>0</v>
      </c>
      <c r="AA347" s="477">
        <f t="shared" si="309"/>
        <v>11347.810000000001</v>
      </c>
      <c r="AB347" s="603">
        <f t="shared" ref="AB347:AC347" si="316">SUM(AB340:AB344)</f>
        <v>11983</v>
      </c>
      <c r="AC347" s="605">
        <f t="shared" si="316"/>
        <v>0</v>
      </c>
      <c r="AD347" s="474">
        <f t="shared" si="309"/>
        <v>9766.01</v>
      </c>
      <c r="AE347" s="603">
        <f t="shared" ref="AE347:AF347" si="317">SUM(AE340:AE344)</f>
        <v>9766</v>
      </c>
      <c r="AF347" s="604">
        <f t="shared" si="317"/>
        <v>0</v>
      </c>
      <c r="AG347" s="477">
        <f t="shared" si="309"/>
        <v>10526</v>
      </c>
      <c r="AH347" s="603">
        <f t="shared" ref="AH347:AI347" si="318">SUM(AH340:AH344)</f>
        <v>11161</v>
      </c>
      <c r="AI347" s="605">
        <f t="shared" si="318"/>
        <v>0</v>
      </c>
      <c r="AJ347" s="474">
        <f t="shared" si="309"/>
        <v>10680</v>
      </c>
      <c r="AK347" s="603">
        <f t="shared" ref="AK347:AL347" si="319">SUM(AK340:AK344)</f>
        <v>10680</v>
      </c>
      <c r="AL347" s="604">
        <f t="shared" si="319"/>
        <v>0</v>
      </c>
      <c r="AM347" s="477">
        <f t="shared" si="309"/>
        <v>8118</v>
      </c>
      <c r="AN347" s="603">
        <f t="shared" ref="AN347:AO347" si="320">SUM(AN340:AN344)</f>
        <v>11500</v>
      </c>
      <c r="AO347" s="475">
        <f t="shared" si="320"/>
        <v>0</v>
      </c>
    </row>
    <row r="348" spans="1:41" x14ac:dyDescent="0.2">
      <c r="A348" s="471" t="s">
        <v>688</v>
      </c>
      <c r="B348" s="472" t="s">
        <v>689</v>
      </c>
      <c r="C348" s="473">
        <f t="shared" si="307"/>
        <v>0</v>
      </c>
      <c r="D348" s="474">
        <f t="shared" si="307"/>
        <v>0</v>
      </c>
      <c r="E348" s="475">
        <f t="shared" si="307"/>
        <v>0</v>
      </c>
      <c r="F348" s="476"/>
      <c r="G348" s="603"/>
      <c r="H348" s="604"/>
      <c r="I348" s="477"/>
      <c r="J348" s="603"/>
      <c r="K348" s="605"/>
      <c r="L348" s="474"/>
      <c r="M348" s="603"/>
      <c r="N348" s="604"/>
      <c r="O348" s="477"/>
      <c r="P348" s="603"/>
      <c r="Q348" s="605"/>
      <c r="R348" s="474"/>
      <c r="S348" s="603"/>
      <c r="T348" s="604"/>
      <c r="U348" s="477"/>
      <c r="V348" s="603"/>
      <c r="W348" s="605"/>
      <c r="X348" s="474"/>
      <c r="Y348" s="603"/>
      <c r="Z348" s="604"/>
      <c r="AA348" s="477"/>
      <c r="AB348" s="603"/>
      <c r="AC348" s="605"/>
      <c r="AD348" s="474"/>
      <c r="AE348" s="603"/>
      <c r="AF348" s="604"/>
      <c r="AG348" s="477"/>
      <c r="AH348" s="603"/>
      <c r="AI348" s="605"/>
      <c r="AJ348" s="474"/>
      <c r="AK348" s="603"/>
      <c r="AL348" s="604"/>
      <c r="AM348" s="477"/>
      <c r="AN348" s="603"/>
      <c r="AO348" s="475"/>
    </row>
    <row r="349" spans="1:41" x14ac:dyDescent="0.2">
      <c r="A349" s="493" t="s">
        <v>660</v>
      </c>
      <c r="B349" s="494" t="s">
        <v>690</v>
      </c>
      <c r="C349" s="473">
        <f t="shared" si="307"/>
        <v>121880.58</v>
      </c>
      <c r="D349" s="474">
        <f t="shared" si="307"/>
        <v>123860</v>
      </c>
      <c r="E349" s="475">
        <f t="shared" si="307"/>
        <v>58250</v>
      </c>
      <c r="F349" s="495">
        <f>SUM(F347,F348)</f>
        <v>9381</v>
      </c>
      <c r="G349" s="603">
        <f t="shared" ref="G349:AO349" si="321">SUM(G347,G348)</f>
        <v>3846</v>
      </c>
      <c r="H349" s="604">
        <f t="shared" si="321"/>
        <v>11581</v>
      </c>
      <c r="I349" s="497">
        <f t="shared" si="321"/>
        <v>8166</v>
      </c>
      <c r="J349" s="603">
        <f t="shared" si="321"/>
        <v>6269</v>
      </c>
      <c r="K349" s="605">
        <f t="shared" si="321"/>
        <v>7787</v>
      </c>
      <c r="L349" s="495">
        <f t="shared" si="321"/>
        <v>10254</v>
      </c>
      <c r="M349" s="603">
        <f t="shared" si="321"/>
        <v>10833</v>
      </c>
      <c r="N349" s="604">
        <f t="shared" si="321"/>
        <v>9803</v>
      </c>
      <c r="O349" s="497">
        <f t="shared" si="321"/>
        <v>11345</v>
      </c>
      <c r="P349" s="603">
        <f t="shared" si="321"/>
        <v>12846</v>
      </c>
      <c r="Q349" s="605">
        <f t="shared" si="321"/>
        <v>10234</v>
      </c>
      <c r="R349" s="495">
        <f t="shared" si="321"/>
        <v>11145.94</v>
      </c>
      <c r="S349" s="603">
        <f t="shared" si="321"/>
        <v>5915</v>
      </c>
      <c r="T349" s="604">
        <f t="shared" si="321"/>
        <v>8908</v>
      </c>
      <c r="U349" s="497">
        <f t="shared" si="321"/>
        <v>8690.01</v>
      </c>
      <c r="V349" s="603">
        <f t="shared" si="321"/>
        <v>13477</v>
      </c>
      <c r="W349" s="605">
        <f t="shared" si="321"/>
        <v>9937</v>
      </c>
      <c r="X349" s="495">
        <f t="shared" si="321"/>
        <v>12460.810000000001</v>
      </c>
      <c r="Y349" s="603">
        <f t="shared" si="321"/>
        <v>15584</v>
      </c>
      <c r="Z349" s="604">
        <f t="shared" si="321"/>
        <v>0</v>
      </c>
      <c r="AA349" s="497">
        <f t="shared" si="321"/>
        <v>11347.810000000001</v>
      </c>
      <c r="AB349" s="603">
        <f t="shared" si="321"/>
        <v>11983</v>
      </c>
      <c r="AC349" s="605">
        <f t="shared" si="321"/>
        <v>0</v>
      </c>
      <c r="AD349" s="495">
        <f t="shared" si="321"/>
        <v>9766.01</v>
      </c>
      <c r="AE349" s="603">
        <f t="shared" si="321"/>
        <v>9766</v>
      </c>
      <c r="AF349" s="604">
        <f t="shared" si="321"/>
        <v>0</v>
      </c>
      <c r="AG349" s="497">
        <f t="shared" si="321"/>
        <v>10526</v>
      </c>
      <c r="AH349" s="603">
        <f t="shared" si="321"/>
        <v>11161</v>
      </c>
      <c r="AI349" s="605">
        <f t="shared" si="321"/>
        <v>0</v>
      </c>
      <c r="AJ349" s="495">
        <f t="shared" si="321"/>
        <v>10680</v>
      </c>
      <c r="AK349" s="603">
        <f t="shared" si="321"/>
        <v>10680</v>
      </c>
      <c r="AL349" s="604">
        <f t="shared" si="321"/>
        <v>0</v>
      </c>
      <c r="AM349" s="497">
        <f t="shared" si="321"/>
        <v>8118</v>
      </c>
      <c r="AN349" s="603">
        <f t="shared" si="321"/>
        <v>11500</v>
      </c>
      <c r="AO349" s="475">
        <f t="shared" si="321"/>
        <v>0</v>
      </c>
    </row>
    <row r="350" spans="1:41" x14ac:dyDescent="0.2">
      <c r="A350" s="466" t="s">
        <v>691</v>
      </c>
      <c r="B350" s="467" t="s">
        <v>692</v>
      </c>
      <c r="C350" s="468">
        <f t="shared" si="307"/>
        <v>2461</v>
      </c>
      <c r="D350" s="469">
        <f t="shared" si="307"/>
        <v>2461</v>
      </c>
      <c r="E350" s="470">
        <f t="shared" si="307"/>
        <v>704</v>
      </c>
      <c r="F350" s="469"/>
      <c r="G350" s="598"/>
      <c r="H350" s="599"/>
      <c r="I350" s="549"/>
      <c r="J350" s="598"/>
      <c r="K350" s="600"/>
      <c r="L350" s="469">
        <v>635</v>
      </c>
      <c r="M350" s="598">
        <v>20</v>
      </c>
      <c r="N350" s="599">
        <v>20</v>
      </c>
      <c r="O350" s="549"/>
      <c r="P350" s="598">
        <v>134</v>
      </c>
      <c r="Q350" s="600">
        <v>134</v>
      </c>
      <c r="R350" s="469">
        <v>556</v>
      </c>
      <c r="S350" s="598">
        <v>248</v>
      </c>
      <c r="T350" s="599">
        <v>248</v>
      </c>
      <c r="U350" s="549"/>
      <c r="V350" s="598">
        <v>302</v>
      </c>
      <c r="W350" s="600">
        <v>302</v>
      </c>
      <c r="X350" s="469"/>
      <c r="Y350" s="598"/>
      <c r="Z350" s="599"/>
      <c r="AA350" s="549">
        <v>635</v>
      </c>
      <c r="AB350" s="598">
        <v>635</v>
      </c>
      <c r="AC350" s="600"/>
      <c r="AD350" s="469"/>
      <c r="AE350" s="598"/>
      <c r="AF350" s="599"/>
      <c r="AG350" s="549">
        <v>635</v>
      </c>
      <c r="AH350" s="598">
        <v>635</v>
      </c>
      <c r="AI350" s="600"/>
      <c r="AJ350" s="469"/>
      <c r="AK350" s="598"/>
      <c r="AL350" s="599"/>
      <c r="AM350" s="549"/>
      <c r="AN350" s="598">
        <v>487</v>
      </c>
      <c r="AO350" s="470"/>
    </row>
    <row r="351" spans="1:41" x14ac:dyDescent="0.2">
      <c r="A351" s="466" t="s">
        <v>693</v>
      </c>
      <c r="B351" s="467" t="s">
        <v>694</v>
      </c>
      <c r="C351" s="468">
        <f t="shared" si="307"/>
        <v>658</v>
      </c>
      <c r="D351" s="469">
        <f t="shared" si="307"/>
        <v>658</v>
      </c>
      <c r="E351" s="470">
        <f t="shared" si="307"/>
        <v>658</v>
      </c>
      <c r="F351" s="469">
        <v>658</v>
      </c>
      <c r="G351" s="598">
        <v>658</v>
      </c>
      <c r="H351" s="599">
        <v>658</v>
      </c>
      <c r="I351" s="549"/>
      <c r="J351" s="598"/>
      <c r="K351" s="600"/>
      <c r="L351" s="469"/>
      <c r="M351" s="598"/>
      <c r="N351" s="599"/>
      <c r="O351" s="549"/>
      <c r="P351" s="598"/>
      <c r="Q351" s="600"/>
      <c r="R351" s="469"/>
      <c r="S351" s="598"/>
      <c r="T351" s="599"/>
      <c r="U351" s="549"/>
      <c r="V351" s="598"/>
      <c r="W351" s="600"/>
      <c r="X351" s="469"/>
      <c r="Y351" s="598"/>
      <c r="Z351" s="599"/>
      <c r="AA351" s="549"/>
      <c r="AB351" s="598"/>
      <c r="AC351" s="600"/>
      <c r="AD351" s="469"/>
      <c r="AE351" s="598"/>
      <c r="AF351" s="599"/>
      <c r="AG351" s="549"/>
      <c r="AH351" s="598"/>
      <c r="AI351" s="600"/>
      <c r="AJ351" s="469"/>
      <c r="AK351" s="598"/>
      <c r="AL351" s="599"/>
      <c r="AM351" s="549"/>
      <c r="AN351" s="598"/>
      <c r="AO351" s="470"/>
    </row>
    <row r="352" spans="1:41" x14ac:dyDescent="0.2">
      <c r="A352" s="553" t="s">
        <v>695</v>
      </c>
      <c r="B352" s="554" t="s">
        <v>696</v>
      </c>
      <c r="C352" s="468">
        <f t="shared" si="307"/>
        <v>0</v>
      </c>
      <c r="D352" s="469">
        <f t="shared" si="307"/>
        <v>0</v>
      </c>
      <c r="E352" s="470">
        <f t="shared" si="307"/>
        <v>0</v>
      </c>
      <c r="F352" s="640"/>
      <c r="G352" s="598"/>
      <c r="H352" s="599"/>
      <c r="I352" s="641"/>
      <c r="J352" s="598"/>
      <c r="K352" s="600"/>
      <c r="L352" s="640"/>
      <c r="M352" s="598"/>
      <c r="N352" s="599"/>
      <c r="O352" s="641"/>
      <c r="P352" s="598"/>
      <c r="Q352" s="600"/>
      <c r="R352" s="640"/>
      <c r="S352" s="598"/>
      <c r="T352" s="599"/>
      <c r="U352" s="641"/>
      <c r="V352" s="598"/>
      <c r="W352" s="600"/>
      <c r="X352" s="640"/>
      <c r="Y352" s="598"/>
      <c r="Z352" s="599"/>
      <c r="AA352" s="641"/>
      <c r="AB352" s="598"/>
      <c r="AC352" s="600"/>
      <c r="AD352" s="640"/>
      <c r="AE352" s="598"/>
      <c r="AF352" s="599"/>
      <c r="AG352" s="641"/>
      <c r="AH352" s="598"/>
      <c r="AI352" s="600"/>
      <c r="AJ352" s="640"/>
      <c r="AK352" s="598"/>
      <c r="AL352" s="599"/>
      <c r="AM352" s="641"/>
      <c r="AN352" s="598"/>
      <c r="AO352" s="470"/>
    </row>
    <row r="353" spans="1:42" x14ac:dyDescent="0.2">
      <c r="A353" s="471" t="s">
        <v>667</v>
      </c>
      <c r="B353" s="472" t="s">
        <v>697</v>
      </c>
      <c r="C353" s="473">
        <f t="shared" si="307"/>
        <v>3119</v>
      </c>
      <c r="D353" s="474">
        <f t="shared" si="307"/>
        <v>3119</v>
      </c>
      <c r="E353" s="475">
        <f t="shared" si="307"/>
        <v>1362</v>
      </c>
      <c r="F353" s="474">
        <f>SUM(F350:F352)</f>
        <v>658</v>
      </c>
      <c r="G353" s="603">
        <f t="shared" ref="G353:AO353" si="322">SUM(G350:G352)</f>
        <v>658</v>
      </c>
      <c r="H353" s="604">
        <f t="shared" si="322"/>
        <v>658</v>
      </c>
      <c r="I353" s="477">
        <f t="shared" si="322"/>
        <v>0</v>
      </c>
      <c r="J353" s="603">
        <f t="shared" si="322"/>
        <v>0</v>
      </c>
      <c r="K353" s="605">
        <f t="shared" si="322"/>
        <v>0</v>
      </c>
      <c r="L353" s="474">
        <f t="shared" si="322"/>
        <v>635</v>
      </c>
      <c r="M353" s="603">
        <f t="shared" si="322"/>
        <v>20</v>
      </c>
      <c r="N353" s="604">
        <f t="shared" si="322"/>
        <v>20</v>
      </c>
      <c r="O353" s="477">
        <f t="shared" si="322"/>
        <v>0</v>
      </c>
      <c r="P353" s="603">
        <f t="shared" si="322"/>
        <v>134</v>
      </c>
      <c r="Q353" s="605">
        <f t="shared" si="322"/>
        <v>134</v>
      </c>
      <c r="R353" s="474">
        <f t="shared" si="322"/>
        <v>556</v>
      </c>
      <c r="S353" s="603">
        <f t="shared" si="322"/>
        <v>248</v>
      </c>
      <c r="T353" s="604">
        <f t="shared" si="322"/>
        <v>248</v>
      </c>
      <c r="U353" s="477">
        <f t="shared" si="322"/>
        <v>0</v>
      </c>
      <c r="V353" s="603">
        <f t="shared" si="322"/>
        <v>302</v>
      </c>
      <c r="W353" s="605">
        <f t="shared" si="322"/>
        <v>302</v>
      </c>
      <c r="X353" s="474">
        <f t="shared" si="322"/>
        <v>0</v>
      </c>
      <c r="Y353" s="603">
        <f t="shared" si="322"/>
        <v>0</v>
      </c>
      <c r="Z353" s="604">
        <f t="shared" si="322"/>
        <v>0</v>
      </c>
      <c r="AA353" s="477">
        <f t="shared" si="322"/>
        <v>635</v>
      </c>
      <c r="AB353" s="603">
        <f t="shared" si="322"/>
        <v>635</v>
      </c>
      <c r="AC353" s="605">
        <f t="shared" si="322"/>
        <v>0</v>
      </c>
      <c r="AD353" s="474">
        <f t="shared" si="322"/>
        <v>0</v>
      </c>
      <c r="AE353" s="603">
        <f t="shared" si="322"/>
        <v>0</v>
      </c>
      <c r="AF353" s="604">
        <f t="shared" si="322"/>
        <v>0</v>
      </c>
      <c r="AG353" s="477">
        <f t="shared" si="322"/>
        <v>635</v>
      </c>
      <c r="AH353" s="603">
        <f t="shared" si="322"/>
        <v>635</v>
      </c>
      <c r="AI353" s="605">
        <f t="shared" si="322"/>
        <v>0</v>
      </c>
      <c r="AJ353" s="474">
        <f t="shared" si="322"/>
        <v>0</v>
      </c>
      <c r="AK353" s="603">
        <f t="shared" si="322"/>
        <v>0</v>
      </c>
      <c r="AL353" s="604">
        <f t="shared" si="322"/>
        <v>0</v>
      </c>
      <c r="AM353" s="477">
        <f t="shared" si="322"/>
        <v>0</v>
      </c>
      <c r="AN353" s="603">
        <f t="shared" si="322"/>
        <v>487</v>
      </c>
      <c r="AO353" s="475">
        <f t="shared" si="322"/>
        <v>0</v>
      </c>
    </row>
    <row r="354" spans="1:42" x14ac:dyDescent="0.2">
      <c r="A354" s="505" t="s">
        <v>698</v>
      </c>
      <c r="B354" s="506" t="s">
        <v>699</v>
      </c>
      <c r="C354" s="473">
        <f t="shared" si="307"/>
        <v>0</v>
      </c>
      <c r="D354" s="474">
        <f t="shared" si="307"/>
        <v>0</v>
      </c>
      <c r="E354" s="475">
        <f t="shared" si="307"/>
        <v>0</v>
      </c>
      <c r="F354" s="642"/>
      <c r="G354" s="603"/>
      <c r="H354" s="604"/>
      <c r="I354" s="643"/>
      <c r="J354" s="603"/>
      <c r="K354" s="605"/>
      <c r="L354" s="644"/>
      <c r="M354" s="603"/>
      <c r="N354" s="604"/>
      <c r="O354" s="643"/>
      <c r="P354" s="603"/>
      <c r="Q354" s="605"/>
      <c r="R354" s="644"/>
      <c r="S354" s="603"/>
      <c r="T354" s="604"/>
      <c r="U354" s="643"/>
      <c r="V354" s="603"/>
      <c r="W354" s="605"/>
      <c r="X354" s="644"/>
      <c r="Y354" s="603"/>
      <c r="Z354" s="604"/>
      <c r="AA354" s="643"/>
      <c r="AB354" s="603"/>
      <c r="AC354" s="605"/>
      <c r="AD354" s="644"/>
      <c r="AE354" s="603"/>
      <c r="AF354" s="604"/>
      <c r="AG354" s="643"/>
      <c r="AH354" s="603"/>
      <c r="AI354" s="605"/>
      <c r="AJ354" s="644"/>
      <c r="AK354" s="603"/>
      <c r="AL354" s="604"/>
      <c r="AM354" s="643"/>
      <c r="AN354" s="603"/>
      <c r="AO354" s="475"/>
    </row>
    <row r="355" spans="1:42" x14ac:dyDescent="0.2">
      <c r="A355" s="471" t="s">
        <v>700</v>
      </c>
      <c r="B355" s="472" t="s">
        <v>689</v>
      </c>
      <c r="C355" s="473">
        <f t="shared" si="307"/>
        <v>0</v>
      </c>
      <c r="D355" s="474">
        <f t="shared" si="307"/>
        <v>0</v>
      </c>
      <c r="E355" s="475">
        <f t="shared" si="307"/>
        <v>0</v>
      </c>
      <c r="F355" s="474"/>
      <c r="G355" s="603">
        <v>0</v>
      </c>
      <c r="H355" s="604">
        <v>0</v>
      </c>
      <c r="I355" s="477"/>
      <c r="J355" s="603">
        <v>0</v>
      </c>
      <c r="K355" s="605">
        <v>0</v>
      </c>
      <c r="L355" s="474"/>
      <c r="M355" s="603">
        <v>0</v>
      </c>
      <c r="N355" s="604">
        <v>0</v>
      </c>
      <c r="O355" s="477"/>
      <c r="P355" s="603">
        <v>0</v>
      </c>
      <c r="Q355" s="605">
        <v>0</v>
      </c>
      <c r="R355" s="474"/>
      <c r="S355" s="603">
        <v>0</v>
      </c>
      <c r="T355" s="604">
        <v>0</v>
      </c>
      <c r="U355" s="477"/>
      <c r="V355" s="603">
        <v>0</v>
      </c>
      <c r="W355" s="605">
        <v>0</v>
      </c>
      <c r="X355" s="474"/>
      <c r="Y355" s="603">
        <v>0</v>
      </c>
      <c r="Z355" s="604">
        <v>0</v>
      </c>
      <c r="AA355" s="477"/>
      <c r="AB355" s="603">
        <v>0</v>
      </c>
      <c r="AC355" s="605">
        <v>0</v>
      </c>
      <c r="AD355" s="474"/>
      <c r="AE355" s="603">
        <v>0</v>
      </c>
      <c r="AF355" s="604">
        <v>0</v>
      </c>
      <c r="AG355" s="477"/>
      <c r="AH355" s="603">
        <v>0</v>
      </c>
      <c r="AI355" s="605">
        <v>0</v>
      </c>
      <c r="AJ355" s="474"/>
      <c r="AK355" s="603">
        <v>0</v>
      </c>
      <c r="AL355" s="604">
        <v>0</v>
      </c>
      <c r="AM355" s="477"/>
      <c r="AN355" s="603">
        <v>0</v>
      </c>
      <c r="AO355" s="475">
        <v>0</v>
      </c>
    </row>
    <row r="356" spans="1:42" ht="15" thickBot="1" x14ac:dyDescent="0.25">
      <c r="A356" s="555" t="s">
        <v>672</v>
      </c>
      <c r="B356" s="556" t="s">
        <v>701</v>
      </c>
      <c r="C356" s="557">
        <f t="shared" si="307"/>
        <v>3119</v>
      </c>
      <c r="D356" s="510">
        <f t="shared" si="307"/>
        <v>3119</v>
      </c>
      <c r="E356" s="558">
        <f t="shared" si="307"/>
        <v>1362</v>
      </c>
      <c r="F356" s="510">
        <f>SUM(F353,F354,F355)</f>
        <v>658</v>
      </c>
      <c r="G356" s="610">
        <f t="shared" ref="G356:AO356" si="323">SUM(G353,G354,G355)</f>
        <v>658</v>
      </c>
      <c r="H356" s="611">
        <f t="shared" si="323"/>
        <v>658</v>
      </c>
      <c r="I356" s="512">
        <f t="shared" si="323"/>
        <v>0</v>
      </c>
      <c r="J356" s="610">
        <f t="shared" si="323"/>
        <v>0</v>
      </c>
      <c r="K356" s="612">
        <f t="shared" si="323"/>
        <v>0</v>
      </c>
      <c r="L356" s="510">
        <f t="shared" si="323"/>
        <v>635</v>
      </c>
      <c r="M356" s="610">
        <f t="shared" si="323"/>
        <v>20</v>
      </c>
      <c r="N356" s="611">
        <f t="shared" si="323"/>
        <v>20</v>
      </c>
      <c r="O356" s="512">
        <f t="shared" si="323"/>
        <v>0</v>
      </c>
      <c r="P356" s="610">
        <f t="shared" si="323"/>
        <v>134</v>
      </c>
      <c r="Q356" s="612">
        <f t="shared" si="323"/>
        <v>134</v>
      </c>
      <c r="R356" s="510">
        <f t="shared" si="323"/>
        <v>556</v>
      </c>
      <c r="S356" s="610">
        <f t="shared" si="323"/>
        <v>248</v>
      </c>
      <c r="T356" s="611">
        <f t="shared" si="323"/>
        <v>248</v>
      </c>
      <c r="U356" s="512">
        <f t="shared" si="323"/>
        <v>0</v>
      </c>
      <c r="V356" s="610">
        <f t="shared" si="323"/>
        <v>302</v>
      </c>
      <c r="W356" s="612">
        <f t="shared" si="323"/>
        <v>302</v>
      </c>
      <c r="X356" s="510">
        <f t="shared" si="323"/>
        <v>0</v>
      </c>
      <c r="Y356" s="610">
        <f t="shared" si="323"/>
        <v>0</v>
      </c>
      <c r="Z356" s="611">
        <f t="shared" si="323"/>
        <v>0</v>
      </c>
      <c r="AA356" s="512">
        <f t="shared" si="323"/>
        <v>635</v>
      </c>
      <c r="AB356" s="610">
        <f t="shared" si="323"/>
        <v>635</v>
      </c>
      <c r="AC356" s="612">
        <f t="shared" si="323"/>
        <v>0</v>
      </c>
      <c r="AD356" s="510">
        <f t="shared" si="323"/>
        <v>0</v>
      </c>
      <c r="AE356" s="610">
        <f t="shared" si="323"/>
        <v>0</v>
      </c>
      <c r="AF356" s="611">
        <f t="shared" si="323"/>
        <v>0</v>
      </c>
      <c r="AG356" s="512">
        <f t="shared" si="323"/>
        <v>635</v>
      </c>
      <c r="AH356" s="610">
        <f t="shared" si="323"/>
        <v>635</v>
      </c>
      <c r="AI356" s="612">
        <f t="shared" si="323"/>
        <v>0</v>
      </c>
      <c r="AJ356" s="510">
        <f t="shared" si="323"/>
        <v>0</v>
      </c>
      <c r="AK356" s="610">
        <f t="shared" si="323"/>
        <v>0</v>
      </c>
      <c r="AL356" s="611">
        <f t="shared" si="323"/>
        <v>0</v>
      </c>
      <c r="AM356" s="512">
        <f t="shared" si="323"/>
        <v>0</v>
      </c>
      <c r="AN356" s="610">
        <f t="shared" si="323"/>
        <v>487</v>
      </c>
      <c r="AO356" s="509">
        <f t="shared" si="323"/>
        <v>0</v>
      </c>
    </row>
    <row r="357" spans="1:42" ht="15" thickBot="1" x14ac:dyDescent="0.25">
      <c r="A357" s="560" t="s">
        <v>702</v>
      </c>
      <c r="B357" s="561" t="s">
        <v>703</v>
      </c>
      <c r="C357" s="645">
        <f>SUM(F357,I357,L357,O357,R357,U357,X357,AA357,AD357,AG357,AJ357,AM357)</f>
        <v>124999.58</v>
      </c>
      <c r="D357" s="646">
        <f t="shared" ref="D357:E360" si="324">SUM(G357,J357,M357,P357,S357,V357,Y357,AB357,AE357,AH357,AK357,AN357)</f>
        <v>126979</v>
      </c>
      <c r="E357" s="574">
        <f t="shared" si="324"/>
        <v>59612</v>
      </c>
      <c r="F357" s="564">
        <f>SUM(F349,F356)</f>
        <v>10039</v>
      </c>
      <c r="G357" s="564">
        <f t="shared" ref="G357:AO357" si="325">SUM(G349,G356)</f>
        <v>4504</v>
      </c>
      <c r="H357" s="565">
        <f t="shared" si="325"/>
        <v>12239</v>
      </c>
      <c r="I357" s="566">
        <f t="shared" si="325"/>
        <v>8166</v>
      </c>
      <c r="J357" s="564">
        <f t="shared" si="325"/>
        <v>6269</v>
      </c>
      <c r="K357" s="567">
        <f t="shared" si="325"/>
        <v>7787</v>
      </c>
      <c r="L357" s="564">
        <f t="shared" si="325"/>
        <v>10889</v>
      </c>
      <c r="M357" s="564">
        <f t="shared" si="325"/>
        <v>10853</v>
      </c>
      <c r="N357" s="565">
        <f t="shared" si="325"/>
        <v>9823</v>
      </c>
      <c r="O357" s="566">
        <f t="shared" si="325"/>
        <v>11345</v>
      </c>
      <c r="P357" s="564">
        <f t="shared" si="325"/>
        <v>12980</v>
      </c>
      <c r="Q357" s="567">
        <f t="shared" si="325"/>
        <v>10368</v>
      </c>
      <c r="R357" s="564">
        <f t="shared" si="325"/>
        <v>11701.94</v>
      </c>
      <c r="S357" s="564">
        <f t="shared" si="325"/>
        <v>6163</v>
      </c>
      <c r="T357" s="565">
        <f t="shared" si="325"/>
        <v>9156</v>
      </c>
      <c r="U357" s="566">
        <f t="shared" si="325"/>
        <v>8690.01</v>
      </c>
      <c r="V357" s="564">
        <f t="shared" si="325"/>
        <v>13779</v>
      </c>
      <c r="W357" s="567">
        <f t="shared" si="325"/>
        <v>10239</v>
      </c>
      <c r="X357" s="564">
        <f t="shared" si="325"/>
        <v>12460.810000000001</v>
      </c>
      <c r="Y357" s="564">
        <f t="shared" si="325"/>
        <v>15584</v>
      </c>
      <c r="Z357" s="565">
        <f t="shared" si="325"/>
        <v>0</v>
      </c>
      <c r="AA357" s="566">
        <f t="shared" si="325"/>
        <v>11982.810000000001</v>
      </c>
      <c r="AB357" s="564">
        <f t="shared" si="325"/>
        <v>12618</v>
      </c>
      <c r="AC357" s="567">
        <f t="shared" si="325"/>
        <v>0</v>
      </c>
      <c r="AD357" s="564">
        <f t="shared" si="325"/>
        <v>9766.01</v>
      </c>
      <c r="AE357" s="564">
        <f t="shared" si="325"/>
        <v>9766</v>
      </c>
      <c r="AF357" s="565">
        <f t="shared" si="325"/>
        <v>0</v>
      </c>
      <c r="AG357" s="566">
        <f t="shared" si="325"/>
        <v>11161</v>
      </c>
      <c r="AH357" s="564">
        <f t="shared" si="325"/>
        <v>11796</v>
      </c>
      <c r="AI357" s="567">
        <f t="shared" si="325"/>
        <v>0</v>
      </c>
      <c r="AJ357" s="564">
        <f t="shared" si="325"/>
        <v>10680</v>
      </c>
      <c r="AK357" s="564">
        <f t="shared" si="325"/>
        <v>10680</v>
      </c>
      <c r="AL357" s="565">
        <f t="shared" si="325"/>
        <v>0</v>
      </c>
      <c r="AM357" s="566">
        <f t="shared" si="325"/>
        <v>8118</v>
      </c>
      <c r="AN357" s="647">
        <f t="shared" si="325"/>
        <v>11987</v>
      </c>
      <c r="AO357" s="590">
        <f t="shared" si="325"/>
        <v>0</v>
      </c>
    </row>
    <row r="358" spans="1:42" ht="12.75" customHeight="1" thickBot="1" x14ac:dyDescent="0.25">
      <c r="A358" s="569"/>
      <c r="B358" s="570" t="s">
        <v>1334</v>
      </c>
      <c r="C358" s="571"/>
      <c r="D358" s="572"/>
      <c r="E358" s="573">
        <f t="shared" si="324"/>
        <v>0</v>
      </c>
      <c r="F358" s="571"/>
      <c r="G358" s="572"/>
      <c r="H358" s="627"/>
      <c r="I358" s="531"/>
      <c r="J358" s="572"/>
      <c r="K358" s="628"/>
      <c r="L358" s="530"/>
      <c r="M358" s="572"/>
      <c r="N358" s="627"/>
      <c r="O358" s="531"/>
      <c r="P358" s="572"/>
      <c r="Q358" s="628"/>
      <c r="R358" s="530"/>
      <c r="S358" s="572"/>
      <c r="T358" s="627"/>
      <c r="U358" s="531"/>
      <c r="V358" s="572"/>
      <c r="W358" s="628"/>
      <c r="X358" s="530"/>
      <c r="Y358" s="572"/>
      <c r="Z358" s="627"/>
      <c r="AA358" s="531"/>
      <c r="AB358" s="572"/>
      <c r="AC358" s="628"/>
      <c r="AD358" s="530"/>
      <c r="AE358" s="572"/>
      <c r="AF358" s="627"/>
      <c r="AG358" s="531"/>
      <c r="AH358" s="572"/>
      <c r="AI358" s="628"/>
      <c r="AJ358" s="530"/>
      <c r="AK358" s="572"/>
      <c r="AL358" s="627"/>
      <c r="AM358" s="531"/>
      <c r="AN358" s="572"/>
      <c r="AO358" s="573"/>
    </row>
    <row r="359" spans="1:42" ht="15" thickBot="1" x14ac:dyDescent="0.25">
      <c r="A359" s="575"/>
      <c r="B359" s="576" t="s">
        <v>1335</v>
      </c>
      <c r="C359" s="528"/>
      <c r="D359" s="577"/>
      <c r="E359" s="563">
        <f t="shared" si="324"/>
        <v>59612</v>
      </c>
      <c r="F359" s="528"/>
      <c r="G359" s="577"/>
      <c r="H359" s="578">
        <f>SUM(H357:H358)</f>
        <v>12239</v>
      </c>
      <c r="I359" s="579"/>
      <c r="J359" s="577"/>
      <c r="K359" s="580">
        <f>SUM(K357:K358)</f>
        <v>7787</v>
      </c>
      <c r="L359" s="529"/>
      <c r="M359" s="577"/>
      <c r="N359" s="578">
        <f>SUM(N357:N358)</f>
        <v>9823</v>
      </c>
      <c r="O359" s="579"/>
      <c r="P359" s="577"/>
      <c r="Q359" s="580">
        <f>SUM(Q357:Q358)</f>
        <v>10368</v>
      </c>
      <c r="R359" s="529"/>
      <c r="S359" s="577"/>
      <c r="T359" s="578">
        <f>SUM(T357:T358)</f>
        <v>9156</v>
      </c>
      <c r="U359" s="579"/>
      <c r="V359" s="577"/>
      <c r="W359" s="580">
        <f>SUM(W357:W358)</f>
        <v>10239</v>
      </c>
      <c r="X359" s="529"/>
      <c r="Y359" s="577"/>
      <c r="Z359" s="578">
        <f>SUM(Z357:Z358)</f>
        <v>0</v>
      </c>
      <c r="AA359" s="579"/>
      <c r="AB359" s="577"/>
      <c r="AC359" s="580">
        <f>SUM(AC357:AC358)</f>
        <v>0</v>
      </c>
      <c r="AD359" s="529"/>
      <c r="AE359" s="577"/>
      <c r="AF359" s="578">
        <f>SUM(AF357:AF358)</f>
        <v>0</v>
      </c>
      <c r="AG359" s="579"/>
      <c r="AH359" s="577"/>
      <c r="AI359" s="580">
        <f>SUM(AI357:AI358)</f>
        <v>0</v>
      </c>
      <c r="AJ359" s="529"/>
      <c r="AK359" s="577"/>
      <c r="AL359" s="578">
        <f>SUM(AL357:AL358)</f>
        <v>0</v>
      </c>
      <c r="AM359" s="579"/>
      <c r="AN359" s="577"/>
      <c r="AO359" s="563">
        <f>SUM(AO357:AO358)</f>
        <v>0</v>
      </c>
    </row>
    <row r="360" spans="1:42" s="525" customFormat="1" ht="15" customHeight="1" thickBot="1" x14ac:dyDescent="0.25">
      <c r="A360" s="581"/>
      <c r="B360" s="582" t="s">
        <v>1336</v>
      </c>
      <c r="C360" s="583"/>
      <c r="D360" s="584"/>
      <c r="E360" s="563">
        <f t="shared" si="324"/>
        <v>1779</v>
      </c>
      <c r="F360" s="583"/>
      <c r="G360" s="584"/>
      <c r="H360" s="585">
        <f>SUM(H338-H359)</f>
        <v>-2151</v>
      </c>
      <c r="I360" s="586"/>
      <c r="J360" s="584"/>
      <c r="K360" s="587">
        <f>SUM(K338-K359)</f>
        <v>-1518</v>
      </c>
      <c r="L360" s="588"/>
      <c r="M360" s="584"/>
      <c r="N360" s="585">
        <f>SUM(N338-N359)</f>
        <v>1030</v>
      </c>
      <c r="O360" s="586"/>
      <c r="P360" s="584"/>
      <c r="Q360" s="587">
        <f>SUM(Q338-Q359)</f>
        <v>2612</v>
      </c>
      <c r="R360" s="588"/>
      <c r="S360" s="584"/>
      <c r="T360" s="585">
        <f>SUM(T338-T359)</f>
        <v>-2993</v>
      </c>
      <c r="U360" s="586"/>
      <c r="V360" s="584"/>
      <c r="W360" s="587">
        <f>SUM(W338-W359)</f>
        <v>4799</v>
      </c>
      <c r="X360" s="588"/>
      <c r="Y360" s="584"/>
      <c r="Z360" s="585">
        <f>SUM(Z338-Z359)</f>
        <v>0</v>
      </c>
      <c r="AA360" s="586"/>
      <c r="AB360" s="584"/>
      <c r="AC360" s="587">
        <f>SUM(AC338-AC359)</f>
        <v>0</v>
      </c>
      <c r="AD360" s="588"/>
      <c r="AE360" s="584"/>
      <c r="AF360" s="585">
        <f>SUM(AF338-AF359)</f>
        <v>0</v>
      </c>
      <c r="AG360" s="586"/>
      <c r="AH360" s="584"/>
      <c r="AI360" s="587">
        <f>SUM(AI338-AI359)</f>
        <v>0</v>
      </c>
      <c r="AJ360" s="588"/>
      <c r="AK360" s="584"/>
      <c r="AL360" s="585">
        <f>SUM(AL338-AL359)</f>
        <v>0</v>
      </c>
      <c r="AM360" s="586"/>
      <c r="AN360" s="589"/>
      <c r="AO360" s="590">
        <f>SUM(AO338-AO359)</f>
        <v>0</v>
      </c>
      <c r="AP360" s="479"/>
    </row>
    <row r="361" spans="1:42" s="525" customFormat="1" ht="7.5" customHeight="1" x14ac:dyDescent="0.2">
      <c r="A361" s="648"/>
      <c r="B361" s="648"/>
      <c r="C361" s="648"/>
      <c r="D361" s="648"/>
      <c r="E361" s="649"/>
      <c r="F361" s="648"/>
      <c r="G361" s="648"/>
      <c r="H361" s="650"/>
      <c r="I361" s="648"/>
      <c r="J361" s="648"/>
      <c r="K361" s="650"/>
      <c r="L361" s="648"/>
      <c r="M361" s="648"/>
      <c r="N361" s="650"/>
      <c r="O361" s="648"/>
      <c r="P361" s="648"/>
      <c r="Q361" s="650"/>
      <c r="R361" s="648"/>
      <c r="S361" s="648"/>
      <c r="T361" s="650"/>
      <c r="U361" s="648"/>
      <c r="V361" s="648"/>
      <c r="W361" s="650"/>
      <c r="X361" s="648"/>
      <c r="Y361" s="648"/>
      <c r="Z361" s="650"/>
      <c r="AA361" s="648"/>
      <c r="AB361" s="648"/>
      <c r="AC361" s="650"/>
      <c r="AD361" s="648"/>
      <c r="AE361" s="648"/>
      <c r="AF361" s="650"/>
      <c r="AG361" s="648"/>
      <c r="AH361" s="648"/>
      <c r="AI361" s="650"/>
      <c r="AJ361" s="648"/>
      <c r="AK361" s="648"/>
      <c r="AL361" s="650"/>
      <c r="AM361" s="648"/>
      <c r="AN361" s="651"/>
      <c r="AO361" s="650"/>
      <c r="AP361" s="479"/>
    </row>
    <row r="362" spans="1:42" s="444" customFormat="1" ht="12.75" x14ac:dyDescent="0.2">
      <c r="A362" s="1057" t="s">
        <v>855</v>
      </c>
      <c r="B362" s="1057"/>
      <c r="C362" s="1057"/>
      <c r="D362" s="1057"/>
      <c r="E362" s="1057"/>
      <c r="F362" s="1057"/>
      <c r="G362" s="1057"/>
      <c r="H362" s="1057"/>
      <c r="I362" s="1057"/>
      <c r="J362" s="1058" t="s">
        <v>630</v>
      </c>
      <c r="K362" s="1058"/>
      <c r="L362" s="1058"/>
      <c r="M362" s="1058"/>
      <c r="N362" s="1058"/>
      <c r="O362" s="1058"/>
      <c r="P362" s="1058"/>
      <c r="Q362" s="1058"/>
      <c r="R362" s="1058"/>
      <c r="S362" s="1058"/>
      <c r="T362" s="1058"/>
      <c r="U362" s="1058"/>
      <c r="V362" s="1058"/>
      <c r="W362" s="1058"/>
      <c r="X362" s="1058"/>
      <c r="Y362" s="1058"/>
      <c r="Z362" s="1058"/>
      <c r="AA362" s="1058"/>
      <c r="AB362" s="1058"/>
      <c r="AC362" s="1058"/>
      <c r="AD362" s="441"/>
      <c r="AE362" s="441"/>
      <c r="AF362" s="441"/>
      <c r="AG362" s="441"/>
      <c r="AH362" s="441"/>
      <c r="AI362" s="441"/>
      <c r="AJ362" s="441"/>
      <c r="AK362" s="441"/>
      <c r="AL362" s="441"/>
      <c r="AM362" s="441"/>
      <c r="AN362" s="442"/>
      <c r="AO362" s="443" t="s">
        <v>716</v>
      </c>
      <c r="AP362" s="442"/>
    </row>
    <row r="363" spans="1:42" ht="10.5" customHeight="1" thickBot="1" x14ac:dyDescent="0.25">
      <c r="A363" s="445"/>
      <c r="B363" s="445"/>
      <c r="C363" s="445"/>
      <c r="D363" s="445"/>
      <c r="E363" s="445"/>
      <c r="F363" s="445"/>
      <c r="G363" s="445"/>
      <c r="H363" s="445"/>
      <c r="I363" s="445"/>
      <c r="J363" s="445"/>
      <c r="K363" s="445"/>
      <c r="L363" s="445"/>
      <c r="M363" s="445"/>
      <c r="N363" s="445"/>
      <c r="O363" s="445"/>
      <c r="P363" s="445"/>
      <c r="Q363" s="445"/>
      <c r="R363" s="445"/>
      <c r="S363" s="445"/>
      <c r="T363" s="445"/>
      <c r="U363" s="445"/>
      <c r="V363" s="445"/>
      <c r="W363" s="445"/>
      <c r="X363" s="445"/>
      <c r="Y363" s="445"/>
      <c r="Z363" s="445"/>
      <c r="AA363" s="445"/>
      <c r="AB363" s="445"/>
      <c r="AC363" s="445"/>
      <c r="AD363" s="445"/>
      <c r="AE363" s="445"/>
      <c r="AF363" s="445"/>
      <c r="AG363" s="445"/>
      <c r="AH363" s="445"/>
      <c r="AI363" s="445"/>
      <c r="AJ363" s="445"/>
      <c r="AK363" s="445"/>
      <c r="AL363" s="445"/>
      <c r="AM363" s="445"/>
      <c r="AO363" s="447" t="s">
        <v>1338</v>
      </c>
    </row>
    <row r="364" spans="1:42" x14ac:dyDescent="0.2">
      <c r="A364" s="1046"/>
      <c r="B364" s="1048" t="s">
        <v>632</v>
      </c>
      <c r="C364" s="1050" t="s">
        <v>633</v>
      </c>
      <c r="D364" s="1052" t="s">
        <v>1326</v>
      </c>
      <c r="E364" s="1054" t="s">
        <v>1327</v>
      </c>
      <c r="F364" s="1044" t="s">
        <v>634</v>
      </c>
      <c r="G364" s="1044"/>
      <c r="H364" s="1044"/>
      <c r="I364" s="1043" t="s">
        <v>635</v>
      </c>
      <c r="J364" s="1044"/>
      <c r="K364" s="1045"/>
      <c r="L364" s="1044" t="s">
        <v>636</v>
      </c>
      <c r="M364" s="1044"/>
      <c r="N364" s="1044"/>
      <c r="O364" s="1043" t="s">
        <v>637</v>
      </c>
      <c r="P364" s="1044"/>
      <c r="Q364" s="1045"/>
      <c r="R364" s="1044" t="s">
        <v>638</v>
      </c>
      <c r="S364" s="1044"/>
      <c r="T364" s="1044"/>
      <c r="U364" s="1043" t="s">
        <v>639</v>
      </c>
      <c r="V364" s="1044"/>
      <c r="W364" s="1045"/>
      <c r="X364" s="1044" t="s">
        <v>640</v>
      </c>
      <c r="Y364" s="1044"/>
      <c r="Z364" s="1044"/>
      <c r="AA364" s="1043" t="s">
        <v>641</v>
      </c>
      <c r="AB364" s="1044"/>
      <c r="AC364" s="1045"/>
      <c r="AD364" s="1044" t="s">
        <v>642</v>
      </c>
      <c r="AE364" s="1044"/>
      <c r="AF364" s="1044"/>
      <c r="AG364" s="1043" t="s">
        <v>643</v>
      </c>
      <c r="AH364" s="1044"/>
      <c r="AI364" s="1045"/>
      <c r="AJ364" s="1044" t="s">
        <v>644</v>
      </c>
      <c r="AK364" s="1044"/>
      <c r="AL364" s="1044"/>
      <c r="AM364" s="1043" t="s">
        <v>645</v>
      </c>
      <c r="AN364" s="1044"/>
      <c r="AO364" s="1056"/>
    </row>
    <row r="365" spans="1:42" x14ac:dyDescent="0.2">
      <c r="A365" s="1047"/>
      <c r="B365" s="1049"/>
      <c r="C365" s="1051"/>
      <c r="D365" s="1053"/>
      <c r="E365" s="1055"/>
      <c r="F365" s="450" t="s">
        <v>1328</v>
      </c>
      <c r="G365" s="451" t="s">
        <v>1329</v>
      </c>
      <c r="H365" s="452" t="s">
        <v>1330</v>
      </c>
      <c r="I365" s="453" t="s">
        <v>1328</v>
      </c>
      <c r="J365" s="451" t="s">
        <v>1329</v>
      </c>
      <c r="K365" s="454" t="s">
        <v>1330</v>
      </c>
      <c r="L365" s="455" t="s">
        <v>1328</v>
      </c>
      <c r="M365" s="451" t="s">
        <v>1329</v>
      </c>
      <c r="N365" s="452" t="s">
        <v>1330</v>
      </c>
      <c r="O365" s="453" t="s">
        <v>1328</v>
      </c>
      <c r="P365" s="451" t="s">
        <v>1329</v>
      </c>
      <c r="Q365" s="454" t="s">
        <v>1330</v>
      </c>
      <c r="R365" s="455" t="s">
        <v>1328</v>
      </c>
      <c r="S365" s="451" t="s">
        <v>1329</v>
      </c>
      <c r="T365" s="452" t="s">
        <v>1330</v>
      </c>
      <c r="U365" s="453" t="s">
        <v>1328</v>
      </c>
      <c r="V365" s="451" t="s">
        <v>1329</v>
      </c>
      <c r="W365" s="454" t="s">
        <v>1330</v>
      </c>
      <c r="X365" s="455" t="s">
        <v>1328</v>
      </c>
      <c r="Y365" s="451" t="s">
        <v>1329</v>
      </c>
      <c r="Z365" s="452" t="s">
        <v>1330</v>
      </c>
      <c r="AA365" s="453" t="s">
        <v>1328</v>
      </c>
      <c r="AB365" s="451" t="s">
        <v>1329</v>
      </c>
      <c r="AC365" s="454" t="s">
        <v>1330</v>
      </c>
      <c r="AD365" s="455" t="s">
        <v>1328</v>
      </c>
      <c r="AE365" s="451" t="s">
        <v>1329</v>
      </c>
      <c r="AF365" s="452" t="s">
        <v>1330</v>
      </c>
      <c r="AG365" s="453" t="s">
        <v>1328</v>
      </c>
      <c r="AH365" s="451" t="s">
        <v>1329</v>
      </c>
      <c r="AI365" s="454" t="s">
        <v>1330</v>
      </c>
      <c r="AJ365" s="455" t="s">
        <v>1328</v>
      </c>
      <c r="AK365" s="451" t="s">
        <v>1329</v>
      </c>
      <c r="AL365" s="452" t="s">
        <v>1330</v>
      </c>
      <c r="AM365" s="453" t="s">
        <v>1328</v>
      </c>
      <c r="AN365" s="451" t="s">
        <v>1329</v>
      </c>
      <c r="AO365" s="456" t="s">
        <v>1330</v>
      </c>
    </row>
    <row r="366" spans="1:42" x14ac:dyDescent="0.2">
      <c r="A366" s="466" t="s">
        <v>646</v>
      </c>
      <c r="B366" s="467" t="s">
        <v>647</v>
      </c>
      <c r="C366" s="591">
        <f>SUM(F366,I366,L366,O366,R366,U366,X366,AA366,AD366,AG366,AJ366,AM366)</f>
        <v>0</v>
      </c>
      <c r="D366" s="543">
        <f t="shared" ref="D366:E381" si="326">SUM(G366,J366,M366,P366,S366,V366,Y366,AB366,AE366,AH366,AK366,AN366)</f>
        <v>0</v>
      </c>
      <c r="E366" s="465">
        <f t="shared" si="326"/>
        <v>0</v>
      </c>
      <c r="F366" s="469"/>
      <c r="G366" s="592"/>
      <c r="H366" s="593"/>
      <c r="I366" s="549"/>
      <c r="J366" s="592"/>
      <c r="K366" s="595"/>
      <c r="L366" s="469"/>
      <c r="M366" s="592"/>
      <c r="N366" s="593"/>
      <c r="O366" s="549"/>
      <c r="P366" s="592"/>
      <c r="Q366" s="595"/>
      <c r="R366" s="469"/>
      <c r="S366" s="592"/>
      <c r="T366" s="593"/>
      <c r="U366" s="549"/>
      <c r="V366" s="592"/>
      <c r="W366" s="595"/>
      <c r="X366" s="469"/>
      <c r="Y366" s="592"/>
      <c r="Z366" s="593"/>
      <c r="AA366" s="549"/>
      <c r="AB366" s="592"/>
      <c r="AC366" s="595"/>
      <c r="AD366" s="469"/>
      <c r="AE366" s="592"/>
      <c r="AF366" s="593"/>
      <c r="AG366" s="549"/>
      <c r="AH366" s="592"/>
      <c r="AI366" s="595"/>
      <c r="AJ366" s="469"/>
      <c r="AK366" s="592"/>
      <c r="AL366" s="593"/>
      <c r="AM366" s="549"/>
      <c r="AN366" s="592"/>
      <c r="AO366" s="465"/>
    </row>
    <row r="367" spans="1:42" x14ac:dyDescent="0.2">
      <c r="A367" s="466" t="s">
        <v>650</v>
      </c>
      <c r="B367" s="467" t="s">
        <v>649</v>
      </c>
      <c r="C367" s="468">
        <f t="shared" ref="C367:C371" si="327">SUM(F367,I367,L367,O367,R367,U367,X367,AA367,AD367,AG367,AJ367,AM367)</f>
        <v>0</v>
      </c>
      <c r="D367" s="469">
        <f t="shared" si="326"/>
        <v>0</v>
      </c>
      <c r="E367" s="470">
        <f t="shared" si="326"/>
        <v>0</v>
      </c>
      <c r="F367" s="469"/>
      <c r="G367" s="598"/>
      <c r="H367" s="599"/>
      <c r="I367" s="549"/>
      <c r="J367" s="598"/>
      <c r="K367" s="600"/>
      <c r="L367" s="469"/>
      <c r="M367" s="598"/>
      <c r="N367" s="599"/>
      <c r="O367" s="549"/>
      <c r="P367" s="598"/>
      <c r="Q367" s="600"/>
      <c r="R367" s="469"/>
      <c r="S367" s="598"/>
      <c r="T367" s="599"/>
      <c r="U367" s="549"/>
      <c r="V367" s="598"/>
      <c r="W367" s="600"/>
      <c r="X367" s="469"/>
      <c r="Y367" s="598"/>
      <c r="Z367" s="599"/>
      <c r="AA367" s="549"/>
      <c r="AB367" s="598"/>
      <c r="AC367" s="600"/>
      <c r="AD367" s="469"/>
      <c r="AE367" s="598"/>
      <c r="AF367" s="599"/>
      <c r="AG367" s="549"/>
      <c r="AH367" s="598"/>
      <c r="AI367" s="600"/>
      <c r="AJ367" s="469"/>
      <c r="AK367" s="598"/>
      <c r="AL367" s="599"/>
      <c r="AM367" s="549"/>
      <c r="AN367" s="598"/>
      <c r="AO367" s="470"/>
    </row>
    <row r="368" spans="1:42" x14ac:dyDescent="0.2">
      <c r="A368" s="466" t="s">
        <v>652</v>
      </c>
      <c r="B368" s="467" t="s">
        <v>651</v>
      </c>
      <c r="C368" s="468">
        <f t="shared" si="327"/>
        <v>0</v>
      </c>
      <c r="D368" s="469">
        <f t="shared" si="326"/>
        <v>72500</v>
      </c>
      <c r="E368" s="470">
        <f t="shared" si="326"/>
        <v>0</v>
      </c>
      <c r="F368" s="469"/>
      <c r="G368" s="598"/>
      <c r="H368" s="599"/>
      <c r="I368" s="549"/>
      <c r="J368" s="598"/>
      <c r="K368" s="600"/>
      <c r="L368" s="469"/>
      <c r="M368" s="598"/>
      <c r="N368" s="599"/>
      <c r="O368" s="549"/>
      <c r="P368" s="598"/>
      <c r="Q368" s="600"/>
      <c r="R368" s="469"/>
      <c r="S368" s="598"/>
      <c r="T368" s="599"/>
      <c r="U368" s="549"/>
      <c r="V368" s="598">
        <v>1528</v>
      </c>
      <c r="W368" s="600"/>
      <c r="X368" s="469"/>
      <c r="Y368" s="598">
        <v>9367</v>
      </c>
      <c r="Z368" s="599"/>
      <c r="AA368" s="549"/>
      <c r="AB368" s="598">
        <v>8203</v>
      </c>
      <c r="AC368" s="600"/>
      <c r="AD368" s="469"/>
      <c r="AE368" s="598">
        <v>14015</v>
      </c>
      <c r="AF368" s="599"/>
      <c r="AG368" s="549"/>
      <c r="AH368" s="598">
        <v>13471</v>
      </c>
      <c r="AI368" s="600"/>
      <c r="AJ368" s="469"/>
      <c r="AK368" s="598">
        <v>12971</v>
      </c>
      <c r="AL368" s="599"/>
      <c r="AM368" s="549"/>
      <c r="AN368" s="598">
        <v>12945</v>
      </c>
      <c r="AO368" s="470"/>
    </row>
    <row r="369" spans="1:42" x14ac:dyDescent="0.2">
      <c r="A369" s="466" t="s">
        <v>1331</v>
      </c>
      <c r="B369" s="467" t="s">
        <v>653</v>
      </c>
      <c r="C369" s="468">
        <f t="shared" si="327"/>
        <v>0</v>
      </c>
      <c r="D369" s="469">
        <f t="shared" si="326"/>
        <v>300</v>
      </c>
      <c r="E369" s="470">
        <f t="shared" si="326"/>
        <v>0</v>
      </c>
      <c r="F369" s="469"/>
      <c r="G369" s="598"/>
      <c r="H369" s="599"/>
      <c r="I369" s="549"/>
      <c r="J369" s="598"/>
      <c r="K369" s="600"/>
      <c r="L369" s="469"/>
      <c r="M369" s="598"/>
      <c r="N369" s="599"/>
      <c r="O369" s="549"/>
      <c r="P369" s="598"/>
      <c r="Q369" s="600"/>
      <c r="R369" s="469"/>
      <c r="S369" s="598"/>
      <c r="T369" s="599"/>
      <c r="U369" s="549"/>
      <c r="V369" s="598"/>
      <c r="W369" s="600"/>
      <c r="X369" s="469"/>
      <c r="Y369" s="598">
        <v>50</v>
      </c>
      <c r="Z369" s="599"/>
      <c r="AA369" s="549"/>
      <c r="AB369" s="598">
        <v>50</v>
      </c>
      <c r="AC369" s="600"/>
      <c r="AD369" s="469"/>
      <c r="AE369" s="598">
        <v>50</v>
      </c>
      <c r="AF369" s="599"/>
      <c r="AG369" s="549"/>
      <c r="AH369" s="598">
        <v>50</v>
      </c>
      <c r="AI369" s="600"/>
      <c r="AJ369" s="469"/>
      <c r="AK369" s="598">
        <v>50</v>
      </c>
      <c r="AL369" s="599"/>
      <c r="AM369" s="549"/>
      <c r="AN369" s="598">
        <v>50</v>
      </c>
      <c r="AO369" s="470"/>
    </row>
    <row r="370" spans="1:42" x14ac:dyDescent="0.2">
      <c r="A370" s="471" t="s">
        <v>654</v>
      </c>
      <c r="B370" s="472" t="s">
        <v>655</v>
      </c>
      <c r="C370" s="473">
        <f t="shared" si="327"/>
        <v>0</v>
      </c>
      <c r="D370" s="474">
        <f t="shared" si="326"/>
        <v>72800</v>
      </c>
      <c r="E370" s="475">
        <f t="shared" si="326"/>
        <v>0</v>
      </c>
      <c r="F370" s="474">
        <f>SUM(F366:F369)</f>
        <v>0</v>
      </c>
      <c r="G370" s="603">
        <f t="shared" ref="G370:AO370" si="328">SUM(G366:G369)</f>
        <v>0</v>
      </c>
      <c r="H370" s="604">
        <f t="shared" si="328"/>
        <v>0</v>
      </c>
      <c r="I370" s="477">
        <f t="shared" si="328"/>
        <v>0</v>
      </c>
      <c r="J370" s="603">
        <f t="shared" si="328"/>
        <v>0</v>
      </c>
      <c r="K370" s="605">
        <f t="shared" si="328"/>
        <v>0</v>
      </c>
      <c r="L370" s="474">
        <f t="shared" si="328"/>
        <v>0</v>
      </c>
      <c r="M370" s="603">
        <f t="shared" si="328"/>
        <v>0</v>
      </c>
      <c r="N370" s="604">
        <f t="shared" si="328"/>
        <v>0</v>
      </c>
      <c r="O370" s="477">
        <f t="shared" si="328"/>
        <v>0</v>
      </c>
      <c r="P370" s="603">
        <f t="shared" si="328"/>
        <v>0</v>
      </c>
      <c r="Q370" s="605">
        <f t="shared" si="328"/>
        <v>0</v>
      </c>
      <c r="R370" s="474">
        <f t="shared" si="328"/>
        <v>0</v>
      </c>
      <c r="S370" s="603">
        <f t="shared" si="328"/>
        <v>0</v>
      </c>
      <c r="T370" s="604">
        <f t="shared" si="328"/>
        <v>0</v>
      </c>
      <c r="U370" s="477">
        <f t="shared" si="328"/>
        <v>0</v>
      </c>
      <c r="V370" s="603">
        <f t="shared" si="328"/>
        <v>1528</v>
      </c>
      <c r="W370" s="605">
        <f t="shared" si="328"/>
        <v>0</v>
      </c>
      <c r="X370" s="474">
        <f t="shared" si="328"/>
        <v>0</v>
      </c>
      <c r="Y370" s="603">
        <f t="shared" si="328"/>
        <v>9417</v>
      </c>
      <c r="Z370" s="604">
        <f t="shared" si="328"/>
        <v>0</v>
      </c>
      <c r="AA370" s="477">
        <f t="shared" si="328"/>
        <v>0</v>
      </c>
      <c r="AB370" s="603">
        <f t="shared" si="328"/>
        <v>8253</v>
      </c>
      <c r="AC370" s="605">
        <f t="shared" si="328"/>
        <v>0</v>
      </c>
      <c r="AD370" s="474">
        <f t="shared" si="328"/>
        <v>0</v>
      </c>
      <c r="AE370" s="603">
        <f t="shared" si="328"/>
        <v>14065</v>
      </c>
      <c r="AF370" s="604">
        <f t="shared" si="328"/>
        <v>0</v>
      </c>
      <c r="AG370" s="477">
        <f t="shared" si="328"/>
        <v>0</v>
      </c>
      <c r="AH370" s="603">
        <f t="shared" si="328"/>
        <v>13521</v>
      </c>
      <c r="AI370" s="605">
        <f t="shared" si="328"/>
        <v>0</v>
      </c>
      <c r="AJ370" s="474">
        <f t="shared" si="328"/>
        <v>0</v>
      </c>
      <c r="AK370" s="603">
        <f t="shared" si="328"/>
        <v>13021</v>
      </c>
      <c r="AL370" s="604">
        <f t="shared" si="328"/>
        <v>0</v>
      </c>
      <c r="AM370" s="477">
        <f t="shared" si="328"/>
        <v>0</v>
      </c>
      <c r="AN370" s="603">
        <f t="shared" si="328"/>
        <v>12995</v>
      </c>
      <c r="AO370" s="475">
        <f t="shared" si="328"/>
        <v>0</v>
      </c>
    </row>
    <row r="371" spans="1:42" x14ac:dyDescent="0.2">
      <c r="A371" s="471" t="s">
        <v>656</v>
      </c>
      <c r="B371" s="472" t="s">
        <v>657</v>
      </c>
      <c r="C371" s="473">
        <f t="shared" si="327"/>
        <v>0</v>
      </c>
      <c r="D371" s="474">
        <f t="shared" si="326"/>
        <v>0</v>
      </c>
      <c r="E371" s="475">
        <f t="shared" si="326"/>
        <v>2345</v>
      </c>
      <c r="F371" s="474"/>
      <c r="G371" s="603"/>
      <c r="H371" s="604"/>
      <c r="I371" s="477"/>
      <c r="J371" s="603"/>
      <c r="K371" s="605"/>
      <c r="L371" s="474"/>
      <c r="M371" s="603"/>
      <c r="N371" s="604"/>
      <c r="O371" s="477"/>
      <c r="P371" s="603"/>
      <c r="Q371" s="605"/>
      <c r="R371" s="474"/>
      <c r="S371" s="603"/>
      <c r="T371" s="604"/>
      <c r="U371" s="477"/>
      <c r="V371" s="603"/>
      <c r="W371" s="605">
        <v>2345</v>
      </c>
      <c r="X371" s="474"/>
      <c r="Y371" s="603"/>
      <c r="Z371" s="604"/>
      <c r="AA371" s="477"/>
      <c r="AB371" s="603"/>
      <c r="AC371" s="605"/>
      <c r="AD371" s="474"/>
      <c r="AE371" s="603"/>
      <c r="AF371" s="604"/>
      <c r="AG371" s="477"/>
      <c r="AH371" s="603"/>
      <c r="AI371" s="605"/>
      <c r="AJ371" s="474"/>
      <c r="AK371" s="603"/>
      <c r="AL371" s="604"/>
      <c r="AM371" s="477"/>
      <c r="AN371" s="603"/>
      <c r="AO371" s="475"/>
    </row>
    <row r="372" spans="1:42" x14ac:dyDescent="0.2">
      <c r="A372" s="481" t="s">
        <v>658</v>
      </c>
      <c r="B372" s="482" t="s">
        <v>659</v>
      </c>
      <c r="C372" s="483">
        <f>SUM(F372,I372,L372,O372,R372,U372,X372,AA372,AD372,AG372,AJ372,AM372)</f>
        <v>0</v>
      </c>
      <c r="D372" s="484">
        <f t="shared" si="326"/>
        <v>0</v>
      </c>
      <c r="E372" s="485">
        <f t="shared" si="326"/>
        <v>0</v>
      </c>
      <c r="F372" s="487"/>
      <c r="G372" s="606"/>
      <c r="H372" s="607"/>
      <c r="I372" s="487"/>
      <c r="J372" s="606"/>
      <c r="K372" s="608"/>
      <c r="L372" s="484"/>
      <c r="M372" s="606"/>
      <c r="N372" s="607"/>
      <c r="O372" s="487"/>
      <c r="P372" s="606"/>
      <c r="Q372" s="608"/>
      <c r="R372" s="484"/>
      <c r="S372" s="606"/>
      <c r="T372" s="607"/>
      <c r="U372" s="487"/>
      <c r="V372" s="606"/>
      <c r="W372" s="608"/>
      <c r="X372" s="484"/>
      <c r="Y372" s="606"/>
      <c r="Z372" s="607"/>
      <c r="AA372" s="487"/>
      <c r="AB372" s="606"/>
      <c r="AC372" s="608"/>
      <c r="AD372" s="484"/>
      <c r="AE372" s="606"/>
      <c r="AF372" s="607"/>
      <c r="AG372" s="487"/>
      <c r="AH372" s="606"/>
      <c r="AI372" s="608"/>
      <c r="AJ372" s="484"/>
      <c r="AK372" s="606"/>
      <c r="AL372" s="607"/>
      <c r="AM372" s="487"/>
      <c r="AN372" s="606"/>
      <c r="AO372" s="485"/>
    </row>
    <row r="373" spans="1:42" x14ac:dyDescent="0.2">
      <c r="A373" s="471" t="s">
        <v>660</v>
      </c>
      <c r="B373" s="472" t="s">
        <v>661</v>
      </c>
      <c r="C373" s="473">
        <f>SUM(F373,I373,L373,O373,R373,U373,X373,AA373,AD373,AG373,AJ373,AM373)</f>
        <v>0</v>
      </c>
      <c r="D373" s="474">
        <f t="shared" si="326"/>
        <v>72800</v>
      </c>
      <c r="E373" s="475">
        <f t="shared" si="326"/>
        <v>2345</v>
      </c>
      <c r="F373" s="474">
        <f>SUM(+F370,F371)</f>
        <v>0</v>
      </c>
      <c r="G373" s="603">
        <f t="shared" ref="G373:H373" si="329">SUM(G370,G371)</f>
        <v>0</v>
      </c>
      <c r="H373" s="604">
        <f t="shared" si="329"/>
        <v>0</v>
      </c>
      <c r="I373" s="477">
        <f>SUM(I370,I371)</f>
        <v>0</v>
      </c>
      <c r="J373" s="603">
        <f t="shared" ref="J373:AO373" si="330">SUM(J370,J371)</f>
        <v>0</v>
      </c>
      <c r="K373" s="605">
        <f t="shared" si="330"/>
        <v>0</v>
      </c>
      <c r="L373" s="474">
        <f t="shared" si="330"/>
        <v>0</v>
      </c>
      <c r="M373" s="603">
        <f t="shared" si="330"/>
        <v>0</v>
      </c>
      <c r="N373" s="604">
        <f t="shared" si="330"/>
        <v>0</v>
      </c>
      <c r="O373" s="477">
        <f t="shared" si="330"/>
        <v>0</v>
      </c>
      <c r="P373" s="603">
        <f t="shared" si="330"/>
        <v>0</v>
      </c>
      <c r="Q373" s="605">
        <f t="shared" si="330"/>
        <v>0</v>
      </c>
      <c r="R373" s="474">
        <f t="shared" si="330"/>
        <v>0</v>
      </c>
      <c r="S373" s="603">
        <f t="shared" si="330"/>
        <v>0</v>
      </c>
      <c r="T373" s="604">
        <f t="shared" si="330"/>
        <v>0</v>
      </c>
      <c r="U373" s="477">
        <f t="shared" si="330"/>
        <v>0</v>
      </c>
      <c r="V373" s="603">
        <f t="shared" si="330"/>
        <v>1528</v>
      </c>
      <c r="W373" s="605">
        <f t="shared" si="330"/>
        <v>2345</v>
      </c>
      <c r="X373" s="474">
        <f t="shared" si="330"/>
        <v>0</v>
      </c>
      <c r="Y373" s="603">
        <f t="shared" si="330"/>
        <v>9417</v>
      </c>
      <c r="Z373" s="604">
        <f t="shared" si="330"/>
        <v>0</v>
      </c>
      <c r="AA373" s="477">
        <f t="shared" si="330"/>
        <v>0</v>
      </c>
      <c r="AB373" s="603">
        <f t="shared" si="330"/>
        <v>8253</v>
      </c>
      <c r="AC373" s="605">
        <f t="shared" si="330"/>
        <v>0</v>
      </c>
      <c r="AD373" s="474">
        <f t="shared" si="330"/>
        <v>0</v>
      </c>
      <c r="AE373" s="603">
        <f t="shared" si="330"/>
        <v>14065</v>
      </c>
      <c r="AF373" s="604">
        <f t="shared" si="330"/>
        <v>0</v>
      </c>
      <c r="AG373" s="477">
        <f t="shared" si="330"/>
        <v>0</v>
      </c>
      <c r="AH373" s="603">
        <f t="shared" si="330"/>
        <v>13521</v>
      </c>
      <c r="AI373" s="605">
        <f t="shared" si="330"/>
        <v>0</v>
      </c>
      <c r="AJ373" s="474">
        <f t="shared" si="330"/>
        <v>0</v>
      </c>
      <c r="AK373" s="603">
        <f t="shared" si="330"/>
        <v>13021</v>
      </c>
      <c r="AL373" s="604">
        <f t="shared" si="330"/>
        <v>0</v>
      </c>
      <c r="AM373" s="477">
        <f t="shared" si="330"/>
        <v>0</v>
      </c>
      <c r="AN373" s="603">
        <f t="shared" si="330"/>
        <v>12995</v>
      </c>
      <c r="AO373" s="475">
        <f t="shared" si="330"/>
        <v>0</v>
      </c>
    </row>
    <row r="374" spans="1:42" x14ac:dyDescent="0.2">
      <c r="A374" s="466" t="s">
        <v>648</v>
      </c>
      <c r="B374" s="467" t="s">
        <v>662</v>
      </c>
      <c r="C374" s="468">
        <f t="shared" ref="C374:C378" si="331">SUM(F374,I374,L374,O374,R374,U374,X374,AA374,AD374,AG374,AJ374,AM374)</f>
        <v>0</v>
      </c>
      <c r="D374" s="469">
        <f t="shared" si="326"/>
        <v>0</v>
      </c>
      <c r="E374" s="470">
        <f t="shared" si="326"/>
        <v>0</v>
      </c>
      <c r="F374" s="469"/>
      <c r="G374" s="598"/>
      <c r="H374" s="599"/>
      <c r="I374" s="549"/>
      <c r="J374" s="598"/>
      <c r="K374" s="600"/>
      <c r="L374" s="469"/>
      <c r="M374" s="598"/>
      <c r="N374" s="599"/>
      <c r="O374" s="549"/>
      <c r="P374" s="598"/>
      <c r="Q374" s="600"/>
      <c r="R374" s="469"/>
      <c r="S374" s="598"/>
      <c r="T374" s="599"/>
      <c r="U374" s="549"/>
      <c r="V374" s="598"/>
      <c r="W374" s="600"/>
      <c r="X374" s="469"/>
      <c r="Y374" s="598"/>
      <c r="Z374" s="599"/>
      <c r="AA374" s="549"/>
      <c r="AB374" s="598"/>
      <c r="AC374" s="600"/>
      <c r="AD374" s="469"/>
      <c r="AE374" s="598"/>
      <c r="AF374" s="599"/>
      <c r="AG374" s="549"/>
      <c r="AH374" s="598"/>
      <c r="AI374" s="600"/>
      <c r="AJ374" s="469"/>
      <c r="AK374" s="598"/>
      <c r="AL374" s="599"/>
      <c r="AM374" s="549"/>
      <c r="AN374" s="598"/>
      <c r="AO374" s="470"/>
    </row>
    <row r="375" spans="1:42" x14ac:dyDescent="0.2">
      <c r="A375" s="491" t="s">
        <v>663</v>
      </c>
      <c r="B375" s="492" t="s">
        <v>664</v>
      </c>
      <c r="C375" s="468">
        <f t="shared" si="331"/>
        <v>0</v>
      </c>
      <c r="D375" s="469">
        <f t="shared" si="326"/>
        <v>0</v>
      </c>
      <c r="E375" s="470">
        <f t="shared" si="326"/>
        <v>0</v>
      </c>
      <c r="F375" s="630"/>
      <c r="G375" s="598"/>
      <c r="H375" s="599"/>
      <c r="I375" s="631"/>
      <c r="J375" s="598"/>
      <c r="K375" s="600"/>
      <c r="L375" s="630"/>
      <c r="M375" s="598"/>
      <c r="N375" s="599"/>
      <c r="O375" s="631"/>
      <c r="P375" s="598"/>
      <c r="Q375" s="600"/>
      <c r="R375" s="630"/>
      <c r="S375" s="598"/>
      <c r="T375" s="599"/>
      <c r="U375" s="631"/>
      <c r="V375" s="598"/>
      <c r="W375" s="600"/>
      <c r="X375" s="630"/>
      <c r="Y375" s="598"/>
      <c r="Z375" s="599"/>
      <c r="AA375" s="631"/>
      <c r="AB375" s="598"/>
      <c r="AC375" s="600"/>
      <c r="AD375" s="630"/>
      <c r="AE375" s="598"/>
      <c r="AF375" s="599"/>
      <c r="AG375" s="631"/>
      <c r="AH375" s="598"/>
      <c r="AI375" s="600"/>
      <c r="AJ375" s="630"/>
      <c r="AK375" s="598"/>
      <c r="AL375" s="599"/>
      <c r="AM375" s="631"/>
      <c r="AN375" s="598"/>
      <c r="AO375" s="470"/>
    </row>
    <row r="376" spans="1:42" x14ac:dyDescent="0.2">
      <c r="A376" s="491" t="s">
        <v>665</v>
      </c>
      <c r="B376" s="492" t="s">
        <v>666</v>
      </c>
      <c r="C376" s="468">
        <f t="shared" si="331"/>
        <v>0</v>
      </c>
      <c r="D376" s="469">
        <f t="shared" si="326"/>
        <v>0</v>
      </c>
      <c r="E376" s="470">
        <f t="shared" si="326"/>
        <v>0</v>
      </c>
      <c r="F376" s="630"/>
      <c r="G376" s="598"/>
      <c r="H376" s="599"/>
      <c r="I376" s="631"/>
      <c r="J376" s="598"/>
      <c r="K376" s="600"/>
      <c r="L376" s="630"/>
      <c r="M376" s="598"/>
      <c r="N376" s="599"/>
      <c r="O376" s="631"/>
      <c r="P376" s="598"/>
      <c r="Q376" s="600"/>
      <c r="R376" s="630"/>
      <c r="S376" s="598"/>
      <c r="T376" s="599"/>
      <c r="U376" s="631"/>
      <c r="V376" s="598"/>
      <c r="W376" s="600"/>
      <c r="X376" s="630"/>
      <c r="Y376" s="598"/>
      <c r="Z376" s="599"/>
      <c r="AA376" s="631"/>
      <c r="AB376" s="598"/>
      <c r="AC376" s="600"/>
      <c r="AD376" s="630"/>
      <c r="AE376" s="598"/>
      <c r="AF376" s="599"/>
      <c r="AG376" s="631"/>
      <c r="AH376" s="598"/>
      <c r="AI376" s="600"/>
      <c r="AJ376" s="630"/>
      <c r="AK376" s="598"/>
      <c r="AL376" s="599"/>
      <c r="AM376" s="631"/>
      <c r="AN376" s="598"/>
      <c r="AO376" s="470"/>
    </row>
    <row r="377" spans="1:42" x14ac:dyDescent="0.2">
      <c r="A377" s="471" t="s">
        <v>667</v>
      </c>
      <c r="B377" s="472" t="s">
        <v>668</v>
      </c>
      <c r="C377" s="473">
        <f t="shared" si="331"/>
        <v>0</v>
      </c>
      <c r="D377" s="474">
        <f t="shared" si="326"/>
        <v>0</v>
      </c>
      <c r="E377" s="475">
        <f t="shared" si="326"/>
        <v>0</v>
      </c>
      <c r="F377" s="473">
        <f>SUM(F374:F376)</f>
        <v>0</v>
      </c>
      <c r="G377" s="603">
        <f t="shared" ref="G377:AO377" si="332">SUM(G374:G376)</f>
        <v>0</v>
      </c>
      <c r="H377" s="604">
        <f t="shared" si="332"/>
        <v>0</v>
      </c>
      <c r="I377" s="477">
        <f t="shared" si="332"/>
        <v>0</v>
      </c>
      <c r="J377" s="603">
        <f t="shared" si="332"/>
        <v>0</v>
      </c>
      <c r="K377" s="605">
        <f t="shared" si="332"/>
        <v>0</v>
      </c>
      <c r="L377" s="474">
        <f t="shared" si="332"/>
        <v>0</v>
      </c>
      <c r="M377" s="603">
        <f t="shared" si="332"/>
        <v>0</v>
      </c>
      <c r="N377" s="604">
        <f t="shared" si="332"/>
        <v>0</v>
      </c>
      <c r="O377" s="477">
        <f t="shared" si="332"/>
        <v>0</v>
      </c>
      <c r="P377" s="603">
        <f t="shared" si="332"/>
        <v>0</v>
      </c>
      <c r="Q377" s="605">
        <f t="shared" si="332"/>
        <v>0</v>
      </c>
      <c r="R377" s="474">
        <f t="shared" si="332"/>
        <v>0</v>
      </c>
      <c r="S377" s="603">
        <f t="shared" si="332"/>
        <v>0</v>
      </c>
      <c r="T377" s="604">
        <f t="shared" si="332"/>
        <v>0</v>
      </c>
      <c r="U377" s="477">
        <f t="shared" si="332"/>
        <v>0</v>
      </c>
      <c r="V377" s="603">
        <f t="shared" si="332"/>
        <v>0</v>
      </c>
      <c r="W377" s="605">
        <f t="shared" si="332"/>
        <v>0</v>
      </c>
      <c r="X377" s="474">
        <f t="shared" si="332"/>
        <v>0</v>
      </c>
      <c r="Y377" s="603">
        <f t="shared" si="332"/>
        <v>0</v>
      </c>
      <c r="Z377" s="604">
        <f t="shared" si="332"/>
        <v>0</v>
      </c>
      <c r="AA377" s="477">
        <f t="shared" si="332"/>
        <v>0</v>
      </c>
      <c r="AB377" s="603">
        <f t="shared" si="332"/>
        <v>0</v>
      </c>
      <c r="AC377" s="605">
        <f t="shared" si="332"/>
        <v>0</v>
      </c>
      <c r="AD377" s="474">
        <f t="shared" si="332"/>
        <v>0</v>
      </c>
      <c r="AE377" s="603">
        <f t="shared" si="332"/>
        <v>0</v>
      </c>
      <c r="AF377" s="604">
        <f t="shared" si="332"/>
        <v>0</v>
      </c>
      <c r="AG377" s="477">
        <f t="shared" si="332"/>
        <v>0</v>
      </c>
      <c r="AH377" s="603">
        <f t="shared" si="332"/>
        <v>0</v>
      </c>
      <c r="AI377" s="605">
        <f t="shared" si="332"/>
        <v>0</v>
      </c>
      <c r="AJ377" s="474">
        <f t="shared" si="332"/>
        <v>0</v>
      </c>
      <c r="AK377" s="603">
        <f t="shared" si="332"/>
        <v>0</v>
      </c>
      <c r="AL377" s="604">
        <f t="shared" si="332"/>
        <v>0</v>
      </c>
      <c r="AM377" s="477">
        <f t="shared" si="332"/>
        <v>0</v>
      </c>
      <c r="AN377" s="603">
        <f t="shared" si="332"/>
        <v>0</v>
      </c>
      <c r="AO377" s="475">
        <f t="shared" si="332"/>
        <v>0</v>
      </c>
    </row>
    <row r="378" spans="1:42" x14ac:dyDescent="0.2">
      <c r="A378" s="493" t="s">
        <v>669</v>
      </c>
      <c r="B378" s="494" t="s">
        <v>657</v>
      </c>
      <c r="C378" s="473">
        <f t="shared" si="331"/>
        <v>0</v>
      </c>
      <c r="D378" s="474">
        <f t="shared" si="326"/>
        <v>0</v>
      </c>
      <c r="E378" s="475">
        <f t="shared" si="326"/>
        <v>0</v>
      </c>
      <c r="F378" s="632">
        <f>+F398</f>
        <v>0</v>
      </c>
      <c r="G378" s="603"/>
      <c r="H378" s="604"/>
      <c r="I378" s="497">
        <f t="shared" ref="I378" si="333">+I398</f>
        <v>0</v>
      </c>
      <c r="J378" s="603"/>
      <c r="K378" s="605"/>
      <c r="L378" s="495">
        <f t="shared" ref="L378" si="334">+L398</f>
        <v>0</v>
      </c>
      <c r="M378" s="603"/>
      <c r="N378" s="604"/>
      <c r="O378" s="497">
        <f t="shared" ref="O378" si="335">+O398</f>
        <v>0</v>
      </c>
      <c r="P378" s="603"/>
      <c r="Q378" s="605"/>
      <c r="R378" s="495">
        <f t="shared" ref="R378" si="336">+R398</f>
        <v>0</v>
      </c>
      <c r="S378" s="603"/>
      <c r="T378" s="604"/>
      <c r="U378" s="497">
        <f t="shared" ref="U378" si="337">+U398</f>
        <v>0</v>
      </c>
      <c r="V378" s="603"/>
      <c r="W378" s="605"/>
      <c r="X378" s="495">
        <f t="shared" ref="X378" si="338">+X398</f>
        <v>0</v>
      </c>
      <c r="Y378" s="603"/>
      <c r="Z378" s="604"/>
      <c r="AA378" s="497">
        <f t="shared" ref="AA378" si="339">+AA398</f>
        <v>0</v>
      </c>
      <c r="AB378" s="603"/>
      <c r="AC378" s="605"/>
      <c r="AD378" s="495">
        <f t="shared" ref="AD378" si="340">+AD398</f>
        <v>0</v>
      </c>
      <c r="AE378" s="603"/>
      <c r="AF378" s="604"/>
      <c r="AG378" s="497">
        <f t="shared" ref="AG378" si="341">+AG398</f>
        <v>0</v>
      </c>
      <c r="AH378" s="603"/>
      <c r="AI378" s="605"/>
      <c r="AJ378" s="495">
        <f t="shared" ref="AJ378" si="342">+AJ398</f>
        <v>0</v>
      </c>
      <c r="AK378" s="603"/>
      <c r="AL378" s="604"/>
      <c r="AM378" s="477">
        <f>+AM398</f>
        <v>0</v>
      </c>
      <c r="AN378" s="603"/>
      <c r="AO378" s="475"/>
    </row>
    <row r="379" spans="1:42" x14ac:dyDescent="0.2">
      <c r="A379" s="481" t="s">
        <v>658</v>
      </c>
      <c r="B379" s="482" t="s">
        <v>659</v>
      </c>
      <c r="C379" s="483">
        <f>SUM(F379,I379,L379,O379,R379,U379,X379,AA379,AD379,AG379,AJ379,AM379)</f>
        <v>0</v>
      </c>
      <c r="D379" s="484">
        <f t="shared" si="326"/>
        <v>0</v>
      </c>
      <c r="E379" s="485">
        <f t="shared" si="326"/>
        <v>0</v>
      </c>
      <c r="F379" s="460"/>
      <c r="G379" s="598"/>
      <c r="H379" s="599"/>
      <c r="I379" s="463"/>
      <c r="J379" s="598"/>
      <c r="K379" s="600"/>
      <c r="L379" s="460"/>
      <c r="M379" s="598"/>
      <c r="N379" s="599"/>
      <c r="O379" s="463"/>
      <c r="P379" s="598"/>
      <c r="Q379" s="600"/>
      <c r="R379" s="460"/>
      <c r="S379" s="598"/>
      <c r="T379" s="599"/>
      <c r="U379" s="463"/>
      <c r="V379" s="598"/>
      <c r="W379" s="600"/>
      <c r="X379" s="460"/>
      <c r="Y379" s="598"/>
      <c r="Z379" s="599"/>
      <c r="AA379" s="463"/>
      <c r="AB379" s="598"/>
      <c r="AC379" s="600"/>
      <c r="AD379" s="460"/>
      <c r="AE379" s="598"/>
      <c r="AF379" s="599"/>
      <c r="AG379" s="463"/>
      <c r="AH379" s="598"/>
      <c r="AI379" s="600"/>
      <c r="AJ379" s="460"/>
      <c r="AK379" s="598"/>
      <c r="AL379" s="599"/>
      <c r="AM379" s="463"/>
      <c r="AN379" s="598"/>
      <c r="AO379" s="470"/>
    </row>
    <row r="380" spans="1:42" s="480" customFormat="1" ht="15.75" thickBot="1" x14ac:dyDescent="0.25">
      <c r="A380" s="505" t="s">
        <v>670</v>
      </c>
      <c r="B380" s="506" t="s">
        <v>671</v>
      </c>
      <c r="C380" s="507">
        <f>SUM(F380,I380,L380,O380,R380,U380,X380,AA380,AD380,AG380,AJ380,AM380)</f>
        <v>0</v>
      </c>
      <c r="D380" s="508">
        <f t="shared" si="326"/>
        <v>0</v>
      </c>
      <c r="E380" s="509">
        <f t="shared" si="326"/>
        <v>0</v>
      </c>
      <c r="F380" s="557">
        <f>SUM(F377,F378)</f>
        <v>0</v>
      </c>
      <c r="G380" s="610">
        <f t="shared" ref="G380:H380" si="343">SUM(G377,G378)</f>
        <v>0</v>
      </c>
      <c r="H380" s="611">
        <f t="shared" si="343"/>
        <v>0</v>
      </c>
      <c r="I380" s="512">
        <f>SUM(I377,I378)</f>
        <v>0</v>
      </c>
      <c r="J380" s="610">
        <f t="shared" ref="J380:AO380" si="344">SUM(J377,J378)</f>
        <v>0</v>
      </c>
      <c r="K380" s="612">
        <f t="shared" si="344"/>
        <v>0</v>
      </c>
      <c r="L380" s="510">
        <f t="shared" si="344"/>
        <v>0</v>
      </c>
      <c r="M380" s="610">
        <f t="shared" si="344"/>
        <v>0</v>
      </c>
      <c r="N380" s="611">
        <f t="shared" si="344"/>
        <v>0</v>
      </c>
      <c r="O380" s="512">
        <f t="shared" si="344"/>
        <v>0</v>
      </c>
      <c r="P380" s="610">
        <f t="shared" si="344"/>
        <v>0</v>
      </c>
      <c r="Q380" s="612">
        <f t="shared" si="344"/>
        <v>0</v>
      </c>
      <c r="R380" s="510">
        <f t="shared" si="344"/>
        <v>0</v>
      </c>
      <c r="S380" s="610">
        <f t="shared" si="344"/>
        <v>0</v>
      </c>
      <c r="T380" s="611">
        <f t="shared" si="344"/>
        <v>0</v>
      </c>
      <c r="U380" s="512">
        <f t="shared" si="344"/>
        <v>0</v>
      </c>
      <c r="V380" s="610">
        <f t="shared" si="344"/>
        <v>0</v>
      </c>
      <c r="W380" s="612">
        <f t="shared" si="344"/>
        <v>0</v>
      </c>
      <c r="X380" s="510">
        <f t="shared" si="344"/>
        <v>0</v>
      </c>
      <c r="Y380" s="610">
        <f t="shared" si="344"/>
        <v>0</v>
      </c>
      <c r="Z380" s="611">
        <f t="shared" si="344"/>
        <v>0</v>
      </c>
      <c r="AA380" s="512">
        <f t="shared" si="344"/>
        <v>0</v>
      </c>
      <c r="AB380" s="610">
        <f t="shared" si="344"/>
        <v>0</v>
      </c>
      <c r="AC380" s="612">
        <f t="shared" si="344"/>
        <v>0</v>
      </c>
      <c r="AD380" s="510">
        <f t="shared" si="344"/>
        <v>0</v>
      </c>
      <c r="AE380" s="610">
        <f t="shared" si="344"/>
        <v>0</v>
      </c>
      <c r="AF380" s="611">
        <f t="shared" si="344"/>
        <v>0</v>
      </c>
      <c r="AG380" s="512">
        <f t="shared" si="344"/>
        <v>0</v>
      </c>
      <c r="AH380" s="610">
        <f t="shared" si="344"/>
        <v>0</v>
      </c>
      <c r="AI380" s="612">
        <f t="shared" si="344"/>
        <v>0</v>
      </c>
      <c r="AJ380" s="510">
        <f t="shared" si="344"/>
        <v>0</v>
      </c>
      <c r="AK380" s="610">
        <f t="shared" si="344"/>
        <v>0</v>
      </c>
      <c r="AL380" s="611">
        <f t="shared" si="344"/>
        <v>0</v>
      </c>
      <c r="AM380" s="514">
        <f t="shared" si="344"/>
        <v>0</v>
      </c>
      <c r="AN380" s="610">
        <f t="shared" si="344"/>
        <v>0</v>
      </c>
      <c r="AO380" s="509">
        <f t="shared" si="344"/>
        <v>0</v>
      </c>
      <c r="AP380" s="479"/>
    </row>
    <row r="381" spans="1:42" ht="15" thickBot="1" x14ac:dyDescent="0.25">
      <c r="A381" s="515" t="s">
        <v>672</v>
      </c>
      <c r="B381" s="516" t="s">
        <v>673</v>
      </c>
      <c r="C381" s="632">
        <f>SUM(F381,I381,L381,O381,R381,U381,X381,AA381,AD381,AG381,AJ381,AM381)</f>
        <v>0</v>
      </c>
      <c r="D381" s="633">
        <f t="shared" si="326"/>
        <v>72800</v>
      </c>
      <c r="E381" s="634">
        <f t="shared" si="326"/>
        <v>2345</v>
      </c>
      <c r="F381" s="520">
        <f>SUM(F380,F373)</f>
        <v>0</v>
      </c>
      <c r="G381" s="520">
        <f t="shared" ref="G381:H381" si="345">SUM(G380,G373)</f>
        <v>0</v>
      </c>
      <c r="H381" s="521">
        <f t="shared" si="345"/>
        <v>0</v>
      </c>
      <c r="I381" s="522">
        <f t="shared" ref="I381" si="346">SUM(I373,I380)</f>
        <v>0</v>
      </c>
      <c r="J381" s="520">
        <f t="shared" ref="J381:K381" si="347">SUM(J380,J373)</f>
        <v>0</v>
      </c>
      <c r="K381" s="523">
        <f t="shared" si="347"/>
        <v>0</v>
      </c>
      <c r="L381" s="520">
        <f t="shared" ref="L381" si="348">SUM(L373,L380)</f>
        <v>0</v>
      </c>
      <c r="M381" s="520">
        <f t="shared" ref="M381:N381" si="349">SUM(M380,M373)</f>
        <v>0</v>
      </c>
      <c r="N381" s="521">
        <f t="shared" si="349"/>
        <v>0</v>
      </c>
      <c r="O381" s="522">
        <f t="shared" ref="O381" si="350">SUM(O373,O380)</f>
        <v>0</v>
      </c>
      <c r="P381" s="520">
        <f t="shared" ref="P381:Q381" si="351">SUM(P380,P373)</f>
        <v>0</v>
      </c>
      <c r="Q381" s="523">
        <f t="shared" si="351"/>
        <v>0</v>
      </c>
      <c r="R381" s="520">
        <f t="shared" ref="R381" si="352">SUM(R373,R380)</f>
        <v>0</v>
      </c>
      <c r="S381" s="520">
        <f t="shared" ref="S381:T381" si="353">SUM(S380,S373)</f>
        <v>0</v>
      </c>
      <c r="T381" s="521">
        <f t="shared" si="353"/>
        <v>0</v>
      </c>
      <c r="U381" s="522">
        <f t="shared" ref="U381" si="354">SUM(U373,U380)</f>
        <v>0</v>
      </c>
      <c r="V381" s="520">
        <f t="shared" ref="V381:W381" si="355">SUM(V380,V373)</f>
        <v>1528</v>
      </c>
      <c r="W381" s="523">
        <f t="shared" si="355"/>
        <v>2345</v>
      </c>
      <c r="X381" s="520">
        <f t="shared" ref="X381" si="356">SUM(X373,X380)</f>
        <v>0</v>
      </c>
      <c r="Y381" s="520">
        <f t="shared" ref="Y381:Z381" si="357">SUM(Y380,Y373)</f>
        <v>9417</v>
      </c>
      <c r="Z381" s="521">
        <f t="shared" si="357"/>
        <v>0</v>
      </c>
      <c r="AA381" s="522">
        <f t="shared" ref="AA381" si="358">SUM(AA373,AA380)</f>
        <v>0</v>
      </c>
      <c r="AB381" s="520">
        <f t="shared" ref="AB381:AC381" si="359">SUM(AB380,AB373)</f>
        <v>8253</v>
      </c>
      <c r="AC381" s="523">
        <f t="shared" si="359"/>
        <v>0</v>
      </c>
      <c r="AD381" s="520">
        <f t="shared" ref="AD381" si="360">SUM(AD373,AD380)</f>
        <v>0</v>
      </c>
      <c r="AE381" s="520">
        <f t="shared" ref="AE381:AF381" si="361">SUM(AE380,AE373)</f>
        <v>14065</v>
      </c>
      <c r="AF381" s="521">
        <f t="shared" si="361"/>
        <v>0</v>
      </c>
      <c r="AG381" s="522">
        <f t="shared" ref="AG381" si="362">SUM(AG373,AG380)</f>
        <v>0</v>
      </c>
      <c r="AH381" s="520">
        <f t="shared" ref="AH381:AI381" si="363">SUM(AH380,AH373)</f>
        <v>13521</v>
      </c>
      <c r="AI381" s="523">
        <f t="shared" si="363"/>
        <v>0</v>
      </c>
      <c r="AJ381" s="520">
        <f t="shared" ref="AJ381" si="364">SUM(AJ373,AJ380)</f>
        <v>0</v>
      </c>
      <c r="AK381" s="520">
        <f t="shared" ref="AK381:AL381" si="365">SUM(AK380,AK373)</f>
        <v>13021</v>
      </c>
      <c r="AL381" s="521">
        <f t="shared" si="365"/>
        <v>0</v>
      </c>
      <c r="AM381" s="522">
        <f t="shared" ref="AM381" si="366">SUM(AM373,AM380)</f>
        <v>0</v>
      </c>
      <c r="AN381" s="635">
        <f t="shared" ref="AN381:AO381" si="367">SUM(AN380,AN373)</f>
        <v>12995</v>
      </c>
      <c r="AO381" s="563">
        <f t="shared" si="367"/>
        <v>0</v>
      </c>
    </row>
    <row r="382" spans="1:42" ht="15" thickBot="1" x14ac:dyDescent="0.25">
      <c r="A382" s="526"/>
      <c r="B382" s="527" t="s">
        <v>1332</v>
      </c>
      <c r="C382" s="528"/>
      <c r="D382" s="529"/>
      <c r="E382" s="519">
        <f t="shared" ref="E382:E383" si="368">SUM(H382,K382,N382,Q382,T382,W382,Z382,AC382,AF382,AI382,AL382,AO382)</f>
        <v>0</v>
      </c>
      <c r="F382" s="530"/>
      <c r="G382" s="530"/>
      <c r="H382" s="536"/>
      <c r="I382" s="531"/>
      <c r="J382" s="530"/>
      <c r="K382" s="537"/>
      <c r="L382" s="530"/>
      <c r="M382" s="530"/>
      <c r="N382" s="536"/>
      <c r="O382" s="531"/>
      <c r="P382" s="530"/>
      <c r="Q382" s="537"/>
      <c r="R382" s="530"/>
      <c r="S382" s="530"/>
      <c r="T382" s="536"/>
      <c r="U382" s="531"/>
      <c r="V382" s="530"/>
      <c r="W382" s="537"/>
      <c r="X382" s="530"/>
      <c r="Y382" s="530"/>
      <c r="Z382" s="536"/>
      <c r="AA382" s="531"/>
      <c r="AB382" s="530"/>
      <c r="AC382" s="537"/>
      <c r="AD382" s="530"/>
      <c r="AE382" s="530"/>
      <c r="AF382" s="536"/>
      <c r="AG382" s="531"/>
      <c r="AH382" s="530"/>
      <c r="AI382" s="537"/>
      <c r="AJ382" s="530"/>
      <c r="AK382" s="532"/>
      <c r="AL382" s="536"/>
      <c r="AM382" s="531"/>
      <c r="AN382" s="532"/>
      <c r="AO382" s="613"/>
    </row>
    <row r="383" spans="1:42" ht="15" thickBot="1" x14ac:dyDescent="0.25">
      <c r="A383" s="526"/>
      <c r="B383" s="527" t="s">
        <v>1333</v>
      </c>
      <c r="C383" s="534"/>
      <c r="D383" s="535"/>
      <c r="E383" s="519">
        <f t="shared" si="368"/>
        <v>2345</v>
      </c>
      <c r="F383" s="530"/>
      <c r="G383" s="530"/>
      <c r="H383" s="536">
        <f>SUM(H381:H382)</f>
        <v>0</v>
      </c>
      <c r="I383" s="531"/>
      <c r="J383" s="530"/>
      <c r="K383" s="537">
        <f>SUM(K381:K382)</f>
        <v>0</v>
      </c>
      <c r="L383" s="530"/>
      <c r="M383" s="530"/>
      <c r="N383" s="536">
        <f>SUM(N381:N382)</f>
        <v>0</v>
      </c>
      <c r="O383" s="531"/>
      <c r="P383" s="530"/>
      <c r="Q383" s="537">
        <f>SUM(Q381:Q382)</f>
        <v>0</v>
      </c>
      <c r="R383" s="530"/>
      <c r="S383" s="530"/>
      <c r="T383" s="536">
        <f>SUM(T381:T382)</f>
        <v>0</v>
      </c>
      <c r="U383" s="531"/>
      <c r="V383" s="530"/>
      <c r="W383" s="537">
        <f>SUM(W381:W382)</f>
        <v>2345</v>
      </c>
      <c r="X383" s="530"/>
      <c r="Y383" s="530"/>
      <c r="Z383" s="536">
        <f>SUM(Z381:Z382)</f>
        <v>0</v>
      </c>
      <c r="AA383" s="531"/>
      <c r="AB383" s="530"/>
      <c r="AC383" s="537">
        <f>SUM(AC381:AC382)</f>
        <v>0</v>
      </c>
      <c r="AD383" s="530"/>
      <c r="AE383" s="530"/>
      <c r="AF383" s="536">
        <f>SUM(AF381:AF382)</f>
        <v>0</v>
      </c>
      <c r="AG383" s="531"/>
      <c r="AH383" s="530"/>
      <c r="AI383" s="537">
        <f>SUM(AI381:AI382)</f>
        <v>0</v>
      </c>
      <c r="AJ383" s="530"/>
      <c r="AK383" s="532"/>
      <c r="AL383" s="536">
        <f>SUM(AL381:AL382)</f>
        <v>0</v>
      </c>
      <c r="AM383" s="531"/>
      <c r="AN383" s="532"/>
      <c r="AO383" s="524">
        <f>SUM(AO381:AO382)</f>
        <v>0</v>
      </c>
    </row>
    <row r="384" spans="1:42" x14ac:dyDescent="0.2">
      <c r="A384" s="538"/>
      <c r="B384" s="539" t="s">
        <v>674</v>
      </c>
      <c r="C384" s="614" t="s">
        <v>633</v>
      </c>
      <c r="D384" s="615" t="s">
        <v>1326</v>
      </c>
      <c r="E384" s="616" t="s">
        <v>1327</v>
      </c>
      <c r="F384" s="617"/>
      <c r="G384" s="617"/>
      <c r="H384" s="618"/>
      <c r="I384" s="619"/>
      <c r="J384" s="617"/>
      <c r="K384" s="636"/>
      <c r="L384" s="617"/>
      <c r="M384" s="617"/>
      <c r="N384" s="618"/>
      <c r="O384" s="619"/>
      <c r="P384" s="617"/>
      <c r="Q384" s="636"/>
      <c r="R384" s="617"/>
      <c r="S384" s="617"/>
      <c r="T384" s="618"/>
      <c r="U384" s="619"/>
      <c r="V384" s="617"/>
      <c r="W384" s="636"/>
      <c r="X384" s="617"/>
      <c r="Y384" s="617"/>
      <c r="Z384" s="618"/>
      <c r="AA384" s="619"/>
      <c r="AB384" s="617"/>
      <c r="AC384" s="636"/>
      <c r="AD384" s="617"/>
      <c r="AE384" s="617"/>
      <c r="AF384" s="618"/>
      <c r="AG384" s="619"/>
      <c r="AH384" s="617"/>
      <c r="AI384" s="636"/>
      <c r="AJ384" s="617"/>
      <c r="AK384" s="617"/>
      <c r="AL384" s="618"/>
      <c r="AM384" s="619"/>
      <c r="AN384" s="620"/>
      <c r="AO384" s="637"/>
    </row>
    <row r="385" spans="1:41" x14ac:dyDescent="0.2">
      <c r="A385" s="457" t="s">
        <v>675</v>
      </c>
      <c r="B385" s="458" t="s">
        <v>676</v>
      </c>
      <c r="C385" s="468">
        <f t="shared" ref="C385:E401" si="369">SUM(F385,I385,L385,O385,R385,U385,X385,AA385,AD385,AG385,AJ385,AM385)</f>
        <v>0</v>
      </c>
      <c r="D385" s="543">
        <f t="shared" si="369"/>
        <v>18174</v>
      </c>
      <c r="E385" s="465">
        <f t="shared" si="369"/>
        <v>1203</v>
      </c>
      <c r="F385" s="469"/>
      <c r="G385" s="592"/>
      <c r="H385" s="593"/>
      <c r="I385" s="549"/>
      <c r="J385" s="592"/>
      <c r="K385" s="595"/>
      <c r="L385" s="469"/>
      <c r="M385" s="592"/>
      <c r="N385" s="593"/>
      <c r="O385" s="549"/>
      <c r="P385" s="592"/>
      <c r="Q385" s="595"/>
      <c r="R385" s="469"/>
      <c r="S385" s="592"/>
      <c r="T385" s="593"/>
      <c r="U385" s="549"/>
      <c r="V385" s="592">
        <v>1203</v>
      </c>
      <c r="W385" s="595">
        <v>1203</v>
      </c>
      <c r="X385" s="469"/>
      <c r="Y385" s="592">
        <v>1593</v>
      </c>
      <c r="Z385" s="593"/>
      <c r="AA385" s="549"/>
      <c r="AB385" s="592">
        <v>2250</v>
      </c>
      <c r="AC385" s="595"/>
      <c r="AD385" s="469"/>
      <c r="AE385" s="592">
        <v>3250</v>
      </c>
      <c r="AF385" s="593"/>
      <c r="AG385" s="549"/>
      <c r="AH385" s="592">
        <v>3250</v>
      </c>
      <c r="AI385" s="595"/>
      <c r="AJ385" s="469"/>
      <c r="AK385" s="592">
        <v>3250</v>
      </c>
      <c r="AL385" s="593"/>
      <c r="AM385" s="594"/>
      <c r="AN385" s="592">
        <v>3378</v>
      </c>
      <c r="AO385" s="465"/>
    </row>
    <row r="386" spans="1:41" x14ac:dyDescent="0.2">
      <c r="A386" s="466" t="s">
        <v>677</v>
      </c>
      <c r="B386" s="467" t="s">
        <v>678</v>
      </c>
      <c r="C386" s="468">
        <f t="shared" si="369"/>
        <v>0</v>
      </c>
      <c r="D386" s="469">
        <f t="shared" si="369"/>
        <v>4878</v>
      </c>
      <c r="E386" s="470">
        <f t="shared" si="369"/>
        <v>325</v>
      </c>
      <c r="F386" s="469"/>
      <c r="G386" s="598"/>
      <c r="H386" s="599"/>
      <c r="I386" s="549"/>
      <c r="J386" s="598"/>
      <c r="K386" s="600"/>
      <c r="L386" s="469"/>
      <c r="M386" s="598"/>
      <c r="N386" s="599"/>
      <c r="O386" s="549"/>
      <c r="P386" s="598"/>
      <c r="Q386" s="600"/>
      <c r="R386" s="469"/>
      <c r="S386" s="598"/>
      <c r="T386" s="599"/>
      <c r="U386" s="549"/>
      <c r="V386" s="598">
        <v>325</v>
      </c>
      <c r="W386" s="600">
        <v>325</v>
      </c>
      <c r="X386" s="469"/>
      <c r="Y386" s="598">
        <v>424</v>
      </c>
      <c r="Z386" s="599"/>
      <c r="AA386" s="549"/>
      <c r="AB386" s="598">
        <v>603</v>
      </c>
      <c r="AC386" s="600"/>
      <c r="AD386" s="469"/>
      <c r="AE386" s="598">
        <v>871</v>
      </c>
      <c r="AF386" s="599"/>
      <c r="AG386" s="549"/>
      <c r="AH386" s="598">
        <v>871</v>
      </c>
      <c r="AI386" s="600"/>
      <c r="AJ386" s="469"/>
      <c r="AK386" s="598">
        <v>871</v>
      </c>
      <c r="AL386" s="599"/>
      <c r="AM386" s="549"/>
      <c r="AN386" s="598">
        <v>913</v>
      </c>
      <c r="AO386" s="470"/>
    </row>
    <row r="387" spans="1:41" x14ac:dyDescent="0.2">
      <c r="A387" s="466" t="s">
        <v>679</v>
      </c>
      <c r="B387" s="467" t="s">
        <v>680</v>
      </c>
      <c r="C387" s="468">
        <f t="shared" si="369"/>
        <v>0</v>
      </c>
      <c r="D387" s="469">
        <f t="shared" si="369"/>
        <v>23269</v>
      </c>
      <c r="E387" s="470">
        <f t="shared" si="369"/>
        <v>0</v>
      </c>
      <c r="F387" s="469"/>
      <c r="G387" s="598"/>
      <c r="H387" s="599"/>
      <c r="I387" s="549"/>
      <c r="J387" s="598"/>
      <c r="K387" s="600"/>
      <c r="L387" s="469"/>
      <c r="M387" s="598"/>
      <c r="N387" s="599"/>
      <c r="O387" s="549"/>
      <c r="P387" s="598"/>
      <c r="Q387" s="600"/>
      <c r="R387" s="469"/>
      <c r="S387" s="598"/>
      <c r="T387" s="599"/>
      <c r="U387" s="549"/>
      <c r="V387" s="598"/>
      <c r="W387" s="600"/>
      <c r="X387" s="469"/>
      <c r="Y387" s="598">
        <v>3900</v>
      </c>
      <c r="Z387" s="599"/>
      <c r="AA387" s="549"/>
      <c r="AB387" s="598">
        <v>3900</v>
      </c>
      <c r="AC387" s="600"/>
      <c r="AD387" s="469"/>
      <c r="AE387" s="598">
        <v>3900</v>
      </c>
      <c r="AF387" s="599"/>
      <c r="AG387" s="549"/>
      <c r="AH387" s="598">
        <v>3900</v>
      </c>
      <c r="AI387" s="600"/>
      <c r="AJ387" s="469"/>
      <c r="AK387" s="598">
        <v>3900</v>
      </c>
      <c r="AL387" s="599"/>
      <c r="AM387" s="549"/>
      <c r="AN387" s="598">
        <v>3769</v>
      </c>
      <c r="AO387" s="470"/>
    </row>
    <row r="388" spans="1:41" x14ac:dyDescent="0.2">
      <c r="A388" s="466" t="s">
        <v>681</v>
      </c>
      <c r="B388" s="467" t="s">
        <v>682</v>
      </c>
      <c r="C388" s="468">
        <f t="shared" si="369"/>
        <v>0</v>
      </c>
      <c r="D388" s="469">
        <f t="shared" si="369"/>
        <v>0</v>
      </c>
      <c r="E388" s="470">
        <f t="shared" si="369"/>
        <v>0</v>
      </c>
      <c r="F388" s="469"/>
      <c r="G388" s="598"/>
      <c r="H388" s="599"/>
      <c r="I388" s="549"/>
      <c r="J388" s="598"/>
      <c r="K388" s="600"/>
      <c r="L388" s="469"/>
      <c r="M388" s="598"/>
      <c r="N388" s="599"/>
      <c r="O388" s="549"/>
      <c r="P388" s="598"/>
      <c r="Q388" s="600"/>
      <c r="R388" s="469"/>
      <c r="S388" s="598"/>
      <c r="T388" s="599"/>
      <c r="U388" s="549"/>
      <c r="V388" s="598"/>
      <c r="W388" s="600"/>
      <c r="X388" s="469"/>
      <c r="Y388" s="598"/>
      <c r="Z388" s="599"/>
      <c r="AA388" s="549"/>
      <c r="AB388" s="598"/>
      <c r="AC388" s="600"/>
      <c r="AD388" s="469"/>
      <c r="AE388" s="598"/>
      <c r="AF388" s="599"/>
      <c r="AG388" s="549"/>
      <c r="AH388" s="598"/>
      <c r="AI388" s="600"/>
      <c r="AJ388" s="469"/>
      <c r="AK388" s="598"/>
      <c r="AL388" s="599"/>
      <c r="AM388" s="549"/>
      <c r="AN388" s="598"/>
      <c r="AO388" s="470"/>
    </row>
    <row r="389" spans="1:41" x14ac:dyDescent="0.2">
      <c r="A389" s="466" t="s">
        <v>683</v>
      </c>
      <c r="B389" s="467" t="s">
        <v>684</v>
      </c>
      <c r="C389" s="468">
        <f t="shared" si="369"/>
        <v>0</v>
      </c>
      <c r="D389" s="469">
        <f t="shared" si="369"/>
        <v>20935</v>
      </c>
      <c r="E389" s="470">
        <f t="shared" si="369"/>
        <v>0</v>
      </c>
      <c r="F389" s="469"/>
      <c r="G389" s="598"/>
      <c r="H389" s="599"/>
      <c r="I389" s="549"/>
      <c r="J389" s="598"/>
      <c r="K389" s="600"/>
      <c r="L389" s="469"/>
      <c r="M389" s="598"/>
      <c r="N389" s="599"/>
      <c r="O389" s="549"/>
      <c r="P389" s="598"/>
      <c r="Q389" s="600"/>
      <c r="R389" s="469"/>
      <c r="S389" s="598"/>
      <c r="T389" s="599"/>
      <c r="U389" s="549"/>
      <c r="V389" s="598"/>
      <c r="W389" s="600"/>
      <c r="X389" s="469"/>
      <c r="Y389" s="598"/>
      <c r="Z389" s="599"/>
      <c r="AA389" s="549"/>
      <c r="AB389" s="598"/>
      <c r="AC389" s="600"/>
      <c r="AD389" s="469"/>
      <c r="AE389" s="598">
        <v>5500</v>
      </c>
      <c r="AF389" s="599"/>
      <c r="AG389" s="549"/>
      <c r="AH389" s="598">
        <v>5500</v>
      </c>
      <c r="AI389" s="600"/>
      <c r="AJ389" s="469"/>
      <c r="AK389" s="598">
        <v>5000</v>
      </c>
      <c r="AL389" s="599"/>
      <c r="AM389" s="549"/>
      <c r="AN389" s="598">
        <v>4935</v>
      </c>
      <c r="AO389" s="470"/>
    </row>
    <row r="390" spans="1:41" x14ac:dyDescent="0.2">
      <c r="A390" s="481"/>
      <c r="B390" s="482" t="s">
        <v>685</v>
      </c>
      <c r="C390" s="483">
        <f t="shared" si="369"/>
        <v>0</v>
      </c>
      <c r="D390" s="484">
        <f t="shared" si="369"/>
        <v>0</v>
      </c>
      <c r="E390" s="485">
        <f t="shared" si="369"/>
        <v>0</v>
      </c>
      <c r="F390" s="484"/>
      <c r="G390" s="606"/>
      <c r="H390" s="607"/>
      <c r="I390" s="487"/>
      <c r="J390" s="606"/>
      <c r="K390" s="608"/>
      <c r="L390" s="484"/>
      <c r="M390" s="606"/>
      <c r="N390" s="607"/>
      <c r="O390" s="487"/>
      <c r="P390" s="606"/>
      <c r="Q390" s="608"/>
      <c r="R390" s="484"/>
      <c r="S390" s="606"/>
      <c r="T390" s="607"/>
      <c r="U390" s="487"/>
      <c r="V390" s="606"/>
      <c r="W390" s="608"/>
      <c r="X390" s="484"/>
      <c r="Y390" s="606"/>
      <c r="Z390" s="607"/>
      <c r="AA390" s="487"/>
      <c r="AB390" s="606"/>
      <c r="AC390" s="608"/>
      <c r="AD390" s="484"/>
      <c r="AE390" s="606"/>
      <c r="AF390" s="607"/>
      <c r="AG390" s="487"/>
      <c r="AH390" s="606"/>
      <c r="AI390" s="608"/>
      <c r="AJ390" s="484"/>
      <c r="AK390" s="606"/>
      <c r="AL390" s="607"/>
      <c r="AM390" s="487"/>
      <c r="AN390" s="606"/>
      <c r="AO390" s="485"/>
    </row>
    <row r="391" spans="1:41" x14ac:dyDescent="0.2">
      <c r="A391" s="544"/>
      <c r="B391" s="545" t="s">
        <v>686</v>
      </c>
      <c r="C391" s="483">
        <f t="shared" si="369"/>
        <v>0</v>
      </c>
      <c r="D391" s="484">
        <f t="shared" si="369"/>
        <v>0</v>
      </c>
      <c r="E391" s="485">
        <f t="shared" si="369"/>
        <v>0</v>
      </c>
      <c r="F391" s="638"/>
      <c r="G391" s="606"/>
      <c r="H391" s="607"/>
      <c r="I391" s="639"/>
      <c r="J391" s="606"/>
      <c r="K391" s="608"/>
      <c r="L391" s="638"/>
      <c r="M391" s="606"/>
      <c r="N391" s="607"/>
      <c r="O391" s="639"/>
      <c r="P391" s="606"/>
      <c r="Q391" s="608"/>
      <c r="R391" s="638"/>
      <c r="S391" s="606"/>
      <c r="T391" s="607"/>
      <c r="U391" s="639"/>
      <c r="V391" s="606"/>
      <c r="W391" s="608"/>
      <c r="X391" s="638"/>
      <c r="Y391" s="606"/>
      <c r="Z391" s="607"/>
      <c r="AA391" s="639"/>
      <c r="AB391" s="606"/>
      <c r="AC391" s="608"/>
      <c r="AD391" s="638"/>
      <c r="AE391" s="606"/>
      <c r="AF391" s="607"/>
      <c r="AG391" s="639"/>
      <c r="AH391" s="606"/>
      <c r="AI391" s="608"/>
      <c r="AJ391" s="638"/>
      <c r="AK391" s="606"/>
      <c r="AL391" s="607"/>
      <c r="AM391" s="639"/>
      <c r="AN391" s="606"/>
      <c r="AO391" s="485"/>
    </row>
    <row r="392" spans="1:41" x14ac:dyDescent="0.2">
      <c r="A392" s="471" t="s">
        <v>654</v>
      </c>
      <c r="B392" s="472" t="s">
        <v>687</v>
      </c>
      <c r="C392" s="473">
        <f t="shared" si="369"/>
        <v>0</v>
      </c>
      <c r="D392" s="474">
        <f t="shared" si="369"/>
        <v>67256</v>
      </c>
      <c r="E392" s="475">
        <f t="shared" si="369"/>
        <v>1528</v>
      </c>
      <c r="F392" s="476">
        <f>SUM(F385:F391)</f>
        <v>0</v>
      </c>
      <c r="G392" s="603">
        <f t="shared" ref="G392:H392" si="370">SUM(G385:G389)</f>
        <v>0</v>
      </c>
      <c r="H392" s="604">
        <f t="shared" si="370"/>
        <v>0</v>
      </c>
      <c r="I392" s="477">
        <f t="shared" ref="I392" si="371">SUM(I385:I391)</f>
        <v>0</v>
      </c>
      <c r="J392" s="603">
        <f t="shared" ref="J392:K392" si="372">SUM(J385:J389)</f>
        <v>0</v>
      </c>
      <c r="K392" s="605">
        <f t="shared" si="372"/>
        <v>0</v>
      </c>
      <c r="L392" s="474">
        <f t="shared" ref="L392" si="373">SUM(L385:L391)</f>
        <v>0</v>
      </c>
      <c r="M392" s="603">
        <f t="shared" ref="M392:N392" si="374">SUM(M385:M389)</f>
        <v>0</v>
      </c>
      <c r="N392" s="604">
        <f t="shared" si="374"/>
        <v>0</v>
      </c>
      <c r="O392" s="477">
        <f t="shared" ref="O392" si="375">SUM(O385:O391)</f>
        <v>0</v>
      </c>
      <c r="P392" s="603">
        <f t="shared" ref="P392:Q392" si="376">SUM(P385:P389)</f>
        <v>0</v>
      </c>
      <c r="Q392" s="605">
        <f t="shared" si="376"/>
        <v>0</v>
      </c>
      <c r="R392" s="474">
        <f t="shared" ref="R392" si="377">SUM(R385:R391)</f>
        <v>0</v>
      </c>
      <c r="S392" s="603">
        <f t="shared" ref="S392:T392" si="378">SUM(S385:S389)</f>
        <v>0</v>
      </c>
      <c r="T392" s="604">
        <f t="shared" si="378"/>
        <v>0</v>
      </c>
      <c r="U392" s="477">
        <f t="shared" ref="U392" si="379">SUM(U385:U391)</f>
        <v>0</v>
      </c>
      <c r="V392" s="603">
        <f t="shared" ref="V392:W392" si="380">SUM(V385:V389)</f>
        <v>1528</v>
      </c>
      <c r="W392" s="605">
        <f t="shared" si="380"/>
        <v>1528</v>
      </c>
      <c r="X392" s="474">
        <f t="shared" ref="X392" si="381">SUM(X385:X391)</f>
        <v>0</v>
      </c>
      <c r="Y392" s="603">
        <f t="shared" ref="Y392:Z392" si="382">SUM(Y385:Y389)</f>
        <v>5917</v>
      </c>
      <c r="Z392" s="604">
        <f t="shared" si="382"/>
        <v>0</v>
      </c>
      <c r="AA392" s="477">
        <f t="shared" ref="AA392" si="383">SUM(AA385:AA391)</f>
        <v>0</v>
      </c>
      <c r="AB392" s="603">
        <f t="shared" ref="AB392:AC392" si="384">SUM(AB385:AB389)</f>
        <v>6753</v>
      </c>
      <c r="AC392" s="605">
        <f t="shared" si="384"/>
        <v>0</v>
      </c>
      <c r="AD392" s="474">
        <f t="shared" ref="AD392" si="385">SUM(AD385:AD391)</f>
        <v>0</v>
      </c>
      <c r="AE392" s="603">
        <f t="shared" ref="AE392:AF392" si="386">SUM(AE385:AE389)</f>
        <v>13521</v>
      </c>
      <c r="AF392" s="604">
        <f t="shared" si="386"/>
        <v>0</v>
      </c>
      <c r="AG392" s="477">
        <f t="shared" ref="AG392" si="387">SUM(AG385:AG391)</f>
        <v>0</v>
      </c>
      <c r="AH392" s="603">
        <f t="shared" ref="AH392:AI392" si="388">SUM(AH385:AH389)</f>
        <v>13521</v>
      </c>
      <c r="AI392" s="605">
        <f t="shared" si="388"/>
        <v>0</v>
      </c>
      <c r="AJ392" s="474">
        <f t="shared" ref="AJ392" si="389">SUM(AJ385:AJ391)</f>
        <v>0</v>
      </c>
      <c r="AK392" s="603">
        <f t="shared" ref="AK392:AL392" si="390">SUM(AK385:AK389)</f>
        <v>13021</v>
      </c>
      <c r="AL392" s="604">
        <f t="shared" si="390"/>
        <v>0</v>
      </c>
      <c r="AM392" s="477">
        <f t="shared" ref="AM392" si="391">SUM(AM385:AM391)</f>
        <v>0</v>
      </c>
      <c r="AN392" s="603">
        <f t="shared" ref="AN392:AO392" si="392">SUM(AN385:AN389)</f>
        <v>12995</v>
      </c>
      <c r="AO392" s="475">
        <f t="shared" si="392"/>
        <v>0</v>
      </c>
    </row>
    <row r="393" spans="1:41" x14ac:dyDescent="0.2">
      <c r="A393" s="471" t="s">
        <v>688</v>
      </c>
      <c r="B393" s="472" t="s">
        <v>689</v>
      </c>
      <c r="C393" s="473">
        <f t="shared" si="369"/>
        <v>0</v>
      </c>
      <c r="D393" s="474">
        <f t="shared" si="369"/>
        <v>0</v>
      </c>
      <c r="E393" s="475">
        <f t="shared" si="369"/>
        <v>0</v>
      </c>
      <c r="F393" s="476"/>
      <c r="G393" s="603"/>
      <c r="H393" s="604"/>
      <c r="I393" s="477"/>
      <c r="J393" s="603"/>
      <c r="K393" s="605"/>
      <c r="L393" s="474"/>
      <c r="M393" s="603"/>
      <c r="N393" s="604"/>
      <c r="O393" s="477"/>
      <c r="P393" s="603"/>
      <c r="Q393" s="605"/>
      <c r="R393" s="474"/>
      <c r="S393" s="603"/>
      <c r="T393" s="604"/>
      <c r="U393" s="477"/>
      <c r="V393" s="603"/>
      <c r="W393" s="605"/>
      <c r="X393" s="474"/>
      <c r="Y393" s="603"/>
      <c r="Z393" s="604"/>
      <c r="AA393" s="477"/>
      <c r="AB393" s="603"/>
      <c r="AC393" s="605"/>
      <c r="AD393" s="474"/>
      <c r="AE393" s="603"/>
      <c r="AF393" s="604"/>
      <c r="AG393" s="477"/>
      <c r="AH393" s="603"/>
      <c r="AI393" s="605"/>
      <c r="AJ393" s="474"/>
      <c r="AK393" s="603"/>
      <c r="AL393" s="604"/>
      <c r="AM393" s="477"/>
      <c r="AN393" s="603"/>
      <c r="AO393" s="475"/>
    </row>
    <row r="394" spans="1:41" x14ac:dyDescent="0.2">
      <c r="A394" s="493" t="s">
        <v>660</v>
      </c>
      <c r="B394" s="494" t="s">
        <v>690</v>
      </c>
      <c r="C394" s="473">
        <f t="shared" si="369"/>
        <v>0</v>
      </c>
      <c r="D394" s="474">
        <f t="shared" si="369"/>
        <v>67256</v>
      </c>
      <c r="E394" s="475">
        <f t="shared" si="369"/>
        <v>1528</v>
      </c>
      <c r="F394" s="495">
        <f>SUM(F392,F393)</f>
        <v>0</v>
      </c>
      <c r="G394" s="603">
        <f t="shared" ref="G394:AO394" si="393">SUM(G392,G393)</f>
        <v>0</v>
      </c>
      <c r="H394" s="604">
        <f t="shared" si="393"/>
        <v>0</v>
      </c>
      <c r="I394" s="497">
        <f t="shared" si="393"/>
        <v>0</v>
      </c>
      <c r="J394" s="603">
        <f t="shared" si="393"/>
        <v>0</v>
      </c>
      <c r="K394" s="605">
        <f t="shared" si="393"/>
        <v>0</v>
      </c>
      <c r="L394" s="495">
        <f t="shared" si="393"/>
        <v>0</v>
      </c>
      <c r="M394" s="603">
        <f t="shared" si="393"/>
        <v>0</v>
      </c>
      <c r="N394" s="604">
        <f t="shared" si="393"/>
        <v>0</v>
      </c>
      <c r="O394" s="497">
        <f t="shared" si="393"/>
        <v>0</v>
      </c>
      <c r="P394" s="603">
        <f t="shared" si="393"/>
        <v>0</v>
      </c>
      <c r="Q394" s="605">
        <f t="shared" si="393"/>
        <v>0</v>
      </c>
      <c r="R394" s="495">
        <f t="shared" si="393"/>
        <v>0</v>
      </c>
      <c r="S394" s="603">
        <f t="shared" si="393"/>
        <v>0</v>
      </c>
      <c r="T394" s="604">
        <f t="shared" si="393"/>
        <v>0</v>
      </c>
      <c r="U394" s="497">
        <f t="shared" si="393"/>
        <v>0</v>
      </c>
      <c r="V394" s="603">
        <f t="shared" si="393"/>
        <v>1528</v>
      </c>
      <c r="W394" s="605">
        <f t="shared" si="393"/>
        <v>1528</v>
      </c>
      <c r="X394" s="495">
        <f t="shared" si="393"/>
        <v>0</v>
      </c>
      <c r="Y394" s="603">
        <f t="shared" si="393"/>
        <v>5917</v>
      </c>
      <c r="Z394" s="604">
        <f t="shared" si="393"/>
        <v>0</v>
      </c>
      <c r="AA394" s="497">
        <f t="shared" si="393"/>
        <v>0</v>
      </c>
      <c r="AB394" s="603">
        <f t="shared" si="393"/>
        <v>6753</v>
      </c>
      <c r="AC394" s="605">
        <f t="shared" si="393"/>
        <v>0</v>
      </c>
      <c r="AD394" s="495">
        <f t="shared" si="393"/>
        <v>0</v>
      </c>
      <c r="AE394" s="603">
        <f t="shared" si="393"/>
        <v>13521</v>
      </c>
      <c r="AF394" s="604">
        <f t="shared" si="393"/>
        <v>0</v>
      </c>
      <c r="AG394" s="497">
        <f t="shared" si="393"/>
        <v>0</v>
      </c>
      <c r="AH394" s="603">
        <f t="shared" si="393"/>
        <v>13521</v>
      </c>
      <c r="AI394" s="605">
        <f t="shared" si="393"/>
        <v>0</v>
      </c>
      <c r="AJ394" s="495">
        <f t="shared" si="393"/>
        <v>0</v>
      </c>
      <c r="AK394" s="603">
        <f t="shared" si="393"/>
        <v>13021</v>
      </c>
      <c r="AL394" s="604">
        <f t="shared" si="393"/>
        <v>0</v>
      </c>
      <c r="AM394" s="497">
        <f t="shared" si="393"/>
        <v>0</v>
      </c>
      <c r="AN394" s="603">
        <f t="shared" si="393"/>
        <v>12995</v>
      </c>
      <c r="AO394" s="475">
        <f t="shared" si="393"/>
        <v>0</v>
      </c>
    </row>
    <row r="395" spans="1:41" x14ac:dyDescent="0.2">
      <c r="A395" s="466" t="s">
        <v>691</v>
      </c>
      <c r="B395" s="467" t="s">
        <v>692</v>
      </c>
      <c r="C395" s="468">
        <f t="shared" si="369"/>
        <v>0</v>
      </c>
      <c r="D395" s="469">
        <f t="shared" si="369"/>
        <v>5544</v>
      </c>
      <c r="E395" s="470">
        <f t="shared" si="369"/>
        <v>0</v>
      </c>
      <c r="F395" s="469"/>
      <c r="G395" s="598"/>
      <c r="H395" s="599"/>
      <c r="I395" s="549"/>
      <c r="J395" s="598"/>
      <c r="K395" s="600"/>
      <c r="L395" s="469"/>
      <c r="M395" s="598"/>
      <c r="N395" s="599"/>
      <c r="O395" s="549"/>
      <c r="P395" s="598"/>
      <c r="Q395" s="600"/>
      <c r="R395" s="469"/>
      <c r="S395" s="598"/>
      <c r="T395" s="599"/>
      <c r="U395" s="549"/>
      <c r="V395" s="598"/>
      <c r="W395" s="600"/>
      <c r="X395" s="469"/>
      <c r="Y395" s="598">
        <v>3500</v>
      </c>
      <c r="Z395" s="599"/>
      <c r="AA395" s="549"/>
      <c r="AB395" s="598">
        <v>1500</v>
      </c>
      <c r="AC395" s="600"/>
      <c r="AD395" s="469"/>
      <c r="AE395" s="598">
        <v>544</v>
      </c>
      <c r="AF395" s="599"/>
      <c r="AG395" s="549"/>
      <c r="AH395" s="598"/>
      <c r="AI395" s="600"/>
      <c r="AJ395" s="469"/>
      <c r="AK395" s="598"/>
      <c r="AL395" s="599"/>
      <c r="AM395" s="549"/>
      <c r="AN395" s="598"/>
      <c r="AO395" s="470"/>
    </row>
    <row r="396" spans="1:41" x14ac:dyDescent="0.2">
      <c r="A396" s="466" t="s">
        <v>693</v>
      </c>
      <c r="B396" s="467" t="s">
        <v>694</v>
      </c>
      <c r="C396" s="468">
        <f t="shared" si="369"/>
        <v>0</v>
      </c>
      <c r="D396" s="469">
        <f t="shared" si="369"/>
        <v>0</v>
      </c>
      <c r="E396" s="470">
        <f t="shared" si="369"/>
        <v>0</v>
      </c>
      <c r="F396" s="469"/>
      <c r="G396" s="598"/>
      <c r="H396" s="599"/>
      <c r="I396" s="549"/>
      <c r="J396" s="598"/>
      <c r="K396" s="600"/>
      <c r="L396" s="469"/>
      <c r="M396" s="598"/>
      <c r="N396" s="599"/>
      <c r="O396" s="549"/>
      <c r="P396" s="598"/>
      <c r="Q396" s="600"/>
      <c r="R396" s="469"/>
      <c r="S396" s="598"/>
      <c r="T396" s="599"/>
      <c r="U396" s="549"/>
      <c r="V396" s="598"/>
      <c r="W396" s="600"/>
      <c r="X396" s="469"/>
      <c r="Y396" s="598"/>
      <c r="Z396" s="599"/>
      <c r="AA396" s="549"/>
      <c r="AB396" s="598"/>
      <c r="AC396" s="600"/>
      <c r="AD396" s="469"/>
      <c r="AE396" s="598"/>
      <c r="AF396" s="599"/>
      <c r="AG396" s="549"/>
      <c r="AH396" s="598"/>
      <c r="AI396" s="600"/>
      <c r="AJ396" s="469"/>
      <c r="AK396" s="598"/>
      <c r="AL396" s="599"/>
      <c r="AM396" s="549"/>
      <c r="AN396" s="598"/>
      <c r="AO396" s="470"/>
    </row>
    <row r="397" spans="1:41" x14ac:dyDescent="0.2">
      <c r="A397" s="553" t="s">
        <v>695</v>
      </c>
      <c r="B397" s="554" t="s">
        <v>696</v>
      </c>
      <c r="C397" s="468">
        <f t="shared" si="369"/>
        <v>0</v>
      </c>
      <c r="D397" s="469">
        <f t="shared" si="369"/>
        <v>0</v>
      </c>
      <c r="E397" s="470">
        <f t="shared" si="369"/>
        <v>0</v>
      </c>
      <c r="F397" s="640"/>
      <c r="G397" s="598"/>
      <c r="H397" s="599"/>
      <c r="I397" s="641"/>
      <c r="J397" s="598"/>
      <c r="K397" s="600"/>
      <c r="L397" s="640"/>
      <c r="M397" s="598"/>
      <c r="N397" s="599"/>
      <c r="O397" s="641"/>
      <c r="P397" s="598"/>
      <c r="Q397" s="600"/>
      <c r="R397" s="640"/>
      <c r="S397" s="598"/>
      <c r="T397" s="599"/>
      <c r="U397" s="641"/>
      <c r="V397" s="598"/>
      <c r="W397" s="600"/>
      <c r="X397" s="640"/>
      <c r="Y397" s="598"/>
      <c r="Z397" s="599"/>
      <c r="AA397" s="641"/>
      <c r="AB397" s="598"/>
      <c r="AC397" s="600"/>
      <c r="AD397" s="640"/>
      <c r="AE397" s="598"/>
      <c r="AF397" s="599"/>
      <c r="AG397" s="641"/>
      <c r="AH397" s="598"/>
      <c r="AI397" s="600"/>
      <c r="AJ397" s="640"/>
      <c r="AK397" s="598"/>
      <c r="AL397" s="599"/>
      <c r="AM397" s="641"/>
      <c r="AN397" s="598"/>
      <c r="AO397" s="470"/>
    </row>
    <row r="398" spans="1:41" x14ac:dyDescent="0.2">
      <c r="A398" s="471" t="s">
        <v>667</v>
      </c>
      <c r="B398" s="472" t="s">
        <v>697</v>
      </c>
      <c r="C398" s="473">
        <f t="shared" si="369"/>
        <v>0</v>
      </c>
      <c r="D398" s="474">
        <f t="shared" si="369"/>
        <v>5544</v>
      </c>
      <c r="E398" s="475">
        <f t="shared" si="369"/>
        <v>0</v>
      </c>
      <c r="F398" s="474">
        <f>SUM(F395:F397)</f>
        <v>0</v>
      </c>
      <c r="G398" s="603">
        <f t="shared" ref="G398:AO398" si="394">SUM(G395:G397)</f>
        <v>0</v>
      </c>
      <c r="H398" s="604">
        <f t="shared" si="394"/>
        <v>0</v>
      </c>
      <c r="I398" s="477">
        <f t="shared" si="394"/>
        <v>0</v>
      </c>
      <c r="J398" s="603">
        <f t="shared" si="394"/>
        <v>0</v>
      </c>
      <c r="K398" s="605">
        <f t="shared" si="394"/>
        <v>0</v>
      </c>
      <c r="L398" s="474">
        <f t="shared" si="394"/>
        <v>0</v>
      </c>
      <c r="M398" s="603">
        <f t="shared" si="394"/>
        <v>0</v>
      </c>
      <c r="N398" s="604">
        <f t="shared" si="394"/>
        <v>0</v>
      </c>
      <c r="O398" s="477">
        <f t="shared" si="394"/>
        <v>0</v>
      </c>
      <c r="P398" s="603">
        <f t="shared" si="394"/>
        <v>0</v>
      </c>
      <c r="Q398" s="605">
        <f t="shared" si="394"/>
        <v>0</v>
      </c>
      <c r="R398" s="474">
        <f t="shared" si="394"/>
        <v>0</v>
      </c>
      <c r="S398" s="603">
        <f t="shared" si="394"/>
        <v>0</v>
      </c>
      <c r="T398" s="604">
        <f t="shared" si="394"/>
        <v>0</v>
      </c>
      <c r="U398" s="477">
        <f t="shared" si="394"/>
        <v>0</v>
      </c>
      <c r="V398" s="603">
        <f t="shared" si="394"/>
        <v>0</v>
      </c>
      <c r="W398" s="605">
        <f t="shared" si="394"/>
        <v>0</v>
      </c>
      <c r="X398" s="474">
        <f t="shared" si="394"/>
        <v>0</v>
      </c>
      <c r="Y398" s="603">
        <f t="shared" si="394"/>
        <v>3500</v>
      </c>
      <c r="Z398" s="604">
        <f t="shared" si="394"/>
        <v>0</v>
      </c>
      <c r="AA398" s="477">
        <f t="shared" si="394"/>
        <v>0</v>
      </c>
      <c r="AB398" s="603">
        <f t="shared" si="394"/>
        <v>1500</v>
      </c>
      <c r="AC398" s="605">
        <f t="shared" si="394"/>
        <v>0</v>
      </c>
      <c r="AD398" s="474">
        <f t="shared" si="394"/>
        <v>0</v>
      </c>
      <c r="AE398" s="603">
        <f t="shared" si="394"/>
        <v>544</v>
      </c>
      <c r="AF398" s="604">
        <f t="shared" si="394"/>
        <v>0</v>
      </c>
      <c r="AG398" s="477">
        <f t="shared" si="394"/>
        <v>0</v>
      </c>
      <c r="AH398" s="603">
        <f t="shared" si="394"/>
        <v>0</v>
      </c>
      <c r="AI398" s="605">
        <f t="shared" si="394"/>
        <v>0</v>
      </c>
      <c r="AJ398" s="474">
        <f t="shared" si="394"/>
        <v>0</v>
      </c>
      <c r="AK398" s="603">
        <f t="shared" si="394"/>
        <v>0</v>
      </c>
      <c r="AL398" s="604">
        <f t="shared" si="394"/>
        <v>0</v>
      </c>
      <c r="AM398" s="477">
        <f t="shared" si="394"/>
        <v>0</v>
      </c>
      <c r="AN398" s="603">
        <f t="shared" si="394"/>
        <v>0</v>
      </c>
      <c r="AO398" s="475">
        <f t="shared" si="394"/>
        <v>0</v>
      </c>
    </row>
    <row r="399" spans="1:41" x14ac:dyDescent="0.2">
      <c r="A399" s="505" t="s">
        <v>698</v>
      </c>
      <c r="B399" s="506" t="s">
        <v>699</v>
      </c>
      <c r="C399" s="473">
        <f t="shared" si="369"/>
        <v>0</v>
      </c>
      <c r="D399" s="474">
        <f t="shared" si="369"/>
        <v>0</v>
      </c>
      <c r="E399" s="475">
        <f t="shared" si="369"/>
        <v>0</v>
      </c>
      <c r="F399" s="642"/>
      <c r="G399" s="603"/>
      <c r="H399" s="604"/>
      <c r="I399" s="643"/>
      <c r="J399" s="603"/>
      <c r="K399" s="605"/>
      <c r="L399" s="644"/>
      <c r="M399" s="603"/>
      <c r="N399" s="604"/>
      <c r="O399" s="643"/>
      <c r="P399" s="603"/>
      <c r="Q399" s="605"/>
      <c r="R399" s="644"/>
      <c r="S399" s="603"/>
      <c r="T399" s="604"/>
      <c r="U399" s="643"/>
      <c r="V399" s="603"/>
      <c r="W399" s="605"/>
      <c r="X399" s="644"/>
      <c r="Y399" s="603"/>
      <c r="Z399" s="604"/>
      <c r="AA399" s="643"/>
      <c r="AB399" s="603"/>
      <c r="AC399" s="605"/>
      <c r="AD399" s="644"/>
      <c r="AE399" s="603"/>
      <c r="AF399" s="604"/>
      <c r="AG399" s="643"/>
      <c r="AH399" s="603"/>
      <c r="AI399" s="605"/>
      <c r="AJ399" s="644"/>
      <c r="AK399" s="603"/>
      <c r="AL399" s="604"/>
      <c r="AM399" s="643"/>
      <c r="AN399" s="603"/>
      <c r="AO399" s="475"/>
    </row>
    <row r="400" spans="1:41" x14ac:dyDescent="0.2">
      <c r="A400" s="471" t="s">
        <v>700</v>
      </c>
      <c r="B400" s="472" t="s">
        <v>689</v>
      </c>
      <c r="C400" s="473">
        <f t="shared" si="369"/>
        <v>0</v>
      </c>
      <c r="D400" s="474">
        <f t="shared" si="369"/>
        <v>0</v>
      </c>
      <c r="E400" s="475">
        <f t="shared" si="369"/>
        <v>0</v>
      </c>
      <c r="F400" s="474"/>
      <c r="G400" s="603">
        <v>0</v>
      </c>
      <c r="H400" s="604">
        <v>0</v>
      </c>
      <c r="I400" s="477"/>
      <c r="J400" s="603">
        <v>0</v>
      </c>
      <c r="K400" s="605">
        <v>0</v>
      </c>
      <c r="L400" s="474"/>
      <c r="M400" s="603">
        <v>0</v>
      </c>
      <c r="N400" s="604">
        <v>0</v>
      </c>
      <c r="O400" s="477"/>
      <c r="P400" s="603">
        <v>0</v>
      </c>
      <c r="Q400" s="605">
        <v>0</v>
      </c>
      <c r="R400" s="474"/>
      <c r="S400" s="603">
        <v>0</v>
      </c>
      <c r="T400" s="604">
        <v>0</v>
      </c>
      <c r="U400" s="477"/>
      <c r="V400" s="603">
        <v>0</v>
      </c>
      <c r="W400" s="605">
        <v>0</v>
      </c>
      <c r="X400" s="474"/>
      <c r="Y400" s="603">
        <v>0</v>
      </c>
      <c r="Z400" s="604">
        <v>0</v>
      </c>
      <c r="AA400" s="477"/>
      <c r="AB400" s="603">
        <v>0</v>
      </c>
      <c r="AC400" s="605">
        <v>0</v>
      </c>
      <c r="AD400" s="474"/>
      <c r="AE400" s="603">
        <v>0</v>
      </c>
      <c r="AF400" s="604">
        <v>0</v>
      </c>
      <c r="AG400" s="477"/>
      <c r="AH400" s="603">
        <v>0</v>
      </c>
      <c r="AI400" s="605">
        <v>0</v>
      </c>
      <c r="AJ400" s="474"/>
      <c r="AK400" s="603">
        <v>0</v>
      </c>
      <c r="AL400" s="604">
        <v>0</v>
      </c>
      <c r="AM400" s="477"/>
      <c r="AN400" s="603">
        <v>0</v>
      </c>
      <c r="AO400" s="475">
        <v>0</v>
      </c>
    </row>
    <row r="401" spans="1:42" ht="15" thickBot="1" x14ac:dyDescent="0.25">
      <c r="A401" s="555" t="s">
        <v>672</v>
      </c>
      <c r="B401" s="556" t="s">
        <v>701</v>
      </c>
      <c r="C401" s="557">
        <f t="shared" si="369"/>
        <v>0</v>
      </c>
      <c r="D401" s="510">
        <f t="shared" si="369"/>
        <v>5544</v>
      </c>
      <c r="E401" s="558">
        <f t="shared" si="369"/>
        <v>0</v>
      </c>
      <c r="F401" s="510">
        <f>SUM(F398,F399,F400)</f>
        <v>0</v>
      </c>
      <c r="G401" s="610">
        <f t="shared" ref="G401:AO401" si="395">SUM(G398,G399,G400)</f>
        <v>0</v>
      </c>
      <c r="H401" s="611">
        <f t="shared" si="395"/>
        <v>0</v>
      </c>
      <c r="I401" s="512">
        <f t="shared" si="395"/>
        <v>0</v>
      </c>
      <c r="J401" s="610">
        <f t="shared" si="395"/>
        <v>0</v>
      </c>
      <c r="K401" s="612">
        <f t="shared" si="395"/>
        <v>0</v>
      </c>
      <c r="L401" s="510">
        <f t="shared" si="395"/>
        <v>0</v>
      </c>
      <c r="M401" s="610">
        <f t="shared" si="395"/>
        <v>0</v>
      </c>
      <c r="N401" s="611">
        <f t="shared" si="395"/>
        <v>0</v>
      </c>
      <c r="O401" s="512">
        <f t="shared" si="395"/>
        <v>0</v>
      </c>
      <c r="P401" s="610">
        <f t="shared" si="395"/>
        <v>0</v>
      </c>
      <c r="Q401" s="612">
        <f t="shared" si="395"/>
        <v>0</v>
      </c>
      <c r="R401" s="510">
        <f t="shared" si="395"/>
        <v>0</v>
      </c>
      <c r="S401" s="610">
        <f t="shared" si="395"/>
        <v>0</v>
      </c>
      <c r="T401" s="611">
        <f t="shared" si="395"/>
        <v>0</v>
      </c>
      <c r="U401" s="512">
        <f t="shared" si="395"/>
        <v>0</v>
      </c>
      <c r="V401" s="610">
        <f t="shared" si="395"/>
        <v>0</v>
      </c>
      <c r="W401" s="612">
        <f t="shared" si="395"/>
        <v>0</v>
      </c>
      <c r="X401" s="510">
        <f t="shared" si="395"/>
        <v>0</v>
      </c>
      <c r="Y401" s="610">
        <f t="shared" si="395"/>
        <v>3500</v>
      </c>
      <c r="Z401" s="611">
        <f t="shared" si="395"/>
        <v>0</v>
      </c>
      <c r="AA401" s="512">
        <f t="shared" si="395"/>
        <v>0</v>
      </c>
      <c r="AB401" s="610">
        <f t="shared" si="395"/>
        <v>1500</v>
      </c>
      <c r="AC401" s="612">
        <f t="shared" si="395"/>
        <v>0</v>
      </c>
      <c r="AD401" s="510">
        <f t="shared" si="395"/>
        <v>0</v>
      </c>
      <c r="AE401" s="610">
        <f t="shared" si="395"/>
        <v>544</v>
      </c>
      <c r="AF401" s="611">
        <f t="shared" si="395"/>
        <v>0</v>
      </c>
      <c r="AG401" s="512">
        <f t="shared" si="395"/>
        <v>0</v>
      </c>
      <c r="AH401" s="610">
        <f t="shared" si="395"/>
        <v>0</v>
      </c>
      <c r="AI401" s="612">
        <f t="shared" si="395"/>
        <v>0</v>
      </c>
      <c r="AJ401" s="510">
        <f t="shared" si="395"/>
        <v>0</v>
      </c>
      <c r="AK401" s="610">
        <f t="shared" si="395"/>
        <v>0</v>
      </c>
      <c r="AL401" s="611">
        <f t="shared" si="395"/>
        <v>0</v>
      </c>
      <c r="AM401" s="512">
        <f t="shared" si="395"/>
        <v>0</v>
      </c>
      <c r="AN401" s="610">
        <f t="shared" si="395"/>
        <v>0</v>
      </c>
      <c r="AO401" s="509">
        <f t="shared" si="395"/>
        <v>0</v>
      </c>
    </row>
    <row r="402" spans="1:42" ht="15" thickBot="1" x14ac:dyDescent="0.25">
      <c r="A402" s="560" t="s">
        <v>702</v>
      </c>
      <c r="B402" s="561" t="s">
        <v>703</v>
      </c>
      <c r="C402" s="645">
        <f>SUM(F402,I402,L402,O402,R402,U402,X402,AA402,AD402,AG402,AJ402,AM402)</f>
        <v>0</v>
      </c>
      <c r="D402" s="646">
        <f t="shared" ref="D402:E405" si="396">SUM(G402,J402,M402,P402,S402,V402,Y402,AB402,AE402,AH402,AK402,AN402)</f>
        <v>72800</v>
      </c>
      <c r="E402" s="574">
        <f t="shared" si="396"/>
        <v>1528</v>
      </c>
      <c r="F402" s="564">
        <f>SUM(F394,F401)</f>
        <v>0</v>
      </c>
      <c r="G402" s="564">
        <f t="shared" ref="G402:AO402" si="397">SUM(G394,G401)</f>
        <v>0</v>
      </c>
      <c r="H402" s="565">
        <f t="shared" si="397"/>
        <v>0</v>
      </c>
      <c r="I402" s="566">
        <f t="shared" si="397"/>
        <v>0</v>
      </c>
      <c r="J402" s="564">
        <f t="shared" si="397"/>
        <v>0</v>
      </c>
      <c r="K402" s="567">
        <f t="shared" si="397"/>
        <v>0</v>
      </c>
      <c r="L402" s="564">
        <f t="shared" si="397"/>
        <v>0</v>
      </c>
      <c r="M402" s="564">
        <f t="shared" si="397"/>
        <v>0</v>
      </c>
      <c r="N402" s="565">
        <f t="shared" si="397"/>
        <v>0</v>
      </c>
      <c r="O402" s="566">
        <f t="shared" si="397"/>
        <v>0</v>
      </c>
      <c r="P402" s="564">
        <f t="shared" si="397"/>
        <v>0</v>
      </c>
      <c r="Q402" s="567">
        <f t="shared" si="397"/>
        <v>0</v>
      </c>
      <c r="R402" s="564">
        <f t="shared" si="397"/>
        <v>0</v>
      </c>
      <c r="S402" s="564">
        <f t="shared" si="397"/>
        <v>0</v>
      </c>
      <c r="T402" s="565">
        <f t="shared" si="397"/>
        <v>0</v>
      </c>
      <c r="U402" s="566">
        <f t="shared" si="397"/>
        <v>0</v>
      </c>
      <c r="V402" s="564">
        <f t="shared" si="397"/>
        <v>1528</v>
      </c>
      <c r="W402" s="567">
        <f t="shared" si="397"/>
        <v>1528</v>
      </c>
      <c r="X402" s="564">
        <f t="shared" si="397"/>
        <v>0</v>
      </c>
      <c r="Y402" s="564">
        <f t="shared" si="397"/>
        <v>9417</v>
      </c>
      <c r="Z402" s="565">
        <f t="shared" si="397"/>
        <v>0</v>
      </c>
      <c r="AA402" s="566">
        <f t="shared" si="397"/>
        <v>0</v>
      </c>
      <c r="AB402" s="564">
        <f t="shared" si="397"/>
        <v>8253</v>
      </c>
      <c r="AC402" s="567">
        <f t="shared" si="397"/>
        <v>0</v>
      </c>
      <c r="AD402" s="564">
        <f t="shared" si="397"/>
        <v>0</v>
      </c>
      <c r="AE402" s="564">
        <f t="shared" si="397"/>
        <v>14065</v>
      </c>
      <c r="AF402" s="565">
        <f t="shared" si="397"/>
        <v>0</v>
      </c>
      <c r="AG402" s="566">
        <f t="shared" si="397"/>
        <v>0</v>
      </c>
      <c r="AH402" s="564">
        <f t="shared" si="397"/>
        <v>13521</v>
      </c>
      <c r="AI402" s="567">
        <f t="shared" si="397"/>
        <v>0</v>
      </c>
      <c r="AJ402" s="564">
        <f t="shared" si="397"/>
        <v>0</v>
      </c>
      <c r="AK402" s="564">
        <f t="shared" si="397"/>
        <v>13021</v>
      </c>
      <c r="AL402" s="565">
        <f t="shared" si="397"/>
        <v>0</v>
      </c>
      <c r="AM402" s="566">
        <f t="shared" si="397"/>
        <v>0</v>
      </c>
      <c r="AN402" s="647">
        <f t="shared" si="397"/>
        <v>12995</v>
      </c>
      <c r="AO402" s="590">
        <f t="shared" si="397"/>
        <v>0</v>
      </c>
    </row>
    <row r="403" spans="1:42" ht="15" thickBot="1" x14ac:dyDescent="0.25">
      <c r="A403" s="569"/>
      <c r="B403" s="570" t="s">
        <v>1334</v>
      </c>
      <c r="C403" s="571"/>
      <c r="D403" s="572"/>
      <c r="E403" s="573">
        <f t="shared" si="396"/>
        <v>817</v>
      </c>
      <c r="F403" s="571"/>
      <c r="G403" s="572"/>
      <c r="H403" s="627"/>
      <c r="I403" s="531"/>
      <c r="J403" s="572"/>
      <c r="K403" s="628"/>
      <c r="L403" s="530"/>
      <c r="M403" s="572"/>
      <c r="N403" s="627"/>
      <c r="O403" s="531"/>
      <c r="P403" s="572"/>
      <c r="Q403" s="628"/>
      <c r="R403" s="530"/>
      <c r="S403" s="572"/>
      <c r="T403" s="627"/>
      <c r="U403" s="531"/>
      <c r="V403" s="572"/>
      <c r="W403" s="628">
        <v>817</v>
      </c>
      <c r="X403" s="530"/>
      <c r="Y403" s="572"/>
      <c r="Z403" s="627"/>
      <c r="AA403" s="531"/>
      <c r="AB403" s="572"/>
      <c r="AC403" s="628"/>
      <c r="AD403" s="530"/>
      <c r="AE403" s="572"/>
      <c r="AF403" s="627"/>
      <c r="AG403" s="531"/>
      <c r="AH403" s="572"/>
      <c r="AI403" s="628"/>
      <c r="AJ403" s="530"/>
      <c r="AK403" s="572"/>
      <c r="AL403" s="627"/>
      <c r="AM403" s="531"/>
      <c r="AN403" s="572"/>
      <c r="AO403" s="573"/>
    </row>
    <row r="404" spans="1:42" ht="15" thickBot="1" x14ac:dyDescent="0.25">
      <c r="A404" s="575"/>
      <c r="B404" s="576" t="s">
        <v>1335</v>
      </c>
      <c r="C404" s="528"/>
      <c r="D404" s="577"/>
      <c r="E404" s="563">
        <f t="shared" si="396"/>
        <v>2345</v>
      </c>
      <c r="F404" s="528"/>
      <c r="G404" s="577"/>
      <c r="H404" s="578">
        <f>SUM(H402:H403)</f>
        <v>0</v>
      </c>
      <c r="I404" s="579"/>
      <c r="J404" s="577"/>
      <c r="K404" s="580">
        <f>SUM(K402:K403)</f>
        <v>0</v>
      </c>
      <c r="L404" s="529"/>
      <c r="M404" s="577"/>
      <c r="N404" s="578">
        <f>SUM(N402:N403)</f>
        <v>0</v>
      </c>
      <c r="O404" s="579"/>
      <c r="P404" s="577"/>
      <c r="Q404" s="580">
        <f>SUM(Q402:Q403)</f>
        <v>0</v>
      </c>
      <c r="R404" s="529"/>
      <c r="S404" s="577"/>
      <c r="T404" s="578">
        <f>SUM(T402:T403)</f>
        <v>0</v>
      </c>
      <c r="U404" s="579"/>
      <c r="V404" s="577"/>
      <c r="W404" s="580">
        <f>SUM(W402:W403)</f>
        <v>2345</v>
      </c>
      <c r="X404" s="529"/>
      <c r="Y404" s="577"/>
      <c r="Z404" s="578">
        <f>SUM(Z402:Z403)</f>
        <v>0</v>
      </c>
      <c r="AA404" s="579"/>
      <c r="AB404" s="577"/>
      <c r="AC404" s="580">
        <f>SUM(AC402:AC403)</f>
        <v>0</v>
      </c>
      <c r="AD404" s="529"/>
      <c r="AE404" s="577"/>
      <c r="AF404" s="578">
        <f>SUM(AF402:AF403)</f>
        <v>0</v>
      </c>
      <c r="AG404" s="579"/>
      <c r="AH404" s="577"/>
      <c r="AI404" s="580">
        <f>SUM(AI402:AI403)</f>
        <v>0</v>
      </c>
      <c r="AJ404" s="529"/>
      <c r="AK404" s="577"/>
      <c r="AL404" s="578">
        <f>SUM(AL402:AL403)</f>
        <v>0</v>
      </c>
      <c r="AM404" s="579"/>
      <c r="AN404" s="577"/>
      <c r="AO404" s="563">
        <f>SUM(AO402:AO403)</f>
        <v>0</v>
      </c>
    </row>
    <row r="405" spans="1:42" s="525" customFormat="1" ht="15" customHeight="1" thickBot="1" x14ac:dyDescent="0.25">
      <c r="A405" s="581"/>
      <c r="B405" s="582" t="s">
        <v>1336</v>
      </c>
      <c r="C405" s="583"/>
      <c r="D405" s="584"/>
      <c r="E405" s="563">
        <f t="shared" si="396"/>
        <v>0</v>
      </c>
      <c r="F405" s="583"/>
      <c r="G405" s="584"/>
      <c r="H405" s="585">
        <f>SUM(H383-H404)</f>
        <v>0</v>
      </c>
      <c r="I405" s="586"/>
      <c r="J405" s="584"/>
      <c r="K405" s="587">
        <f>SUM(K383-K404)</f>
        <v>0</v>
      </c>
      <c r="L405" s="588"/>
      <c r="M405" s="584"/>
      <c r="N405" s="585">
        <f>SUM(N383-N404)</f>
        <v>0</v>
      </c>
      <c r="O405" s="586"/>
      <c r="P405" s="584"/>
      <c r="Q405" s="587">
        <f>SUM(Q383-Q404)</f>
        <v>0</v>
      </c>
      <c r="R405" s="588"/>
      <c r="S405" s="584"/>
      <c r="T405" s="585">
        <f>SUM(T383-T404)</f>
        <v>0</v>
      </c>
      <c r="U405" s="586"/>
      <c r="V405" s="584"/>
      <c r="W405" s="587">
        <f>SUM(W383-W404)</f>
        <v>0</v>
      </c>
      <c r="X405" s="588"/>
      <c r="Y405" s="584"/>
      <c r="Z405" s="585">
        <f>SUM(Z383-Z404)</f>
        <v>0</v>
      </c>
      <c r="AA405" s="586"/>
      <c r="AB405" s="584"/>
      <c r="AC405" s="587">
        <f>SUM(AC383-AC404)</f>
        <v>0</v>
      </c>
      <c r="AD405" s="588"/>
      <c r="AE405" s="584"/>
      <c r="AF405" s="585">
        <f>SUM(AF383-AF404)</f>
        <v>0</v>
      </c>
      <c r="AG405" s="586"/>
      <c r="AH405" s="584"/>
      <c r="AI405" s="587">
        <f>SUM(AI383-AI404)</f>
        <v>0</v>
      </c>
      <c r="AJ405" s="588"/>
      <c r="AK405" s="584"/>
      <c r="AL405" s="585">
        <f>SUM(AL383-AL404)</f>
        <v>0</v>
      </c>
      <c r="AM405" s="586"/>
      <c r="AN405" s="589"/>
      <c r="AO405" s="590">
        <f>SUM(AO383-AO404)</f>
        <v>0</v>
      </c>
      <c r="AP405" s="479"/>
    </row>
    <row r="406" spans="1:42" ht="10.5" customHeight="1" x14ac:dyDescent="0.2"/>
    <row r="407" spans="1:42" x14ac:dyDescent="0.2">
      <c r="A407" s="1057" t="s">
        <v>715</v>
      </c>
      <c r="B407" s="1057"/>
      <c r="C407" s="1057"/>
      <c r="D407" s="1057"/>
      <c r="E407" s="1057"/>
      <c r="F407" s="1057"/>
      <c r="G407" s="1057"/>
      <c r="H407" s="1057"/>
      <c r="I407" s="1057"/>
      <c r="J407" s="1058" t="s">
        <v>630</v>
      </c>
      <c r="K407" s="1058"/>
      <c r="L407" s="1058"/>
      <c r="M407" s="1058"/>
      <c r="N407" s="1058"/>
      <c r="O407" s="1058"/>
      <c r="P407" s="1058"/>
      <c r="Q407" s="1058"/>
      <c r="R407" s="1058"/>
      <c r="S407" s="1058"/>
      <c r="T407" s="1058"/>
      <c r="U407" s="1058"/>
      <c r="V407" s="1058"/>
      <c r="W407" s="1058"/>
      <c r="X407" s="1058"/>
      <c r="Y407" s="1058"/>
      <c r="Z407" s="1058"/>
      <c r="AA407" s="1058"/>
      <c r="AB407" s="1058"/>
      <c r="AC407" s="1058"/>
      <c r="AD407" s="441"/>
      <c r="AE407" s="441"/>
      <c r="AF407" s="441"/>
      <c r="AG407" s="441"/>
      <c r="AH407" s="441"/>
      <c r="AI407" s="441"/>
      <c r="AJ407" s="441"/>
      <c r="AK407" s="441"/>
      <c r="AL407" s="441"/>
      <c r="AM407" s="441"/>
      <c r="AO407" s="443" t="s">
        <v>1337</v>
      </c>
    </row>
    <row r="408" spans="1:42" ht="10.5" customHeight="1" thickBot="1" x14ac:dyDescent="0.25">
      <c r="A408" s="445"/>
      <c r="B408" s="445"/>
      <c r="C408" s="445"/>
      <c r="D408" s="445"/>
      <c r="E408" s="445"/>
      <c r="F408" s="445"/>
      <c r="G408" s="445"/>
      <c r="H408" s="445"/>
      <c r="I408" s="445"/>
      <c r="J408" s="445"/>
      <c r="K408" s="445"/>
      <c r="L408" s="445"/>
      <c r="M408" s="445"/>
      <c r="N408" s="445"/>
      <c r="O408" s="445"/>
      <c r="P408" s="445"/>
      <c r="Q408" s="445"/>
      <c r="R408" s="445"/>
      <c r="S408" s="445"/>
      <c r="T408" s="445"/>
      <c r="U408" s="445"/>
      <c r="V408" s="445"/>
      <c r="W408" s="445"/>
      <c r="X408" s="445"/>
      <c r="Y408" s="445"/>
      <c r="Z408" s="445"/>
      <c r="AA408" s="445"/>
      <c r="AB408" s="445"/>
      <c r="AC408" s="445"/>
      <c r="AD408" s="445"/>
      <c r="AE408" s="445"/>
      <c r="AF408" s="445"/>
      <c r="AG408" s="445"/>
      <c r="AH408" s="445"/>
      <c r="AI408" s="445"/>
      <c r="AJ408" s="445"/>
      <c r="AK408" s="445"/>
      <c r="AL408" s="445"/>
      <c r="AM408" s="445"/>
      <c r="AO408" s="447" t="s">
        <v>1338</v>
      </c>
    </row>
    <row r="409" spans="1:42" x14ac:dyDescent="0.2">
      <c r="A409" s="1046"/>
      <c r="B409" s="1048" t="s">
        <v>632</v>
      </c>
      <c r="C409" s="1050" t="s">
        <v>633</v>
      </c>
      <c r="D409" s="1052" t="s">
        <v>1326</v>
      </c>
      <c r="E409" s="1054" t="s">
        <v>1327</v>
      </c>
      <c r="F409" s="1044" t="s">
        <v>634</v>
      </c>
      <c r="G409" s="1044"/>
      <c r="H409" s="1044"/>
      <c r="I409" s="1043" t="s">
        <v>635</v>
      </c>
      <c r="J409" s="1044"/>
      <c r="K409" s="1045"/>
      <c r="L409" s="1044" t="s">
        <v>636</v>
      </c>
      <c r="M409" s="1044"/>
      <c r="N409" s="1044"/>
      <c r="O409" s="1043" t="s">
        <v>637</v>
      </c>
      <c r="P409" s="1044"/>
      <c r="Q409" s="1045"/>
      <c r="R409" s="1044" t="s">
        <v>638</v>
      </c>
      <c r="S409" s="1044"/>
      <c r="T409" s="1044"/>
      <c r="U409" s="1043" t="s">
        <v>639</v>
      </c>
      <c r="V409" s="1044"/>
      <c r="W409" s="1045"/>
      <c r="X409" s="1044" t="s">
        <v>640</v>
      </c>
      <c r="Y409" s="1044"/>
      <c r="Z409" s="1044"/>
      <c r="AA409" s="1043" t="s">
        <v>641</v>
      </c>
      <c r="AB409" s="1044"/>
      <c r="AC409" s="1045"/>
      <c r="AD409" s="1044" t="s">
        <v>642</v>
      </c>
      <c r="AE409" s="1044"/>
      <c r="AF409" s="1044"/>
      <c r="AG409" s="1043" t="s">
        <v>643</v>
      </c>
      <c r="AH409" s="1044"/>
      <c r="AI409" s="1045"/>
      <c r="AJ409" s="1044" t="s">
        <v>644</v>
      </c>
      <c r="AK409" s="1044"/>
      <c r="AL409" s="1044"/>
      <c r="AM409" s="1043" t="s">
        <v>645</v>
      </c>
      <c r="AN409" s="1044"/>
      <c r="AO409" s="1056"/>
    </row>
    <row r="410" spans="1:42" x14ac:dyDescent="0.2">
      <c r="A410" s="1047"/>
      <c r="B410" s="1049"/>
      <c r="C410" s="1051"/>
      <c r="D410" s="1053"/>
      <c r="E410" s="1055"/>
      <c r="F410" s="450" t="s">
        <v>1328</v>
      </c>
      <c r="G410" s="451" t="s">
        <v>1329</v>
      </c>
      <c r="H410" s="452" t="s">
        <v>1330</v>
      </c>
      <c r="I410" s="453" t="s">
        <v>1328</v>
      </c>
      <c r="J410" s="451" t="s">
        <v>1329</v>
      </c>
      <c r="K410" s="454" t="s">
        <v>1330</v>
      </c>
      <c r="L410" s="455" t="s">
        <v>1328</v>
      </c>
      <c r="M410" s="451" t="s">
        <v>1329</v>
      </c>
      <c r="N410" s="452" t="s">
        <v>1330</v>
      </c>
      <c r="O410" s="453" t="s">
        <v>1328</v>
      </c>
      <c r="P410" s="451" t="s">
        <v>1329</v>
      </c>
      <c r="Q410" s="454" t="s">
        <v>1330</v>
      </c>
      <c r="R410" s="455" t="s">
        <v>1328</v>
      </c>
      <c r="S410" s="451" t="s">
        <v>1329</v>
      </c>
      <c r="T410" s="452" t="s">
        <v>1330</v>
      </c>
      <c r="U410" s="453" t="s">
        <v>1328</v>
      </c>
      <c r="V410" s="451" t="s">
        <v>1329</v>
      </c>
      <c r="W410" s="454" t="s">
        <v>1330</v>
      </c>
      <c r="X410" s="455" t="s">
        <v>1328</v>
      </c>
      <c r="Y410" s="451" t="s">
        <v>1329</v>
      </c>
      <c r="Z410" s="452" t="s">
        <v>1330</v>
      </c>
      <c r="AA410" s="453" t="s">
        <v>1328</v>
      </c>
      <c r="AB410" s="451" t="s">
        <v>1329</v>
      </c>
      <c r="AC410" s="454" t="s">
        <v>1330</v>
      </c>
      <c r="AD410" s="455" t="s">
        <v>1328</v>
      </c>
      <c r="AE410" s="451" t="s">
        <v>1329</v>
      </c>
      <c r="AF410" s="452" t="s">
        <v>1330</v>
      </c>
      <c r="AG410" s="453" t="s">
        <v>1328</v>
      </c>
      <c r="AH410" s="451" t="s">
        <v>1329</v>
      </c>
      <c r="AI410" s="454" t="s">
        <v>1330</v>
      </c>
      <c r="AJ410" s="455" t="s">
        <v>1328</v>
      </c>
      <c r="AK410" s="451" t="s">
        <v>1329</v>
      </c>
      <c r="AL410" s="452" t="s">
        <v>1330</v>
      </c>
      <c r="AM410" s="453" t="s">
        <v>1328</v>
      </c>
      <c r="AN410" s="451" t="s">
        <v>1329</v>
      </c>
      <c r="AO410" s="456" t="s">
        <v>1330</v>
      </c>
    </row>
    <row r="411" spans="1:42" x14ac:dyDescent="0.2">
      <c r="A411" s="466" t="s">
        <v>646</v>
      </c>
      <c r="B411" s="467" t="s">
        <v>647</v>
      </c>
      <c r="C411" s="591">
        <f>SUM(F411,I411,L411,O411,R411,U411,X411,AA411,AD411,AG411,AJ411,AM411)</f>
        <v>0</v>
      </c>
      <c r="D411" s="543">
        <f t="shared" ref="D411:E426" si="398">SUM(G411,J411,M411,P411,S411,V411,Y411,AB411,AE411,AH411,AK411,AN411)</f>
        <v>1237</v>
      </c>
      <c r="E411" s="465">
        <f t="shared" si="398"/>
        <v>455</v>
      </c>
      <c r="F411" s="469"/>
      <c r="G411" s="592"/>
      <c r="H411" s="593"/>
      <c r="I411" s="549"/>
      <c r="J411" s="592"/>
      <c r="K411" s="595"/>
      <c r="L411" s="469"/>
      <c r="M411" s="592"/>
      <c r="N411" s="593"/>
      <c r="O411" s="549"/>
      <c r="P411" s="592">
        <v>291</v>
      </c>
      <c r="Q411" s="595">
        <v>291</v>
      </c>
      <c r="R411" s="469"/>
      <c r="S411" s="592">
        <v>164</v>
      </c>
      <c r="T411" s="593">
        <v>164</v>
      </c>
      <c r="U411" s="549"/>
      <c r="V411" s="592">
        <v>112</v>
      </c>
      <c r="W411" s="595"/>
      <c r="X411" s="469"/>
      <c r="Y411" s="592">
        <v>112</v>
      </c>
      <c r="Z411" s="593"/>
      <c r="AA411" s="549"/>
      <c r="AB411" s="592">
        <v>112</v>
      </c>
      <c r="AC411" s="595"/>
      <c r="AD411" s="469"/>
      <c r="AE411" s="592">
        <v>111</v>
      </c>
      <c r="AF411" s="593"/>
      <c r="AG411" s="549"/>
      <c r="AH411" s="592">
        <v>112</v>
      </c>
      <c r="AI411" s="595"/>
      <c r="AJ411" s="469"/>
      <c r="AK411" s="592">
        <v>111</v>
      </c>
      <c r="AL411" s="593"/>
      <c r="AM411" s="549"/>
      <c r="AN411" s="592">
        <v>112</v>
      </c>
      <c r="AO411" s="465"/>
    </row>
    <row r="412" spans="1:42" x14ac:dyDescent="0.2">
      <c r="A412" s="466" t="s">
        <v>650</v>
      </c>
      <c r="B412" s="467" t="s">
        <v>649</v>
      </c>
      <c r="C412" s="468">
        <f t="shared" ref="C412:C416" si="399">SUM(F412,I412,L412,O412,R412,U412,X412,AA412,AD412,AG412,AJ412,AM412)</f>
        <v>0</v>
      </c>
      <c r="D412" s="469">
        <f t="shared" si="398"/>
        <v>0</v>
      </c>
      <c r="E412" s="470">
        <f t="shared" si="398"/>
        <v>0</v>
      </c>
      <c r="F412" s="469"/>
      <c r="G412" s="598"/>
      <c r="H412" s="599"/>
      <c r="I412" s="549"/>
      <c r="J412" s="598"/>
      <c r="K412" s="600"/>
      <c r="L412" s="469"/>
      <c r="M412" s="598"/>
      <c r="N412" s="599"/>
      <c r="O412" s="549"/>
      <c r="P412" s="598"/>
      <c r="Q412" s="600"/>
      <c r="R412" s="469"/>
      <c r="S412" s="598"/>
      <c r="T412" s="599"/>
      <c r="U412" s="549"/>
      <c r="V412" s="598"/>
      <c r="W412" s="600"/>
      <c r="X412" s="469"/>
      <c r="Y412" s="598"/>
      <c r="Z412" s="599"/>
      <c r="AA412" s="549"/>
      <c r="AB412" s="598"/>
      <c r="AC412" s="600"/>
      <c r="AD412" s="469"/>
      <c r="AE412" s="598"/>
      <c r="AF412" s="599"/>
      <c r="AG412" s="549"/>
      <c r="AH412" s="598"/>
      <c r="AI412" s="600"/>
      <c r="AJ412" s="469"/>
      <c r="AK412" s="598"/>
      <c r="AL412" s="599"/>
      <c r="AM412" s="549"/>
      <c r="AN412" s="598"/>
      <c r="AO412" s="470"/>
    </row>
    <row r="413" spans="1:42" x14ac:dyDescent="0.2">
      <c r="A413" s="466" t="s">
        <v>652</v>
      </c>
      <c r="B413" s="467" t="s">
        <v>651</v>
      </c>
      <c r="C413" s="468">
        <f t="shared" si="399"/>
        <v>113971</v>
      </c>
      <c r="D413" s="469">
        <f t="shared" si="398"/>
        <v>112734</v>
      </c>
      <c r="E413" s="470">
        <f t="shared" si="398"/>
        <v>52372</v>
      </c>
      <c r="F413" s="469">
        <v>9497</v>
      </c>
      <c r="G413" s="598">
        <v>9236</v>
      </c>
      <c r="H413" s="599">
        <v>7887</v>
      </c>
      <c r="I413" s="549">
        <v>9498</v>
      </c>
      <c r="J413" s="598">
        <v>7108</v>
      </c>
      <c r="K413" s="600">
        <v>7843</v>
      </c>
      <c r="L413" s="469">
        <v>9497</v>
      </c>
      <c r="M413" s="598">
        <v>7144</v>
      </c>
      <c r="N413" s="599">
        <v>8815</v>
      </c>
      <c r="O413" s="549">
        <v>9498</v>
      </c>
      <c r="P413" s="598">
        <v>3233</v>
      </c>
      <c r="Q413" s="600">
        <v>10718</v>
      </c>
      <c r="R413" s="469">
        <v>9497</v>
      </c>
      <c r="S413" s="598">
        <v>11443</v>
      </c>
      <c r="T413" s="599">
        <v>7715</v>
      </c>
      <c r="U413" s="549">
        <v>9498</v>
      </c>
      <c r="V413" s="598">
        <v>3948</v>
      </c>
      <c r="W413" s="600">
        <v>9394</v>
      </c>
      <c r="X413" s="469">
        <v>9498</v>
      </c>
      <c r="Y413" s="598">
        <v>11391</v>
      </c>
      <c r="Z413" s="599"/>
      <c r="AA413" s="549">
        <v>9498</v>
      </c>
      <c r="AB413" s="598">
        <v>11846</v>
      </c>
      <c r="AC413" s="600"/>
      <c r="AD413" s="469">
        <v>9497</v>
      </c>
      <c r="AE413" s="598">
        <v>11847</v>
      </c>
      <c r="AF413" s="599"/>
      <c r="AG413" s="549">
        <v>9498</v>
      </c>
      <c r="AH413" s="598">
        <v>11845</v>
      </c>
      <c r="AI413" s="600"/>
      <c r="AJ413" s="469">
        <v>9497</v>
      </c>
      <c r="AK413" s="598">
        <v>11846</v>
      </c>
      <c r="AL413" s="599"/>
      <c r="AM413" s="549">
        <v>9498</v>
      </c>
      <c r="AN413" s="598">
        <v>11847</v>
      </c>
      <c r="AO413" s="470"/>
    </row>
    <row r="414" spans="1:42" x14ac:dyDescent="0.2">
      <c r="A414" s="466" t="s">
        <v>1331</v>
      </c>
      <c r="B414" s="467" t="s">
        <v>653</v>
      </c>
      <c r="C414" s="468">
        <f t="shared" si="399"/>
        <v>0</v>
      </c>
      <c r="D414" s="469">
        <f t="shared" si="398"/>
        <v>0</v>
      </c>
      <c r="E414" s="470">
        <f t="shared" si="398"/>
        <v>0</v>
      </c>
      <c r="F414" s="469"/>
      <c r="G414" s="598"/>
      <c r="H414" s="599"/>
      <c r="I414" s="549"/>
      <c r="J414" s="598"/>
      <c r="K414" s="600"/>
      <c r="L414" s="469"/>
      <c r="M414" s="598"/>
      <c r="N414" s="599"/>
      <c r="O414" s="549"/>
      <c r="P414" s="598"/>
      <c r="Q414" s="600"/>
      <c r="R414" s="469"/>
      <c r="S414" s="598"/>
      <c r="T414" s="599"/>
      <c r="U414" s="549"/>
      <c r="V414" s="598"/>
      <c r="W414" s="600"/>
      <c r="X414" s="469"/>
      <c r="Y414" s="598"/>
      <c r="Z414" s="599"/>
      <c r="AA414" s="549"/>
      <c r="AB414" s="598"/>
      <c r="AC414" s="600"/>
      <c r="AD414" s="469"/>
      <c r="AE414" s="598"/>
      <c r="AF414" s="599"/>
      <c r="AG414" s="549"/>
      <c r="AH414" s="598"/>
      <c r="AI414" s="600"/>
      <c r="AJ414" s="469"/>
      <c r="AK414" s="598"/>
      <c r="AL414" s="599"/>
      <c r="AM414" s="549"/>
      <c r="AN414" s="598"/>
      <c r="AO414" s="470"/>
    </row>
    <row r="415" spans="1:42" x14ac:dyDescent="0.2">
      <c r="A415" s="471" t="s">
        <v>654</v>
      </c>
      <c r="B415" s="472" t="s">
        <v>655</v>
      </c>
      <c r="C415" s="473">
        <f t="shared" si="399"/>
        <v>113971</v>
      </c>
      <c r="D415" s="474">
        <f t="shared" si="398"/>
        <v>113971</v>
      </c>
      <c r="E415" s="475">
        <f t="shared" si="398"/>
        <v>52827</v>
      </c>
      <c r="F415" s="474">
        <f>SUM(F411:F414)</f>
        <v>9497</v>
      </c>
      <c r="G415" s="603">
        <f t="shared" ref="G415:AO415" si="400">SUM(G411:G414)</f>
        <v>9236</v>
      </c>
      <c r="H415" s="604">
        <f t="shared" si="400"/>
        <v>7887</v>
      </c>
      <c r="I415" s="477">
        <f t="shared" si="400"/>
        <v>9498</v>
      </c>
      <c r="J415" s="603">
        <f t="shared" si="400"/>
        <v>7108</v>
      </c>
      <c r="K415" s="605">
        <f t="shared" si="400"/>
        <v>7843</v>
      </c>
      <c r="L415" s="474">
        <f t="shared" si="400"/>
        <v>9497</v>
      </c>
      <c r="M415" s="603">
        <f t="shared" si="400"/>
        <v>7144</v>
      </c>
      <c r="N415" s="604">
        <f t="shared" si="400"/>
        <v>8815</v>
      </c>
      <c r="O415" s="477">
        <f t="shared" si="400"/>
        <v>9498</v>
      </c>
      <c r="P415" s="603">
        <f t="shared" si="400"/>
        <v>3524</v>
      </c>
      <c r="Q415" s="605">
        <f t="shared" si="400"/>
        <v>11009</v>
      </c>
      <c r="R415" s="474">
        <f t="shared" si="400"/>
        <v>9497</v>
      </c>
      <c r="S415" s="603">
        <f t="shared" si="400"/>
        <v>11607</v>
      </c>
      <c r="T415" s="604">
        <f t="shared" si="400"/>
        <v>7879</v>
      </c>
      <c r="U415" s="477">
        <f t="shared" si="400"/>
        <v>9498</v>
      </c>
      <c r="V415" s="603">
        <f t="shared" si="400"/>
        <v>4060</v>
      </c>
      <c r="W415" s="605">
        <f t="shared" si="400"/>
        <v>9394</v>
      </c>
      <c r="X415" s="474">
        <f t="shared" si="400"/>
        <v>9498</v>
      </c>
      <c r="Y415" s="603">
        <f t="shared" si="400"/>
        <v>11503</v>
      </c>
      <c r="Z415" s="604">
        <f t="shared" si="400"/>
        <v>0</v>
      </c>
      <c r="AA415" s="477">
        <f t="shared" si="400"/>
        <v>9498</v>
      </c>
      <c r="AB415" s="603">
        <f t="shared" si="400"/>
        <v>11958</v>
      </c>
      <c r="AC415" s="605">
        <f t="shared" si="400"/>
        <v>0</v>
      </c>
      <c r="AD415" s="474">
        <f t="shared" si="400"/>
        <v>9497</v>
      </c>
      <c r="AE415" s="603">
        <f t="shared" si="400"/>
        <v>11958</v>
      </c>
      <c r="AF415" s="604">
        <f t="shared" si="400"/>
        <v>0</v>
      </c>
      <c r="AG415" s="477">
        <f t="shared" si="400"/>
        <v>9498</v>
      </c>
      <c r="AH415" s="603">
        <f t="shared" si="400"/>
        <v>11957</v>
      </c>
      <c r="AI415" s="605">
        <f t="shared" si="400"/>
        <v>0</v>
      </c>
      <c r="AJ415" s="474">
        <f t="shared" si="400"/>
        <v>9497</v>
      </c>
      <c r="AK415" s="603">
        <f t="shared" si="400"/>
        <v>11957</v>
      </c>
      <c r="AL415" s="604">
        <f t="shared" si="400"/>
        <v>0</v>
      </c>
      <c r="AM415" s="477">
        <f t="shared" si="400"/>
        <v>9498</v>
      </c>
      <c r="AN415" s="603">
        <f t="shared" si="400"/>
        <v>11959</v>
      </c>
      <c r="AO415" s="475">
        <f t="shared" si="400"/>
        <v>0</v>
      </c>
    </row>
    <row r="416" spans="1:42" x14ac:dyDescent="0.2">
      <c r="A416" s="471" t="s">
        <v>656</v>
      </c>
      <c r="B416" s="472" t="s">
        <v>657</v>
      </c>
      <c r="C416" s="473">
        <f t="shared" si="399"/>
        <v>78628</v>
      </c>
      <c r="D416" s="474">
        <f>SUM(G416,J416,M416,P416,S416,V416,Y416,AB416,AE416,AH416,AK416,AN416)</f>
        <v>82018</v>
      </c>
      <c r="E416" s="475">
        <f t="shared" si="398"/>
        <v>53386</v>
      </c>
      <c r="F416" s="474">
        <f>3477+3075</f>
        <v>6552</v>
      </c>
      <c r="G416" s="603">
        <v>12356</v>
      </c>
      <c r="H416" s="604">
        <v>12356</v>
      </c>
      <c r="I416" s="477">
        <v>6552</v>
      </c>
      <c r="J416" s="603">
        <v>8915</v>
      </c>
      <c r="K416" s="605">
        <v>8915</v>
      </c>
      <c r="L416" s="474">
        <v>6553</v>
      </c>
      <c r="M416" s="603"/>
      <c r="N416" s="604"/>
      <c r="O416" s="477">
        <v>6552</v>
      </c>
      <c r="P416" s="603">
        <v>13719</v>
      </c>
      <c r="Q416" s="605">
        <v>13719</v>
      </c>
      <c r="R416" s="474">
        <v>6553</v>
      </c>
      <c r="S416" s="603">
        <v>4194</v>
      </c>
      <c r="T416" s="604">
        <v>4194</v>
      </c>
      <c r="U416" s="477">
        <v>6552</v>
      </c>
      <c r="V416" s="603">
        <v>14202</v>
      </c>
      <c r="W416" s="605">
        <v>14202</v>
      </c>
      <c r="X416" s="474">
        <v>6552</v>
      </c>
      <c r="Y416" s="603">
        <f>4121+3476</f>
        <v>7597</v>
      </c>
      <c r="Z416" s="604"/>
      <c r="AA416" s="477">
        <v>6552</v>
      </c>
      <c r="AB416" s="603">
        <v>4207</v>
      </c>
      <c r="AC416" s="605"/>
      <c r="AD416" s="474">
        <v>6553</v>
      </c>
      <c r="AE416" s="603">
        <v>4207</v>
      </c>
      <c r="AF416" s="604"/>
      <c r="AG416" s="477">
        <v>6552</v>
      </c>
      <c r="AH416" s="603">
        <v>4207</v>
      </c>
      <c r="AI416" s="605"/>
      <c r="AJ416" s="474">
        <v>6553</v>
      </c>
      <c r="AK416" s="603">
        <v>4207</v>
      </c>
      <c r="AL416" s="604"/>
      <c r="AM416" s="477">
        <v>6552</v>
      </c>
      <c r="AN416" s="603">
        <v>4207</v>
      </c>
      <c r="AO416" s="475"/>
    </row>
    <row r="417" spans="1:42" x14ac:dyDescent="0.2">
      <c r="A417" s="481" t="s">
        <v>658</v>
      </c>
      <c r="B417" s="482" t="s">
        <v>659</v>
      </c>
      <c r="C417" s="483">
        <f>SUM(F417,I417,L417,O417,R417,U417,X417,AA417,AD417,AG417,AJ417,AM417)</f>
        <v>3476</v>
      </c>
      <c r="D417" s="484">
        <f t="shared" si="398"/>
        <v>3476</v>
      </c>
      <c r="E417" s="485">
        <f t="shared" si="398"/>
        <v>0</v>
      </c>
      <c r="F417" s="487">
        <v>3476</v>
      </c>
      <c r="G417" s="606"/>
      <c r="H417" s="607"/>
      <c r="I417" s="487"/>
      <c r="J417" s="606"/>
      <c r="K417" s="608"/>
      <c r="L417" s="484"/>
      <c r="M417" s="606"/>
      <c r="N417" s="607"/>
      <c r="O417" s="487"/>
      <c r="P417" s="606"/>
      <c r="Q417" s="608"/>
      <c r="R417" s="484"/>
      <c r="S417" s="606"/>
      <c r="T417" s="607"/>
      <c r="U417" s="487"/>
      <c r="V417" s="606"/>
      <c r="W417" s="608"/>
      <c r="X417" s="484"/>
      <c r="Y417" s="606">
        <v>3476</v>
      </c>
      <c r="Z417" s="607"/>
      <c r="AA417" s="487"/>
      <c r="AB417" s="606"/>
      <c r="AC417" s="608"/>
      <c r="AD417" s="484"/>
      <c r="AE417" s="606"/>
      <c r="AF417" s="607"/>
      <c r="AG417" s="487"/>
      <c r="AH417" s="606"/>
      <c r="AI417" s="608"/>
      <c r="AJ417" s="484"/>
      <c r="AK417" s="606"/>
      <c r="AL417" s="607"/>
      <c r="AM417" s="487"/>
      <c r="AN417" s="606"/>
      <c r="AO417" s="485"/>
    </row>
    <row r="418" spans="1:42" x14ac:dyDescent="0.2">
      <c r="A418" s="471" t="s">
        <v>660</v>
      </c>
      <c r="B418" s="472" t="s">
        <v>661</v>
      </c>
      <c r="C418" s="473">
        <f>SUM(F418,I418,L418,O418,R418,U418,X418,AA418,AD418,AG418,AJ418,AM418)</f>
        <v>192599</v>
      </c>
      <c r="D418" s="474">
        <f t="shared" si="398"/>
        <v>195989</v>
      </c>
      <c r="E418" s="475">
        <f t="shared" si="398"/>
        <v>106213</v>
      </c>
      <c r="F418" s="474">
        <f>SUM(+F415,F416)</f>
        <v>16049</v>
      </c>
      <c r="G418" s="603">
        <f t="shared" ref="G418:H418" si="401">SUM(G415,G416)</f>
        <v>21592</v>
      </c>
      <c r="H418" s="604">
        <f t="shared" si="401"/>
        <v>20243</v>
      </c>
      <c r="I418" s="477">
        <f>SUM(I415,I416)</f>
        <v>16050</v>
      </c>
      <c r="J418" s="603">
        <f t="shared" ref="J418:AO418" si="402">SUM(J415,J416)</f>
        <v>16023</v>
      </c>
      <c r="K418" s="605">
        <f t="shared" si="402"/>
        <v>16758</v>
      </c>
      <c r="L418" s="474">
        <f t="shared" si="402"/>
        <v>16050</v>
      </c>
      <c r="M418" s="603">
        <f t="shared" si="402"/>
        <v>7144</v>
      </c>
      <c r="N418" s="604">
        <f t="shared" si="402"/>
        <v>8815</v>
      </c>
      <c r="O418" s="477">
        <f t="shared" si="402"/>
        <v>16050</v>
      </c>
      <c r="P418" s="603">
        <f t="shared" si="402"/>
        <v>17243</v>
      </c>
      <c r="Q418" s="605">
        <f t="shared" si="402"/>
        <v>24728</v>
      </c>
      <c r="R418" s="474">
        <f t="shared" si="402"/>
        <v>16050</v>
      </c>
      <c r="S418" s="603">
        <f t="shared" si="402"/>
        <v>15801</v>
      </c>
      <c r="T418" s="604">
        <f t="shared" si="402"/>
        <v>12073</v>
      </c>
      <c r="U418" s="477">
        <f t="shared" si="402"/>
        <v>16050</v>
      </c>
      <c r="V418" s="603">
        <f t="shared" si="402"/>
        <v>18262</v>
      </c>
      <c r="W418" s="605">
        <f t="shared" si="402"/>
        <v>23596</v>
      </c>
      <c r="X418" s="474">
        <f t="shared" si="402"/>
        <v>16050</v>
      </c>
      <c r="Y418" s="603">
        <f t="shared" si="402"/>
        <v>19100</v>
      </c>
      <c r="Z418" s="604">
        <f t="shared" si="402"/>
        <v>0</v>
      </c>
      <c r="AA418" s="477">
        <f t="shared" si="402"/>
        <v>16050</v>
      </c>
      <c r="AB418" s="603">
        <f t="shared" si="402"/>
        <v>16165</v>
      </c>
      <c r="AC418" s="605">
        <f t="shared" si="402"/>
        <v>0</v>
      </c>
      <c r="AD418" s="474">
        <f t="shared" si="402"/>
        <v>16050</v>
      </c>
      <c r="AE418" s="603">
        <f t="shared" si="402"/>
        <v>16165</v>
      </c>
      <c r="AF418" s="604">
        <f t="shared" si="402"/>
        <v>0</v>
      </c>
      <c r="AG418" s="477">
        <f t="shared" si="402"/>
        <v>16050</v>
      </c>
      <c r="AH418" s="603">
        <f t="shared" si="402"/>
        <v>16164</v>
      </c>
      <c r="AI418" s="605">
        <f t="shared" si="402"/>
        <v>0</v>
      </c>
      <c r="AJ418" s="474">
        <f t="shared" si="402"/>
        <v>16050</v>
      </c>
      <c r="AK418" s="603">
        <f t="shared" si="402"/>
        <v>16164</v>
      </c>
      <c r="AL418" s="604">
        <f t="shared" si="402"/>
        <v>0</v>
      </c>
      <c r="AM418" s="477">
        <f t="shared" si="402"/>
        <v>16050</v>
      </c>
      <c r="AN418" s="603">
        <f t="shared" si="402"/>
        <v>16166</v>
      </c>
      <c r="AO418" s="475">
        <f t="shared" si="402"/>
        <v>0</v>
      </c>
    </row>
    <row r="419" spans="1:42" x14ac:dyDescent="0.2">
      <c r="A419" s="466" t="s">
        <v>648</v>
      </c>
      <c r="B419" s="467" t="s">
        <v>662</v>
      </c>
      <c r="C419" s="468">
        <f t="shared" ref="C419:C423" si="403">SUM(F419,I419,L419,O419,R419,U419,X419,AA419,AD419,AG419,AJ419,AM419)</f>
        <v>0</v>
      </c>
      <c r="D419" s="469">
        <f t="shared" si="398"/>
        <v>0</v>
      </c>
      <c r="E419" s="470">
        <f t="shared" si="398"/>
        <v>0</v>
      </c>
      <c r="F419" s="469"/>
      <c r="G419" s="598"/>
      <c r="H419" s="599"/>
      <c r="I419" s="549"/>
      <c r="J419" s="598"/>
      <c r="K419" s="600"/>
      <c r="L419" s="469"/>
      <c r="M419" s="598"/>
      <c r="N419" s="599"/>
      <c r="O419" s="549"/>
      <c r="P419" s="598"/>
      <c r="Q419" s="600"/>
      <c r="R419" s="469"/>
      <c r="S419" s="598"/>
      <c r="T419" s="599"/>
      <c r="U419" s="549"/>
      <c r="V419" s="598"/>
      <c r="W419" s="600"/>
      <c r="X419" s="469"/>
      <c r="Y419" s="598"/>
      <c r="Z419" s="599"/>
      <c r="AA419" s="549"/>
      <c r="AB419" s="598"/>
      <c r="AC419" s="600"/>
      <c r="AD419" s="469"/>
      <c r="AE419" s="598"/>
      <c r="AF419" s="599"/>
      <c r="AG419" s="549"/>
      <c r="AH419" s="598"/>
      <c r="AI419" s="600"/>
      <c r="AJ419" s="469"/>
      <c r="AK419" s="598"/>
      <c r="AL419" s="599"/>
      <c r="AM419" s="549"/>
      <c r="AN419" s="598"/>
      <c r="AO419" s="470"/>
    </row>
    <row r="420" spans="1:42" x14ac:dyDescent="0.2">
      <c r="A420" s="491" t="s">
        <v>663</v>
      </c>
      <c r="B420" s="492" t="s">
        <v>664</v>
      </c>
      <c r="C420" s="468">
        <f t="shared" si="403"/>
        <v>0</v>
      </c>
      <c r="D420" s="469">
        <f t="shared" si="398"/>
        <v>0</v>
      </c>
      <c r="E420" s="470">
        <f t="shared" si="398"/>
        <v>0</v>
      </c>
      <c r="F420" s="630"/>
      <c r="G420" s="598"/>
      <c r="H420" s="599"/>
      <c r="I420" s="631"/>
      <c r="J420" s="598"/>
      <c r="K420" s="600"/>
      <c r="L420" s="630"/>
      <c r="M420" s="598"/>
      <c r="N420" s="599"/>
      <c r="O420" s="631"/>
      <c r="P420" s="598"/>
      <c r="Q420" s="600"/>
      <c r="R420" s="630"/>
      <c r="S420" s="598"/>
      <c r="T420" s="599"/>
      <c r="U420" s="631"/>
      <c r="V420" s="598"/>
      <c r="W420" s="600"/>
      <c r="X420" s="630"/>
      <c r="Y420" s="598"/>
      <c r="Z420" s="599"/>
      <c r="AA420" s="631"/>
      <c r="AB420" s="598"/>
      <c r="AC420" s="600"/>
      <c r="AD420" s="630"/>
      <c r="AE420" s="598"/>
      <c r="AF420" s="599"/>
      <c r="AG420" s="631"/>
      <c r="AH420" s="598"/>
      <c r="AI420" s="600"/>
      <c r="AJ420" s="630"/>
      <c r="AK420" s="598"/>
      <c r="AL420" s="599"/>
      <c r="AM420" s="631"/>
      <c r="AN420" s="598"/>
      <c r="AO420" s="470"/>
    </row>
    <row r="421" spans="1:42" x14ac:dyDescent="0.2">
      <c r="A421" s="491" t="s">
        <v>665</v>
      </c>
      <c r="B421" s="492" t="s">
        <v>666</v>
      </c>
      <c r="C421" s="468">
        <f t="shared" si="403"/>
        <v>0</v>
      </c>
      <c r="D421" s="469">
        <f t="shared" si="398"/>
        <v>0</v>
      </c>
      <c r="E421" s="470">
        <f t="shared" si="398"/>
        <v>0</v>
      </c>
      <c r="F421" s="630"/>
      <c r="G421" s="598"/>
      <c r="H421" s="599"/>
      <c r="I421" s="631"/>
      <c r="J421" s="598"/>
      <c r="K421" s="600"/>
      <c r="L421" s="630"/>
      <c r="M421" s="598"/>
      <c r="N421" s="599"/>
      <c r="O421" s="631"/>
      <c r="P421" s="598"/>
      <c r="Q421" s="600"/>
      <c r="R421" s="630"/>
      <c r="S421" s="598"/>
      <c r="T421" s="599"/>
      <c r="U421" s="631"/>
      <c r="V421" s="598"/>
      <c r="W421" s="600"/>
      <c r="X421" s="630"/>
      <c r="Y421" s="598"/>
      <c r="Z421" s="599"/>
      <c r="AA421" s="631"/>
      <c r="AB421" s="598"/>
      <c r="AC421" s="600"/>
      <c r="AD421" s="630"/>
      <c r="AE421" s="598"/>
      <c r="AF421" s="599"/>
      <c r="AG421" s="631"/>
      <c r="AH421" s="598"/>
      <c r="AI421" s="600"/>
      <c r="AJ421" s="630"/>
      <c r="AK421" s="598"/>
      <c r="AL421" s="599"/>
      <c r="AM421" s="631"/>
      <c r="AN421" s="598"/>
      <c r="AO421" s="470"/>
    </row>
    <row r="422" spans="1:42" x14ac:dyDescent="0.2">
      <c r="A422" s="471" t="s">
        <v>667</v>
      </c>
      <c r="B422" s="472" t="s">
        <v>668</v>
      </c>
      <c r="C422" s="473">
        <f t="shared" si="403"/>
        <v>0</v>
      </c>
      <c r="D422" s="474">
        <f t="shared" si="398"/>
        <v>0</v>
      </c>
      <c r="E422" s="475">
        <f t="shared" si="398"/>
        <v>0</v>
      </c>
      <c r="F422" s="603">
        <f t="shared" ref="F422:AO422" si="404">SUM(F419:F421)</f>
        <v>0</v>
      </c>
      <c r="G422" s="603">
        <f t="shared" si="404"/>
        <v>0</v>
      </c>
      <c r="H422" s="604">
        <f t="shared" si="404"/>
        <v>0</v>
      </c>
      <c r="I422" s="477">
        <f t="shared" si="404"/>
        <v>0</v>
      </c>
      <c r="J422" s="603">
        <f t="shared" si="404"/>
        <v>0</v>
      </c>
      <c r="K422" s="605">
        <f t="shared" si="404"/>
        <v>0</v>
      </c>
      <c r="L422" s="474">
        <f t="shared" si="404"/>
        <v>0</v>
      </c>
      <c r="M422" s="603">
        <f t="shared" si="404"/>
        <v>0</v>
      </c>
      <c r="N422" s="604">
        <f t="shared" si="404"/>
        <v>0</v>
      </c>
      <c r="O422" s="477">
        <f t="shared" si="404"/>
        <v>0</v>
      </c>
      <c r="P422" s="603">
        <f t="shared" si="404"/>
        <v>0</v>
      </c>
      <c r="Q422" s="605">
        <f t="shared" si="404"/>
        <v>0</v>
      </c>
      <c r="R422" s="474">
        <f t="shared" si="404"/>
        <v>0</v>
      </c>
      <c r="S422" s="603">
        <f t="shared" si="404"/>
        <v>0</v>
      </c>
      <c r="T422" s="604">
        <f t="shared" si="404"/>
        <v>0</v>
      </c>
      <c r="U422" s="477">
        <f t="shared" si="404"/>
        <v>0</v>
      </c>
      <c r="V422" s="603">
        <f t="shared" si="404"/>
        <v>0</v>
      </c>
      <c r="W422" s="605">
        <f t="shared" si="404"/>
        <v>0</v>
      </c>
      <c r="X422" s="474">
        <f t="shared" si="404"/>
        <v>0</v>
      </c>
      <c r="Y422" s="603">
        <f t="shared" si="404"/>
        <v>0</v>
      </c>
      <c r="Z422" s="604">
        <f t="shared" si="404"/>
        <v>0</v>
      </c>
      <c r="AA422" s="477">
        <f t="shared" si="404"/>
        <v>0</v>
      </c>
      <c r="AB422" s="603">
        <f t="shared" si="404"/>
        <v>0</v>
      </c>
      <c r="AC422" s="605">
        <f t="shared" si="404"/>
        <v>0</v>
      </c>
      <c r="AD422" s="474">
        <f t="shared" si="404"/>
        <v>0</v>
      </c>
      <c r="AE422" s="603">
        <f t="shared" si="404"/>
        <v>0</v>
      </c>
      <c r="AF422" s="604">
        <f t="shared" si="404"/>
        <v>0</v>
      </c>
      <c r="AG422" s="477">
        <f t="shared" si="404"/>
        <v>0</v>
      </c>
      <c r="AH422" s="603">
        <f t="shared" si="404"/>
        <v>0</v>
      </c>
      <c r="AI422" s="605">
        <f t="shared" si="404"/>
        <v>0</v>
      </c>
      <c r="AJ422" s="474">
        <f t="shared" si="404"/>
        <v>0</v>
      </c>
      <c r="AK422" s="603">
        <f t="shared" si="404"/>
        <v>0</v>
      </c>
      <c r="AL422" s="604">
        <f t="shared" si="404"/>
        <v>0</v>
      </c>
      <c r="AM422" s="477">
        <f t="shared" si="404"/>
        <v>0</v>
      </c>
      <c r="AN422" s="603">
        <f t="shared" si="404"/>
        <v>0</v>
      </c>
      <c r="AO422" s="475">
        <f t="shared" si="404"/>
        <v>0</v>
      </c>
    </row>
    <row r="423" spans="1:42" x14ac:dyDescent="0.2">
      <c r="A423" s="493" t="s">
        <v>669</v>
      </c>
      <c r="B423" s="494" t="s">
        <v>657</v>
      </c>
      <c r="C423" s="473">
        <f t="shared" si="403"/>
        <v>8774</v>
      </c>
      <c r="D423" s="474">
        <f t="shared" si="398"/>
        <v>8774</v>
      </c>
      <c r="E423" s="475">
        <f t="shared" si="398"/>
        <v>0</v>
      </c>
      <c r="F423" s="632">
        <v>8774</v>
      </c>
      <c r="G423" s="603"/>
      <c r="H423" s="604"/>
      <c r="I423" s="497">
        <f t="shared" ref="I423:AJ423" si="405">+I443</f>
        <v>0</v>
      </c>
      <c r="J423" s="603"/>
      <c r="K423" s="605"/>
      <c r="L423" s="495">
        <v>0</v>
      </c>
      <c r="M423" s="603"/>
      <c r="N423" s="604"/>
      <c r="O423" s="497">
        <f t="shared" si="405"/>
        <v>0</v>
      </c>
      <c r="P423" s="603"/>
      <c r="Q423" s="605"/>
      <c r="R423" s="495">
        <v>0</v>
      </c>
      <c r="S423" s="603"/>
      <c r="T423" s="604"/>
      <c r="U423" s="497">
        <f t="shared" si="405"/>
        <v>0</v>
      </c>
      <c r="V423" s="603"/>
      <c r="W423" s="605"/>
      <c r="X423" s="495">
        <f>+X443</f>
        <v>0</v>
      </c>
      <c r="Y423" s="652">
        <v>8774</v>
      </c>
      <c r="Z423" s="604"/>
      <c r="AA423" s="497">
        <v>0</v>
      </c>
      <c r="AB423" s="603"/>
      <c r="AC423" s="605"/>
      <c r="AD423" s="495">
        <f t="shared" si="405"/>
        <v>0</v>
      </c>
      <c r="AE423" s="603"/>
      <c r="AF423" s="604"/>
      <c r="AG423" s="497">
        <v>0</v>
      </c>
      <c r="AH423" s="603"/>
      <c r="AI423" s="605"/>
      <c r="AJ423" s="495">
        <f t="shared" si="405"/>
        <v>0</v>
      </c>
      <c r="AK423" s="603"/>
      <c r="AL423" s="604"/>
      <c r="AM423" s="477">
        <f>+AM443</f>
        <v>0</v>
      </c>
      <c r="AN423" s="603"/>
      <c r="AO423" s="475"/>
    </row>
    <row r="424" spans="1:42" s="490" customFormat="1" x14ac:dyDescent="0.2">
      <c r="A424" s="481" t="s">
        <v>658</v>
      </c>
      <c r="B424" s="482" t="s">
        <v>659</v>
      </c>
      <c r="C424" s="483">
        <f>SUM(F424,I424,L424,O424,R424,U424,X424,AA424,AD424,AG424,AJ424,AM424)</f>
        <v>8774</v>
      </c>
      <c r="D424" s="484">
        <f t="shared" si="398"/>
        <v>8774</v>
      </c>
      <c r="E424" s="485">
        <f t="shared" si="398"/>
        <v>0</v>
      </c>
      <c r="F424" s="500">
        <v>8774</v>
      </c>
      <c r="G424" s="606"/>
      <c r="H424" s="607"/>
      <c r="I424" s="502"/>
      <c r="J424" s="606"/>
      <c r="K424" s="608"/>
      <c r="L424" s="500"/>
      <c r="M424" s="606"/>
      <c r="N424" s="607"/>
      <c r="O424" s="502"/>
      <c r="P424" s="606"/>
      <c r="Q424" s="608"/>
      <c r="R424" s="500"/>
      <c r="S424" s="606"/>
      <c r="T424" s="607"/>
      <c r="U424" s="502"/>
      <c r="V424" s="606"/>
      <c r="W424" s="608"/>
      <c r="X424" s="500"/>
      <c r="Y424" s="606">
        <v>8774</v>
      </c>
      <c r="Z424" s="607"/>
      <c r="AA424" s="502"/>
      <c r="AB424" s="606"/>
      <c r="AC424" s="608"/>
      <c r="AD424" s="500"/>
      <c r="AE424" s="606"/>
      <c r="AF424" s="607"/>
      <c r="AG424" s="502"/>
      <c r="AH424" s="606"/>
      <c r="AI424" s="608"/>
      <c r="AJ424" s="500"/>
      <c r="AK424" s="606"/>
      <c r="AL424" s="607"/>
      <c r="AM424" s="502"/>
      <c r="AN424" s="606"/>
      <c r="AO424" s="485"/>
      <c r="AP424" s="489"/>
    </row>
    <row r="425" spans="1:42" s="480" customFormat="1" ht="15.75" thickBot="1" x14ac:dyDescent="0.25">
      <c r="A425" s="505" t="s">
        <v>670</v>
      </c>
      <c r="B425" s="506" t="s">
        <v>671</v>
      </c>
      <c r="C425" s="507">
        <f>SUM(F425,I425,L425,O425,R425,U425,X425,AA425,AD425,AG425,AJ425,AM425)</f>
        <v>8774</v>
      </c>
      <c r="D425" s="508">
        <f t="shared" si="398"/>
        <v>8774</v>
      </c>
      <c r="E425" s="509">
        <f t="shared" si="398"/>
        <v>0</v>
      </c>
      <c r="F425" s="557">
        <f>SUM(F422,F423)</f>
        <v>8774</v>
      </c>
      <c r="G425" s="610">
        <f t="shared" ref="G425:H425" si="406">SUM(G422,G423)</f>
        <v>0</v>
      </c>
      <c r="H425" s="611">
        <f t="shared" si="406"/>
        <v>0</v>
      </c>
      <c r="I425" s="512">
        <f>SUM(I422,I423)</f>
        <v>0</v>
      </c>
      <c r="J425" s="610">
        <f t="shared" ref="J425:AO425" si="407">SUM(J422,J423)</f>
        <v>0</v>
      </c>
      <c r="K425" s="612">
        <f t="shared" si="407"/>
        <v>0</v>
      </c>
      <c r="L425" s="510">
        <f t="shared" si="407"/>
        <v>0</v>
      </c>
      <c r="M425" s="610">
        <f t="shared" si="407"/>
        <v>0</v>
      </c>
      <c r="N425" s="611">
        <f t="shared" si="407"/>
        <v>0</v>
      </c>
      <c r="O425" s="512">
        <f t="shared" si="407"/>
        <v>0</v>
      </c>
      <c r="P425" s="610">
        <f t="shared" si="407"/>
        <v>0</v>
      </c>
      <c r="Q425" s="612">
        <f t="shared" si="407"/>
        <v>0</v>
      </c>
      <c r="R425" s="510">
        <f t="shared" si="407"/>
        <v>0</v>
      </c>
      <c r="S425" s="610">
        <f t="shared" si="407"/>
        <v>0</v>
      </c>
      <c r="T425" s="611">
        <f t="shared" si="407"/>
        <v>0</v>
      </c>
      <c r="U425" s="512">
        <f t="shared" si="407"/>
        <v>0</v>
      </c>
      <c r="V425" s="610">
        <f t="shared" si="407"/>
        <v>0</v>
      </c>
      <c r="W425" s="612">
        <f t="shared" si="407"/>
        <v>0</v>
      </c>
      <c r="X425" s="510">
        <f t="shared" si="407"/>
        <v>0</v>
      </c>
      <c r="Y425" s="610">
        <f t="shared" si="407"/>
        <v>8774</v>
      </c>
      <c r="Z425" s="611">
        <f t="shared" si="407"/>
        <v>0</v>
      </c>
      <c r="AA425" s="512">
        <f t="shared" si="407"/>
        <v>0</v>
      </c>
      <c r="AB425" s="610">
        <f t="shared" si="407"/>
        <v>0</v>
      </c>
      <c r="AC425" s="612">
        <f t="shared" si="407"/>
        <v>0</v>
      </c>
      <c r="AD425" s="510">
        <f t="shared" si="407"/>
        <v>0</v>
      </c>
      <c r="AE425" s="610">
        <f t="shared" si="407"/>
        <v>0</v>
      </c>
      <c r="AF425" s="611">
        <f t="shared" si="407"/>
        <v>0</v>
      </c>
      <c r="AG425" s="512">
        <f t="shared" si="407"/>
        <v>0</v>
      </c>
      <c r="AH425" s="610">
        <f t="shared" si="407"/>
        <v>0</v>
      </c>
      <c r="AI425" s="612">
        <f t="shared" si="407"/>
        <v>0</v>
      </c>
      <c r="AJ425" s="510">
        <f t="shared" si="407"/>
        <v>0</v>
      </c>
      <c r="AK425" s="610">
        <f t="shared" si="407"/>
        <v>0</v>
      </c>
      <c r="AL425" s="611">
        <f t="shared" si="407"/>
        <v>0</v>
      </c>
      <c r="AM425" s="514">
        <f t="shared" si="407"/>
        <v>0</v>
      </c>
      <c r="AN425" s="610">
        <f t="shared" si="407"/>
        <v>0</v>
      </c>
      <c r="AO425" s="509">
        <f t="shared" si="407"/>
        <v>0</v>
      </c>
      <c r="AP425" s="479"/>
    </row>
    <row r="426" spans="1:42" ht="15" thickBot="1" x14ac:dyDescent="0.25">
      <c r="A426" s="515" t="s">
        <v>672</v>
      </c>
      <c r="B426" s="516" t="s">
        <v>673</v>
      </c>
      <c r="C426" s="632">
        <f>SUM(F426,I426,L426,O426,R426,U426,X426,AA426,AD426,AG426,AJ426,AM426)</f>
        <v>201373</v>
      </c>
      <c r="D426" s="633">
        <f t="shared" si="398"/>
        <v>204763</v>
      </c>
      <c r="E426" s="634">
        <f t="shared" si="398"/>
        <v>106213</v>
      </c>
      <c r="F426" s="520">
        <f>SUM(F425,F418)</f>
        <v>24823</v>
      </c>
      <c r="G426" s="520">
        <f t="shared" ref="G426:H426" si="408">SUM(G425,G418)</f>
        <v>21592</v>
      </c>
      <c r="H426" s="521">
        <f t="shared" si="408"/>
        <v>20243</v>
      </c>
      <c r="I426" s="522">
        <f t="shared" ref="I426:AM426" si="409">SUM(I418,I425)</f>
        <v>16050</v>
      </c>
      <c r="J426" s="520">
        <f t="shared" ref="J426:K426" si="410">SUM(J425,J418)</f>
        <v>16023</v>
      </c>
      <c r="K426" s="523">
        <f t="shared" si="410"/>
        <v>16758</v>
      </c>
      <c r="L426" s="520">
        <f t="shared" si="409"/>
        <v>16050</v>
      </c>
      <c r="M426" s="520">
        <f t="shared" ref="M426:N426" si="411">SUM(M425,M418)</f>
        <v>7144</v>
      </c>
      <c r="N426" s="521">
        <f t="shared" si="411"/>
        <v>8815</v>
      </c>
      <c r="O426" s="522">
        <f t="shared" si="409"/>
        <v>16050</v>
      </c>
      <c r="P426" s="520">
        <f t="shared" ref="P426:Q426" si="412">SUM(P425,P418)</f>
        <v>17243</v>
      </c>
      <c r="Q426" s="523">
        <f t="shared" si="412"/>
        <v>24728</v>
      </c>
      <c r="R426" s="520">
        <f t="shared" si="409"/>
        <v>16050</v>
      </c>
      <c r="S426" s="520">
        <f t="shared" ref="S426:T426" si="413">SUM(S425,S418)</f>
        <v>15801</v>
      </c>
      <c r="T426" s="521">
        <f t="shared" si="413"/>
        <v>12073</v>
      </c>
      <c r="U426" s="522">
        <f t="shared" si="409"/>
        <v>16050</v>
      </c>
      <c r="V426" s="520">
        <f t="shared" ref="V426:W426" si="414">SUM(V425,V418)</f>
        <v>18262</v>
      </c>
      <c r="W426" s="523">
        <f t="shared" si="414"/>
        <v>23596</v>
      </c>
      <c r="X426" s="520">
        <f t="shared" si="409"/>
        <v>16050</v>
      </c>
      <c r="Y426" s="520">
        <f t="shared" ref="Y426:Z426" si="415">SUM(Y425,Y418)</f>
        <v>27874</v>
      </c>
      <c r="Z426" s="521">
        <f t="shared" si="415"/>
        <v>0</v>
      </c>
      <c r="AA426" s="522">
        <f t="shared" si="409"/>
        <v>16050</v>
      </c>
      <c r="AB426" s="520">
        <f t="shared" ref="AB426:AC426" si="416">SUM(AB425,AB418)</f>
        <v>16165</v>
      </c>
      <c r="AC426" s="523">
        <f t="shared" si="416"/>
        <v>0</v>
      </c>
      <c r="AD426" s="520">
        <f t="shared" si="409"/>
        <v>16050</v>
      </c>
      <c r="AE426" s="520">
        <f t="shared" ref="AE426:AF426" si="417">SUM(AE425,AE418)</f>
        <v>16165</v>
      </c>
      <c r="AF426" s="521">
        <f t="shared" si="417"/>
        <v>0</v>
      </c>
      <c r="AG426" s="522">
        <f t="shared" si="409"/>
        <v>16050</v>
      </c>
      <c r="AH426" s="520">
        <f t="shared" ref="AH426:AI426" si="418">SUM(AH425,AH418)</f>
        <v>16164</v>
      </c>
      <c r="AI426" s="523">
        <f t="shared" si="418"/>
        <v>0</v>
      </c>
      <c r="AJ426" s="520">
        <f t="shared" si="409"/>
        <v>16050</v>
      </c>
      <c r="AK426" s="520">
        <f t="shared" ref="AK426:AL426" si="419">SUM(AK425,AK418)</f>
        <v>16164</v>
      </c>
      <c r="AL426" s="521">
        <f t="shared" si="419"/>
        <v>0</v>
      </c>
      <c r="AM426" s="522">
        <f t="shared" si="409"/>
        <v>16050</v>
      </c>
      <c r="AN426" s="635">
        <f t="shared" ref="AN426:AO426" si="420">SUM(AN425,AN418)</f>
        <v>16166</v>
      </c>
      <c r="AO426" s="563">
        <f t="shared" si="420"/>
        <v>0</v>
      </c>
    </row>
    <row r="427" spans="1:42" ht="15" thickBot="1" x14ac:dyDescent="0.25">
      <c r="A427" s="526"/>
      <c r="B427" s="527" t="s">
        <v>1332</v>
      </c>
      <c r="C427" s="528"/>
      <c r="D427" s="529"/>
      <c r="E427" s="519">
        <f t="shared" ref="E427:E428" si="421">SUM(H427,K427,N427,Q427,T427,W427,Z427,AC427,AF427,AI427,AL427,AO427)</f>
        <v>24824</v>
      </c>
      <c r="F427" s="530"/>
      <c r="G427" s="530"/>
      <c r="H427" s="536">
        <v>24824</v>
      </c>
      <c r="I427" s="531"/>
      <c r="J427" s="530"/>
      <c r="K427" s="537"/>
      <c r="L427" s="530"/>
      <c r="M427" s="530"/>
      <c r="N427" s="536"/>
      <c r="O427" s="531"/>
      <c r="P427" s="530"/>
      <c r="Q427" s="537"/>
      <c r="R427" s="530"/>
      <c r="S427" s="530"/>
      <c r="T427" s="536"/>
      <c r="U427" s="531"/>
      <c r="V427" s="530"/>
      <c r="W427" s="537"/>
      <c r="X427" s="530"/>
      <c r="Y427" s="530"/>
      <c r="Z427" s="536"/>
      <c r="AA427" s="531"/>
      <c r="AB427" s="530"/>
      <c r="AC427" s="537"/>
      <c r="AD427" s="530"/>
      <c r="AE427" s="530"/>
      <c r="AF427" s="536"/>
      <c r="AG427" s="531"/>
      <c r="AH427" s="530"/>
      <c r="AI427" s="537"/>
      <c r="AJ427" s="530"/>
      <c r="AK427" s="532"/>
      <c r="AL427" s="536"/>
      <c r="AM427" s="531"/>
      <c r="AN427" s="532"/>
      <c r="AO427" s="613"/>
    </row>
    <row r="428" spans="1:42" ht="15" thickBot="1" x14ac:dyDescent="0.25">
      <c r="A428" s="526"/>
      <c r="B428" s="527" t="s">
        <v>1333</v>
      </c>
      <c r="C428" s="534"/>
      <c r="D428" s="535"/>
      <c r="E428" s="519">
        <f t="shared" si="421"/>
        <v>131037</v>
      </c>
      <c r="F428" s="530"/>
      <c r="G428" s="530"/>
      <c r="H428" s="536">
        <f>SUM(H426:H427)</f>
        <v>45067</v>
      </c>
      <c r="I428" s="531"/>
      <c r="J428" s="530"/>
      <c r="K428" s="537">
        <f>SUM(K426:K427)</f>
        <v>16758</v>
      </c>
      <c r="L428" s="530"/>
      <c r="M428" s="530"/>
      <c r="N428" s="536">
        <f>SUM(N426:N427)</f>
        <v>8815</v>
      </c>
      <c r="O428" s="531"/>
      <c r="P428" s="530"/>
      <c r="Q428" s="537">
        <f>SUM(Q426:Q427)</f>
        <v>24728</v>
      </c>
      <c r="R428" s="530"/>
      <c r="S428" s="530"/>
      <c r="T428" s="536">
        <f>SUM(T426:T427)</f>
        <v>12073</v>
      </c>
      <c r="U428" s="531"/>
      <c r="V428" s="530"/>
      <c r="W428" s="537">
        <f>SUM(W426:W427)</f>
        <v>23596</v>
      </c>
      <c r="X428" s="530"/>
      <c r="Y428" s="530"/>
      <c r="Z428" s="536">
        <f>SUM(Z426:Z427)</f>
        <v>0</v>
      </c>
      <c r="AA428" s="531"/>
      <c r="AB428" s="530"/>
      <c r="AC428" s="537">
        <f>SUM(AC426:AC427)</f>
        <v>0</v>
      </c>
      <c r="AD428" s="530"/>
      <c r="AE428" s="530"/>
      <c r="AF428" s="536">
        <f>SUM(AF426:AF427)</f>
        <v>0</v>
      </c>
      <c r="AG428" s="531"/>
      <c r="AH428" s="530"/>
      <c r="AI428" s="537">
        <f>SUM(AI426:AI427)</f>
        <v>0</v>
      </c>
      <c r="AJ428" s="530"/>
      <c r="AK428" s="532"/>
      <c r="AL428" s="536">
        <f>SUM(AL426:AL427)</f>
        <v>0</v>
      </c>
      <c r="AM428" s="531"/>
      <c r="AN428" s="532"/>
      <c r="AO428" s="524">
        <f>SUM(AO426:AO427)</f>
        <v>0</v>
      </c>
    </row>
    <row r="429" spans="1:42" x14ac:dyDescent="0.2">
      <c r="A429" s="538"/>
      <c r="B429" s="539" t="s">
        <v>674</v>
      </c>
      <c r="C429" s="614" t="s">
        <v>633</v>
      </c>
      <c r="D429" s="615" t="s">
        <v>1326</v>
      </c>
      <c r="E429" s="616" t="s">
        <v>1327</v>
      </c>
      <c r="F429" s="617"/>
      <c r="G429" s="617"/>
      <c r="H429" s="618"/>
      <c r="I429" s="619"/>
      <c r="J429" s="617"/>
      <c r="K429" s="636"/>
      <c r="L429" s="617"/>
      <c r="M429" s="617"/>
      <c r="N429" s="618"/>
      <c r="O429" s="619"/>
      <c r="P429" s="617"/>
      <c r="Q429" s="636"/>
      <c r="R429" s="617"/>
      <c r="S429" s="617"/>
      <c r="T429" s="618"/>
      <c r="U429" s="619"/>
      <c r="V429" s="617"/>
      <c r="W429" s="636"/>
      <c r="X429" s="617"/>
      <c r="Y429" s="617"/>
      <c r="Z429" s="618"/>
      <c r="AA429" s="619"/>
      <c r="AB429" s="617"/>
      <c r="AC429" s="636"/>
      <c r="AD429" s="617"/>
      <c r="AE429" s="617"/>
      <c r="AF429" s="618"/>
      <c r="AG429" s="619"/>
      <c r="AH429" s="617"/>
      <c r="AI429" s="636"/>
      <c r="AJ429" s="617"/>
      <c r="AK429" s="617"/>
      <c r="AL429" s="618"/>
      <c r="AM429" s="619"/>
      <c r="AN429" s="620"/>
      <c r="AO429" s="637"/>
    </row>
    <row r="430" spans="1:42" x14ac:dyDescent="0.2">
      <c r="A430" s="457" t="s">
        <v>675</v>
      </c>
      <c r="B430" s="458" t="s">
        <v>676</v>
      </c>
      <c r="C430" s="468">
        <f t="shared" ref="C430:E446" si="422">SUM(F430,I430,L430,O430,R430,U430,X430,AA430,AD430,AG430,AJ430,AM430)</f>
        <v>86169</v>
      </c>
      <c r="D430" s="543">
        <f t="shared" si="422"/>
        <v>88878</v>
      </c>
      <c r="E430" s="465">
        <f t="shared" si="422"/>
        <v>44776</v>
      </c>
      <c r="F430" s="469">
        <v>7181</v>
      </c>
      <c r="G430" s="592">
        <v>13077</v>
      </c>
      <c r="H430" s="593">
        <v>13077</v>
      </c>
      <c r="I430" s="549">
        <v>7181</v>
      </c>
      <c r="J430" s="592">
        <v>7541</v>
      </c>
      <c r="K430" s="595">
        <v>7541</v>
      </c>
      <c r="L430" s="469">
        <v>7181</v>
      </c>
      <c r="M430" s="592"/>
      <c r="N430" s="593"/>
      <c r="O430" s="549">
        <v>7180</v>
      </c>
      <c r="P430" s="592">
        <v>7244</v>
      </c>
      <c r="Q430" s="595">
        <v>7244</v>
      </c>
      <c r="R430" s="469">
        <v>7181</v>
      </c>
      <c r="S430" s="592">
        <v>7520</v>
      </c>
      <c r="T430" s="593">
        <v>7520</v>
      </c>
      <c r="U430" s="549">
        <v>7181</v>
      </c>
      <c r="V430" s="592">
        <v>9394</v>
      </c>
      <c r="W430" s="595">
        <v>9394</v>
      </c>
      <c r="X430" s="469">
        <v>7181</v>
      </c>
      <c r="Y430" s="592">
        <v>9574</v>
      </c>
      <c r="Z430" s="593"/>
      <c r="AA430" s="549">
        <v>7180</v>
      </c>
      <c r="AB430" s="592">
        <v>6906</v>
      </c>
      <c r="AC430" s="595"/>
      <c r="AD430" s="469">
        <v>7181</v>
      </c>
      <c r="AE430" s="592">
        <v>6905</v>
      </c>
      <c r="AF430" s="593"/>
      <c r="AG430" s="549">
        <v>7181</v>
      </c>
      <c r="AH430" s="592">
        <v>6906</v>
      </c>
      <c r="AI430" s="595"/>
      <c r="AJ430" s="469">
        <v>7181</v>
      </c>
      <c r="AK430" s="592">
        <v>6905</v>
      </c>
      <c r="AL430" s="593"/>
      <c r="AM430" s="549">
        <v>7180</v>
      </c>
      <c r="AN430" s="592">
        <v>6906</v>
      </c>
      <c r="AO430" s="465"/>
    </row>
    <row r="431" spans="1:42" x14ac:dyDescent="0.2">
      <c r="A431" s="466" t="s">
        <v>677</v>
      </c>
      <c r="B431" s="467" t="s">
        <v>678</v>
      </c>
      <c r="C431" s="468">
        <f t="shared" si="422"/>
        <v>25823</v>
      </c>
      <c r="D431" s="469">
        <f t="shared" si="422"/>
        <v>26504</v>
      </c>
      <c r="E431" s="470">
        <f t="shared" si="422"/>
        <v>12270</v>
      </c>
      <c r="F431" s="469">
        <v>2151</v>
      </c>
      <c r="G431" s="598">
        <v>3741</v>
      </c>
      <c r="H431" s="599">
        <v>3741</v>
      </c>
      <c r="I431" s="549">
        <v>2152</v>
      </c>
      <c r="J431" s="598">
        <v>2108</v>
      </c>
      <c r="K431" s="600">
        <v>2108</v>
      </c>
      <c r="L431" s="469">
        <v>2152</v>
      </c>
      <c r="M431" s="598"/>
      <c r="N431" s="599"/>
      <c r="O431" s="549">
        <v>2152</v>
      </c>
      <c r="P431" s="598">
        <v>2014</v>
      </c>
      <c r="Q431" s="600">
        <v>2014</v>
      </c>
      <c r="R431" s="469">
        <v>2152</v>
      </c>
      <c r="S431" s="598">
        <v>2034</v>
      </c>
      <c r="T431" s="599">
        <v>2034</v>
      </c>
      <c r="U431" s="549">
        <v>2152</v>
      </c>
      <c r="V431" s="598">
        <v>2373</v>
      </c>
      <c r="W431" s="600">
        <v>2373</v>
      </c>
      <c r="X431" s="469">
        <v>2152</v>
      </c>
      <c r="Y431" s="598">
        <v>2973</v>
      </c>
      <c r="Z431" s="599"/>
      <c r="AA431" s="549">
        <v>2152</v>
      </c>
      <c r="AB431" s="598">
        <v>2252</v>
      </c>
      <c r="AC431" s="600"/>
      <c r="AD431" s="469">
        <v>2152</v>
      </c>
      <c r="AE431" s="598">
        <v>2252</v>
      </c>
      <c r="AF431" s="599"/>
      <c r="AG431" s="549">
        <v>2152</v>
      </c>
      <c r="AH431" s="598">
        <v>2252</v>
      </c>
      <c r="AI431" s="600"/>
      <c r="AJ431" s="469">
        <v>2152</v>
      </c>
      <c r="AK431" s="598">
        <v>2252</v>
      </c>
      <c r="AL431" s="599"/>
      <c r="AM431" s="549">
        <v>2152</v>
      </c>
      <c r="AN431" s="598">
        <v>2253</v>
      </c>
      <c r="AO431" s="470"/>
    </row>
    <row r="432" spans="1:42" x14ac:dyDescent="0.2">
      <c r="A432" s="466" t="s">
        <v>679</v>
      </c>
      <c r="B432" s="467" t="s">
        <v>680</v>
      </c>
      <c r="C432" s="468">
        <f t="shared" si="422"/>
        <v>80607</v>
      </c>
      <c r="D432" s="469">
        <f t="shared" si="422"/>
        <v>80607</v>
      </c>
      <c r="E432" s="470">
        <f t="shared" si="422"/>
        <v>38832</v>
      </c>
      <c r="F432" s="469">
        <v>6717</v>
      </c>
      <c r="G432" s="598">
        <v>4587</v>
      </c>
      <c r="H432" s="599">
        <v>4587</v>
      </c>
      <c r="I432" s="549">
        <v>6717</v>
      </c>
      <c r="J432" s="598">
        <v>6374</v>
      </c>
      <c r="K432" s="600">
        <v>6374</v>
      </c>
      <c r="L432" s="469">
        <v>6717</v>
      </c>
      <c r="M432" s="598">
        <v>7144</v>
      </c>
      <c r="N432" s="599">
        <v>7144</v>
      </c>
      <c r="O432" s="549">
        <v>6718</v>
      </c>
      <c r="P432" s="598">
        <v>7985</v>
      </c>
      <c r="Q432" s="600">
        <v>7985</v>
      </c>
      <c r="R432" s="469">
        <v>6717</v>
      </c>
      <c r="S432" s="598">
        <v>6247</v>
      </c>
      <c r="T432" s="599">
        <v>6247</v>
      </c>
      <c r="U432" s="549">
        <v>6717</v>
      </c>
      <c r="V432" s="598">
        <v>6495</v>
      </c>
      <c r="W432" s="600">
        <v>6495</v>
      </c>
      <c r="X432" s="469">
        <v>6717</v>
      </c>
      <c r="Y432" s="598">
        <v>6962</v>
      </c>
      <c r="Z432" s="599"/>
      <c r="AA432" s="549">
        <v>6718</v>
      </c>
      <c r="AB432" s="598">
        <v>6963</v>
      </c>
      <c r="AC432" s="600"/>
      <c r="AD432" s="469">
        <v>6717</v>
      </c>
      <c r="AE432" s="598">
        <v>6963</v>
      </c>
      <c r="AF432" s="599"/>
      <c r="AG432" s="549">
        <v>6717</v>
      </c>
      <c r="AH432" s="598">
        <v>6962</v>
      </c>
      <c r="AI432" s="600"/>
      <c r="AJ432" s="469">
        <v>6717</v>
      </c>
      <c r="AK432" s="598">
        <v>6963</v>
      </c>
      <c r="AL432" s="599"/>
      <c r="AM432" s="549">
        <v>6718</v>
      </c>
      <c r="AN432" s="598">
        <v>6962</v>
      </c>
      <c r="AO432" s="470"/>
    </row>
    <row r="433" spans="1:41" x14ac:dyDescent="0.2">
      <c r="A433" s="466" t="s">
        <v>681</v>
      </c>
      <c r="B433" s="467" t="s">
        <v>682</v>
      </c>
      <c r="C433" s="468">
        <f t="shared" si="422"/>
        <v>0</v>
      </c>
      <c r="D433" s="469">
        <f t="shared" si="422"/>
        <v>0</v>
      </c>
      <c r="E433" s="470">
        <f t="shared" si="422"/>
        <v>0</v>
      </c>
      <c r="F433" s="469"/>
      <c r="G433" s="598"/>
      <c r="H433" s="599"/>
      <c r="I433" s="549"/>
      <c r="J433" s="598"/>
      <c r="K433" s="600"/>
      <c r="L433" s="469"/>
      <c r="M433" s="598"/>
      <c r="N433" s="599"/>
      <c r="O433" s="549"/>
      <c r="P433" s="598"/>
      <c r="Q433" s="600"/>
      <c r="R433" s="469"/>
      <c r="S433" s="598"/>
      <c r="T433" s="599"/>
      <c r="U433" s="549"/>
      <c r="V433" s="598"/>
      <c r="W433" s="600"/>
      <c r="X433" s="469"/>
      <c r="Y433" s="598"/>
      <c r="Z433" s="599"/>
      <c r="AA433" s="549"/>
      <c r="AB433" s="598"/>
      <c r="AC433" s="600"/>
      <c r="AD433" s="469"/>
      <c r="AE433" s="598"/>
      <c r="AF433" s="599"/>
      <c r="AG433" s="549"/>
      <c r="AH433" s="598"/>
      <c r="AI433" s="600"/>
      <c r="AJ433" s="469"/>
      <c r="AK433" s="598"/>
      <c r="AL433" s="599"/>
      <c r="AM433" s="549"/>
      <c r="AN433" s="598"/>
      <c r="AO433" s="470"/>
    </row>
    <row r="434" spans="1:41" x14ac:dyDescent="0.2">
      <c r="A434" s="466" t="s">
        <v>683</v>
      </c>
      <c r="B434" s="467" t="s">
        <v>684</v>
      </c>
      <c r="C434" s="468">
        <f t="shared" si="422"/>
        <v>0</v>
      </c>
      <c r="D434" s="469">
        <f t="shared" si="422"/>
        <v>0</v>
      </c>
      <c r="E434" s="470">
        <f t="shared" si="422"/>
        <v>0</v>
      </c>
      <c r="F434" s="469"/>
      <c r="G434" s="598"/>
      <c r="H434" s="599"/>
      <c r="I434" s="549"/>
      <c r="J434" s="598"/>
      <c r="K434" s="600"/>
      <c r="L434" s="469"/>
      <c r="M434" s="598"/>
      <c r="N434" s="599"/>
      <c r="O434" s="549"/>
      <c r="P434" s="598"/>
      <c r="Q434" s="600"/>
      <c r="R434" s="469"/>
      <c r="S434" s="598"/>
      <c r="T434" s="599"/>
      <c r="U434" s="549"/>
      <c r="V434" s="598"/>
      <c r="W434" s="600"/>
      <c r="X434" s="469"/>
      <c r="Y434" s="598"/>
      <c r="Z434" s="599"/>
      <c r="AA434" s="549"/>
      <c r="AB434" s="598"/>
      <c r="AC434" s="600"/>
      <c r="AD434" s="469"/>
      <c r="AE434" s="598"/>
      <c r="AF434" s="599"/>
      <c r="AG434" s="549"/>
      <c r="AH434" s="598"/>
      <c r="AI434" s="600"/>
      <c r="AJ434" s="469"/>
      <c r="AK434" s="598"/>
      <c r="AL434" s="599"/>
      <c r="AM434" s="549"/>
      <c r="AN434" s="598"/>
      <c r="AO434" s="470"/>
    </row>
    <row r="435" spans="1:41" x14ac:dyDescent="0.2">
      <c r="A435" s="481"/>
      <c r="B435" s="482" t="s">
        <v>685</v>
      </c>
      <c r="C435" s="483">
        <f t="shared" si="422"/>
        <v>0</v>
      </c>
      <c r="D435" s="484">
        <f t="shared" si="422"/>
        <v>0</v>
      </c>
      <c r="E435" s="485">
        <f t="shared" si="422"/>
        <v>0</v>
      </c>
      <c r="F435" s="484"/>
      <c r="G435" s="606"/>
      <c r="H435" s="607"/>
      <c r="I435" s="487"/>
      <c r="J435" s="606"/>
      <c r="K435" s="608"/>
      <c r="L435" s="484"/>
      <c r="M435" s="606"/>
      <c r="N435" s="607"/>
      <c r="O435" s="487"/>
      <c r="P435" s="606"/>
      <c r="Q435" s="608"/>
      <c r="R435" s="484"/>
      <c r="S435" s="606"/>
      <c r="T435" s="607"/>
      <c r="U435" s="487"/>
      <c r="V435" s="606"/>
      <c r="W435" s="608"/>
      <c r="X435" s="484"/>
      <c r="Y435" s="606"/>
      <c r="Z435" s="607"/>
      <c r="AA435" s="487"/>
      <c r="AB435" s="606"/>
      <c r="AC435" s="608"/>
      <c r="AD435" s="484"/>
      <c r="AE435" s="606"/>
      <c r="AF435" s="607"/>
      <c r="AG435" s="487"/>
      <c r="AH435" s="606"/>
      <c r="AI435" s="608"/>
      <c r="AJ435" s="484"/>
      <c r="AK435" s="606"/>
      <c r="AL435" s="607"/>
      <c r="AM435" s="487"/>
      <c r="AN435" s="606"/>
      <c r="AO435" s="485"/>
    </row>
    <row r="436" spans="1:41" x14ac:dyDescent="0.2">
      <c r="A436" s="544"/>
      <c r="B436" s="545" t="s">
        <v>686</v>
      </c>
      <c r="C436" s="483">
        <f t="shared" si="422"/>
        <v>0</v>
      </c>
      <c r="D436" s="484">
        <f t="shared" si="422"/>
        <v>0</v>
      </c>
      <c r="E436" s="485">
        <f t="shared" si="422"/>
        <v>0</v>
      </c>
      <c r="F436" s="638"/>
      <c r="G436" s="606"/>
      <c r="H436" s="607"/>
      <c r="I436" s="639"/>
      <c r="J436" s="606"/>
      <c r="K436" s="608"/>
      <c r="L436" s="638"/>
      <c r="M436" s="606"/>
      <c r="N436" s="607"/>
      <c r="O436" s="639"/>
      <c r="P436" s="606"/>
      <c r="Q436" s="608"/>
      <c r="R436" s="638"/>
      <c r="S436" s="606"/>
      <c r="T436" s="607"/>
      <c r="U436" s="639"/>
      <c r="V436" s="606"/>
      <c r="W436" s="608"/>
      <c r="X436" s="638"/>
      <c r="Y436" s="606"/>
      <c r="Z436" s="607"/>
      <c r="AA436" s="639"/>
      <c r="AB436" s="606"/>
      <c r="AC436" s="608"/>
      <c r="AD436" s="638"/>
      <c r="AE436" s="606"/>
      <c r="AF436" s="607"/>
      <c r="AG436" s="639"/>
      <c r="AH436" s="606"/>
      <c r="AI436" s="608"/>
      <c r="AJ436" s="638"/>
      <c r="AK436" s="606"/>
      <c r="AL436" s="607"/>
      <c r="AM436" s="639"/>
      <c r="AN436" s="606"/>
      <c r="AO436" s="485"/>
    </row>
    <row r="437" spans="1:41" x14ac:dyDescent="0.2">
      <c r="A437" s="471" t="s">
        <v>654</v>
      </c>
      <c r="B437" s="472" t="s">
        <v>687</v>
      </c>
      <c r="C437" s="473">
        <f t="shared" si="422"/>
        <v>192599</v>
      </c>
      <c r="D437" s="474">
        <f t="shared" si="422"/>
        <v>195989</v>
      </c>
      <c r="E437" s="475">
        <f t="shared" si="422"/>
        <v>95878</v>
      </c>
      <c r="F437" s="476">
        <f>SUM(F430:F436)</f>
        <v>16049</v>
      </c>
      <c r="G437" s="603">
        <f t="shared" ref="G437:H437" si="423">SUM(G430:G434)</f>
        <v>21405</v>
      </c>
      <c r="H437" s="604">
        <f t="shared" si="423"/>
        <v>21405</v>
      </c>
      <c r="I437" s="477">
        <f t="shared" ref="I437:AM437" si="424">SUM(I430:I436)</f>
        <v>16050</v>
      </c>
      <c r="J437" s="603">
        <f t="shared" ref="J437:K437" si="425">SUM(J430:J434)</f>
        <v>16023</v>
      </c>
      <c r="K437" s="605">
        <f t="shared" si="425"/>
        <v>16023</v>
      </c>
      <c r="L437" s="474">
        <f t="shared" si="424"/>
        <v>16050</v>
      </c>
      <c r="M437" s="603">
        <f t="shared" ref="M437:N437" si="426">SUM(M430:M434)</f>
        <v>7144</v>
      </c>
      <c r="N437" s="604">
        <f t="shared" si="426"/>
        <v>7144</v>
      </c>
      <c r="O437" s="477">
        <f t="shared" si="424"/>
        <v>16050</v>
      </c>
      <c r="P437" s="603">
        <f t="shared" ref="P437:Q437" si="427">SUM(P430:P434)</f>
        <v>17243</v>
      </c>
      <c r="Q437" s="605">
        <f t="shared" si="427"/>
        <v>17243</v>
      </c>
      <c r="R437" s="474">
        <f t="shared" si="424"/>
        <v>16050</v>
      </c>
      <c r="S437" s="603">
        <f t="shared" ref="S437:T437" si="428">SUM(S430:S434)</f>
        <v>15801</v>
      </c>
      <c r="T437" s="604">
        <f t="shared" si="428"/>
        <v>15801</v>
      </c>
      <c r="U437" s="477">
        <f t="shared" si="424"/>
        <v>16050</v>
      </c>
      <c r="V437" s="603">
        <f t="shared" ref="V437:W437" si="429">SUM(V430:V434)</f>
        <v>18262</v>
      </c>
      <c r="W437" s="605">
        <f t="shared" si="429"/>
        <v>18262</v>
      </c>
      <c r="X437" s="474">
        <f t="shared" si="424"/>
        <v>16050</v>
      </c>
      <c r="Y437" s="603">
        <f t="shared" ref="Y437:Z437" si="430">SUM(Y430:Y434)</f>
        <v>19509</v>
      </c>
      <c r="Z437" s="604">
        <f t="shared" si="430"/>
        <v>0</v>
      </c>
      <c r="AA437" s="477">
        <f t="shared" si="424"/>
        <v>16050</v>
      </c>
      <c r="AB437" s="603">
        <f t="shared" ref="AB437:AC437" si="431">SUM(AB430:AB434)</f>
        <v>16121</v>
      </c>
      <c r="AC437" s="605">
        <f t="shared" si="431"/>
        <v>0</v>
      </c>
      <c r="AD437" s="474">
        <f t="shared" si="424"/>
        <v>16050</v>
      </c>
      <c r="AE437" s="603">
        <f t="shared" ref="AE437:AF437" si="432">SUM(AE430:AE434)</f>
        <v>16120</v>
      </c>
      <c r="AF437" s="604">
        <f t="shared" si="432"/>
        <v>0</v>
      </c>
      <c r="AG437" s="477">
        <f t="shared" si="424"/>
        <v>16050</v>
      </c>
      <c r="AH437" s="603">
        <f t="shared" ref="AH437:AI437" si="433">SUM(AH430:AH434)</f>
        <v>16120</v>
      </c>
      <c r="AI437" s="605">
        <f t="shared" si="433"/>
        <v>0</v>
      </c>
      <c r="AJ437" s="474">
        <f t="shared" si="424"/>
        <v>16050</v>
      </c>
      <c r="AK437" s="603">
        <f t="shared" ref="AK437:AL437" si="434">SUM(AK430:AK434)</f>
        <v>16120</v>
      </c>
      <c r="AL437" s="604">
        <f t="shared" si="434"/>
        <v>0</v>
      </c>
      <c r="AM437" s="477">
        <f t="shared" si="424"/>
        <v>16050</v>
      </c>
      <c r="AN437" s="603">
        <f t="shared" ref="AN437:AO437" si="435">SUM(AN430:AN434)</f>
        <v>16121</v>
      </c>
      <c r="AO437" s="475">
        <f t="shared" si="435"/>
        <v>0</v>
      </c>
    </row>
    <row r="438" spans="1:41" x14ac:dyDescent="0.2">
      <c r="A438" s="471" t="s">
        <v>688</v>
      </c>
      <c r="B438" s="472" t="s">
        <v>689</v>
      </c>
      <c r="C438" s="473">
        <f t="shared" si="422"/>
        <v>0</v>
      </c>
      <c r="D438" s="474">
        <f t="shared" si="422"/>
        <v>0</v>
      </c>
      <c r="E438" s="475">
        <f t="shared" si="422"/>
        <v>0</v>
      </c>
      <c r="F438" s="476"/>
      <c r="G438" s="603"/>
      <c r="H438" s="604"/>
      <c r="I438" s="477"/>
      <c r="J438" s="603"/>
      <c r="K438" s="605"/>
      <c r="L438" s="474"/>
      <c r="M438" s="603"/>
      <c r="N438" s="604"/>
      <c r="O438" s="477"/>
      <c r="P438" s="603"/>
      <c r="Q438" s="605"/>
      <c r="R438" s="474"/>
      <c r="S438" s="603"/>
      <c r="T438" s="604"/>
      <c r="U438" s="477"/>
      <c r="V438" s="603"/>
      <c r="W438" s="605"/>
      <c r="X438" s="474"/>
      <c r="Y438" s="603"/>
      <c r="Z438" s="604"/>
      <c r="AA438" s="477"/>
      <c r="AB438" s="603"/>
      <c r="AC438" s="605"/>
      <c r="AD438" s="474"/>
      <c r="AE438" s="603"/>
      <c r="AF438" s="604"/>
      <c r="AG438" s="477"/>
      <c r="AH438" s="603"/>
      <c r="AI438" s="605"/>
      <c r="AJ438" s="474"/>
      <c r="AK438" s="603"/>
      <c r="AL438" s="604"/>
      <c r="AM438" s="477"/>
      <c r="AN438" s="603"/>
      <c r="AO438" s="475"/>
    </row>
    <row r="439" spans="1:41" x14ac:dyDescent="0.2">
      <c r="A439" s="493" t="s">
        <v>660</v>
      </c>
      <c r="B439" s="494" t="s">
        <v>690</v>
      </c>
      <c r="C439" s="473">
        <f t="shared" si="422"/>
        <v>192599</v>
      </c>
      <c r="D439" s="474">
        <f t="shared" si="422"/>
        <v>195989</v>
      </c>
      <c r="E439" s="475">
        <f t="shared" si="422"/>
        <v>95878</v>
      </c>
      <c r="F439" s="495">
        <f>SUM(F437,F438)</f>
        <v>16049</v>
      </c>
      <c r="G439" s="603">
        <f t="shared" ref="G439:AO439" si="436">SUM(G437,G438)</f>
        <v>21405</v>
      </c>
      <c r="H439" s="604">
        <f t="shared" si="436"/>
        <v>21405</v>
      </c>
      <c r="I439" s="497">
        <f t="shared" si="436"/>
        <v>16050</v>
      </c>
      <c r="J439" s="603">
        <f t="shared" si="436"/>
        <v>16023</v>
      </c>
      <c r="K439" s="605">
        <f t="shared" si="436"/>
        <v>16023</v>
      </c>
      <c r="L439" s="495">
        <f t="shared" si="436"/>
        <v>16050</v>
      </c>
      <c r="M439" s="603">
        <f t="shared" si="436"/>
        <v>7144</v>
      </c>
      <c r="N439" s="604">
        <f t="shared" si="436"/>
        <v>7144</v>
      </c>
      <c r="O439" s="497">
        <f t="shared" si="436"/>
        <v>16050</v>
      </c>
      <c r="P439" s="603">
        <f t="shared" si="436"/>
        <v>17243</v>
      </c>
      <c r="Q439" s="605">
        <f t="shared" si="436"/>
        <v>17243</v>
      </c>
      <c r="R439" s="495">
        <f t="shared" si="436"/>
        <v>16050</v>
      </c>
      <c r="S439" s="603">
        <f t="shared" si="436"/>
        <v>15801</v>
      </c>
      <c r="T439" s="604">
        <f t="shared" si="436"/>
        <v>15801</v>
      </c>
      <c r="U439" s="497">
        <f t="shared" si="436"/>
        <v>16050</v>
      </c>
      <c r="V439" s="603">
        <f t="shared" si="436"/>
        <v>18262</v>
      </c>
      <c r="W439" s="605">
        <f t="shared" si="436"/>
        <v>18262</v>
      </c>
      <c r="X439" s="495">
        <f t="shared" si="436"/>
        <v>16050</v>
      </c>
      <c r="Y439" s="603">
        <f t="shared" si="436"/>
        <v>19509</v>
      </c>
      <c r="Z439" s="604">
        <f t="shared" si="436"/>
        <v>0</v>
      </c>
      <c r="AA439" s="497">
        <f t="shared" si="436"/>
        <v>16050</v>
      </c>
      <c r="AB439" s="603">
        <f t="shared" si="436"/>
        <v>16121</v>
      </c>
      <c r="AC439" s="605">
        <f t="shared" si="436"/>
        <v>0</v>
      </c>
      <c r="AD439" s="495">
        <f t="shared" si="436"/>
        <v>16050</v>
      </c>
      <c r="AE439" s="603">
        <f t="shared" si="436"/>
        <v>16120</v>
      </c>
      <c r="AF439" s="604">
        <f t="shared" si="436"/>
        <v>0</v>
      </c>
      <c r="AG439" s="497">
        <f t="shared" si="436"/>
        <v>16050</v>
      </c>
      <c r="AH439" s="603">
        <f t="shared" si="436"/>
        <v>16120</v>
      </c>
      <c r="AI439" s="605">
        <f t="shared" si="436"/>
        <v>0</v>
      </c>
      <c r="AJ439" s="495">
        <f t="shared" si="436"/>
        <v>16050</v>
      </c>
      <c r="AK439" s="603">
        <f t="shared" si="436"/>
        <v>16120</v>
      </c>
      <c r="AL439" s="604">
        <f t="shared" si="436"/>
        <v>0</v>
      </c>
      <c r="AM439" s="497">
        <f t="shared" si="436"/>
        <v>16050</v>
      </c>
      <c r="AN439" s="603">
        <f t="shared" si="436"/>
        <v>16121</v>
      </c>
      <c r="AO439" s="475">
        <f t="shared" si="436"/>
        <v>0</v>
      </c>
    </row>
    <row r="440" spans="1:41" x14ac:dyDescent="0.2">
      <c r="A440" s="466" t="s">
        <v>691</v>
      </c>
      <c r="B440" s="467" t="s">
        <v>692</v>
      </c>
      <c r="C440" s="468">
        <f t="shared" si="422"/>
        <v>0</v>
      </c>
      <c r="D440" s="469">
        <f t="shared" si="422"/>
        <v>453</v>
      </c>
      <c r="E440" s="470">
        <f t="shared" si="422"/>
        <v>187</v>
      </c>
      <c r="F440" s="469"/>
      <c r="G440" s="598">
        <v>187</v>
      </c>
      <c r="H440" s="599">
        <v>187</v>
      </c>
      <c r="I440" s="549"/>
      <c r="J440" s="598"/>
      <c r="K440" s="600"/>
      <c r="L440" s="469"/>
      <c r="M440" s="598"/>
      <c r="N440" s="599"/>
      <c r="O440" s="549"/>
      <c r="P440" s="598"/>
      <c r="Q440" s="600"/>
      <c r="R440" s="469"/>
      <c r="S440" s="598"/>
      <c r="T440" s="599"/>
      <c r="U440" s="549"/>
      <c r="V440" s="598"/>
      <c r="W440" s="600"/>
      <c r="X440" s="469"/>
      <c r="Y440" s="598">
        <v>44</v>
      </c>
      <c r="Z440" s="599"/>
      <c r="AA440" s="549"/>
      <c r="AB440" s="598">
        <v>44</v>
      </c>
      <c r="AC440" s="600"/>
      <c r="AD440" s="469"/>
      <c r="AE440" s="598">
        <v>45</v>
      </c>
      <c r="AF440" s="599"/>
      <c r="AG440" s="549"/>
      <c r="AH440" s="598">
        <v>44</v>
      </c>
      <c r="AI440" s="600"/>
      <c r="AJ440" s="469"/>
      <c r="AK440" s="598">
        <v>44</v>
      </c>
      <c r="AL440" s="599"/>
      <c r="AM440" s="549"/>
      <c r="AN440" s="598">
        <v>45</v>
      </c>
      <c r="AO440" s="470"/>
    </row>
    <row r="441" spans="1:41" x14ac:dyDescent="0.2">
      <c r="A441" s="466" t="s">
        <v>693</v>
      </c>
      <c r="B441" s="467" t="s">
        <v>694</v>
      </c>
      <c r="C441" s="468">
        <f t="shared" si="422"/>
        <v>8774</v>
      </c>
      <c r="D441" s="469">
        <f t="shared" si="422"/>
        <v>8321</v>
      </c>
      <c r="E441" s="470">
        <f t="shared" si="422"/>
        <v>0</v>
      </c>
      <c r="F441" s="469">
        <v>8774</v>
      </c>
      <c r="G441" s="598"/>
      <c r="H441" s="599"/>
      <c r="I441" s="549"/>
      <c r="J441" s="598"/>
      <c r="K441" s="600"/>
      <c r="L441" s="469"/>
      <c r="M441" s="598"/>
      <c r="N441" s="599"/>
      <c r="O441" s="549"/>
      <c r="P441" s="598"/>
      <c r="Q441" s="600"/>
      <c r="R441" s="469"/>
      <c r="S441" s="598"/>
      <c r="T441" s="599"/>
      <c r="U441" s="549"/>
      <c r="V441" s="598"/>
      <c r="W441" s="600"/>
      <c r="X441" s="469"/>
      <c r="Y441" s="598">
        <v>8321</v>
      </c>
      <c r="Z441" s="599"/>
      <c r="AA441" s="549"/>
      <c r="AB441" s="598"/>
      <c r="AC441" s="600"/>
      <c r="AD441" s="469"/>
      <c r="AE441" s="598"/>
      <c r="AF441" s="599"/>
      <c r="AG441" s="549"/>
      <c r="AH441" s="598"/>
      <c r="AI441" s="600"/>
      <c r="AJ441" s="469"/>
      <c r="AK441" s="598"/>
      <c r="AL441" s="599"/>
      <c r="AM441" s="549"/>
      <c r="AN441" s="598"/>
      <c r="AO441" s="470"/>
    </row>
    <row r="442" spans="1:41" x14ac:dyDescent="0.2">
      <c r="A442" s="553" t="s">
        <v>695</v>
      </c>
      <c r="B442" s="554" t="s">
        <v>696</v>
      </c>
      <c r="C442" s="468">
        <f t="shared" si="422"/>
        <v>0</v>
      </c>
      <c r="D442" s="469">
        <f t="shared" si="422"/>
        <v>0</v>
      </c>
      <c r="E442" s="470">
        <f t="shared" si="422"/>
        <v>0</v>
      </c>
      <c r="F442" s="640"/>
      <c r="G442" s="598"/>
      <c r="H442" s="599"/>
      <c r="I442" s="641"/>
      <c r="J442" s="598"/>
      <c r="K442" s="600"/>
      <c r="L442" s="640"/>
      <c r="M442" s="598"/>
      <c r="N442" s="599"/>
      <c r="O442" s="641"/>
      <c r="P442" s="598"/>
      <c r="Q442" s="600"/>
      <c r="R442" s="640"/>
      <c r="S442" s="598"/>
      <c r="T442" s="599"/>
      <c r="U442" s="641"/>
      <c r="V442" s="598"/>
      <c r="W442" s="600"/>
      <c r="X442" s="640"/>
      <c r="Y442" s="598"/>
      <c r="Z442" s="599"/>
      <c r="AA442" s="641"/>
      <c r="AB442" s="598"/>
      <c r="AC442" s="600"/>
      <c r="AD442" s="640"/>
      <c r="AE442" s="598"/>
      <c r="AF442" s="599"/>
      <c r="AG442" s="641"/>
      <c r="AH442" s="598"/>
      <c r="AI442" s="600"/>
      <c r="AJ442" s="640"/>
      <c r="AK442" s="598"/>
      <c r="AL442" s="599"/>
      <c r="AM442" s="641"/>
      <c r="AN442" s="598"/>
      <c r="AO442" s="470"/>
    </row>
    <row r="443" spans="1:41" x14ac:dyDescent="0.2">
      <c r="A443" s="471" t="s">
        <v>667</v>
      </c>
      <c r="B443" s="472" t="s">
        <v>697</v>
      </c>
      <c r="C443" s="473">
        <f t="shared" si="422"/>
        <v>8774</v>
      </c>
      <c r="D443" s="474">
        <f t="shared" si="422"/>
        <v>8774</v>
      </c>
      <c r="E443" s="475">
        <f t="shared" si="422"/>
        <v>187</v>
      </c>
      <c r="F443" s="474">
        <f>SUM(F440:F442)</f>
        <v>8774</v>
      </c>
      <c r="G443" s="603">
        <f t="shared" ref="G443:AO443" si="437">SUM(G440:G442)</f>
        <v>187</v>
      </c>
      <c r="H443" s="604">
        <f t="shared" si="437"/>
        <v>187</v>
      </c>
      <c r="I443" s="477">
        <f t="shared" si="437"/>
        <v>0</v>
      </c>
      <c r="J443" s="603">
        <f t="shared" si="437"/>
        <v>0</v>
      </c>
      <c r="K443" s="605">
        <f t="shared" si="437"/>
        <v>0</v>
      </c>
      <c r="L443" s="474">
        <f t="shared" si="437"/>
        <v>0</v>
      </c>
      <c r="M443" s="603">
        <f t="shared" si="437"/>
        <v>0</v>
      </c>
      <c r="N443" s="604">
        <f t="shared" si="437"/>
        <v>0</v>
      </c>
      <c r="O443" s="477">
        <f t="shared" si="437"/>
        <v>0</v>
      </c>
      <c r="P443" s="603">
        <f t="shared" si="437"/>
        <v>0</v>
      </c>
      <c r="Q443" s="605">
        <f t="shared" si="437"/>
        <v>0</v>
      </c>
      <c r="R443" s="474">
        <f t="shared" si="437"/>
        <v>0</v>
      </c>
      <c r="S443" s="603">
        <f t="shared" si="437"/>
        <v>0</v>
      </c>
      <c r="T443" s="604">
        <f t="shared" si="437"/>
        <v>0</v>
      </c>
      <c r="U443" s="477">
        <f t="shared" si="437"/>
        <v>0</v>
      </c>
      <c r="V443" s="603">
        <f t="shared" si="437"/>
        <v>0</v>
      </c>
      <c r="W443" s="605">
        <f t="shared" si="437"/>
        <v>0</v>
      </c>
      <c r="X443" s="474">
        <f t="shared" si="437"/>
        <v>0</v>
      </c>
      <c r="Y443" s="603">
        <f t="shared" si="437"/>
        <v>8365</v>
      </c>
      <c r="Z443" s="604">
        <f t="shared" si="437"/>
        <v>0</v>
      </c>
      <c r="AA443" s="477">
        <f t="shared" si="437"/>
        <v>0</v>
      </c>
      <c r="AB443" s="603">
        <f t="shared" si="437"/>
        <v>44</v>
      </c>
      <c r="AC443" s="605">
        <f t="shared" si="437"/>
        <v>0</v>
      </c>
      <c r="AD443" s="474">
        <f t="shared" si="437"/>
        <v>0</v>
      </c>
      <c r="AE443" s="603">
        <f t="shared" si="437"/>
        <v>45</v>
      </c>
      <c r="AF443" s="604">
        <f t="shared" si="437"/>
        <v>0</v>
      </c>
      <c r="AG443" s="477">
        <f t="shared" si="437"/>
        <v>0</v>
      </c>
      <c r="AH443" s="603">
        <f t="shared" si="437"/>
        <v>44</v>
      </c>
      <c r="AI443" s="605">
        <f t="shared" si="437"/>
        <v>0</v>
      </c>
      <c r="AJ443" s="474">
        <f t="shared" si="437"/>
        <v>0</v>
      </c>
      <c r="AK443" s="603">
        <f t="shared" si="437"/>
        <v>44</v>
      </c>
      <c r="AL443" s="604">
        <f t="shared" si="437"/>
        <v>0</v>
      </c>
      <c r="AM443" s="477">
        <f t="shared" si="437"/>
        <v>0</v>
      </c>
      <c r="AN443" s="603">
        <f t="shared" si="437"/>
        <v>45</v>
      </c>
      <c r="AO443" s="475">
        <f t="shared" si="437"/>
        <v>0</v>
      </c>
    </row>
    <row r="444" spans="1:41" x14ac:dyDescent="0.2">
      <c r="A444" s="505" t="s">
        <v>698</v>
      </c>
      <c r="B444" s="506" t="s">
        <v>699</v>
      </c>
      <c r="C444" s="473">
        <f t="shared" si="422"/>
        <v>0</v>
      </c>
      <c r="D444" s="474">
        <f t="shared" si="422"/>
        <v>0</v>
      </c>
      <c r="E444" s="475">
        <f t="shared" si="422"/>
        <v>0</v>
      </c>
      <c r="F444" s="642"/>
      <c r="G444" s="603"/>
      <c r="H444" s="604"/>
      <c r="I444" s="643"/>
      <c r="J444" s="603"/>
      <c r="K444" s="605"/>
      <c r="L444" s="644"/>
      <c r="M444" s="603"/>
      <c r="N444" s="604"/>
      <c r="O444" s="643"/>
      <c r="P444" s="603"/>
      <c r="Q444" s="605"/>
      <c r="R444" s="644"/>
      <c r="S444" s="603"/>
      <c r="T444" s="604"/>
      <c r="U444" s="643"/>
      <c r="V444" s="603"/>
      <c r="W444" s="605"/>
      <c r="X444" s="644"/>
      <c r="Y444" s="603"/>
      <c r="Z444" s="604"/>
      <c r="AA444" s="643"/>
      <c r="AB444" s="603"/>
      <c r="AC444" s="605"/>
      <c r="AD444" s="644"/>
      <c r="AE444" s="603"/>
      <c r="AF444" s="604"/>
      <c r="AG444" s="643"/>
      <c r="AH444" s="603"/>
      <c r="AI444" s="605"/>
      <c r="AJ444" s="644"/>
      <c r="AK444" s="603"/>
      <c r="AL444" s="604"/>
      <c r="AM444" s="643"/>
      <c r="AN444" s="603"/>
      <c r="AO444" s="475"/>
    </row>
    <row r="445" spans="1:41" x14ac:dyDescent="0.2">
      <c r="A445" s="471" t="s">
        <v>700</v>
      </c>
      <c r="B445" s="472" t="s">
        <v>689</v>
      </c>
      <c r="C445" s="473">
        <f t="shared" si="422"/>
        <v>0</v>
      </c>
      <c r="D445" s="474">
        <f t="shared" si="422"/>
        <v>0</v>
      </c>
      <c r="E445" s="475">
        <f t="shared" si="422"/>
        <v>0</v>
      </c>
      <c r="F445" s="474"/>
      <c r="G445" s="603">
        <f t="shared" ref="G445:H445" si="438">SUM(G468+G508+G548+G588+G628+G668+G728)</f>
        <v>0</v>
      </c>
      <c r="H445" s="604">
        <f t="shared" si="438"/>
        <v>0</v>
      </c>
      <c r="I445" s="477"/>
      <c r="J445" s="603">
        <f t="shared" ref="J445:K445" si="439">SUM(J468+J508+J548+J588+J628+J668+J728)</f>
        <v>0</v>
      </c>
      <c r="K445" s="605">
        <f t="shared" si="439"/>
        <v>0</v>
      </c>
      <c r="L445" s="474"/>
      <c r="M445" s="603">
        <f t="shared" ref="M445:N445" si="440">SUM(M468+M508+M548+M588+M628+M668+M728)</f>
        <v>0</v>
      </c>
      <c r="N445" s="604">
        <f t="shared" si="440"/>
        <v>0</v>
      </c>
      <c r="O445" s="477"/>
      <c r="P445" s="603">
        <f t="shared" ref="P445:Q445" si="441">SUM(P468+P508+P548+P588+P628+P668+P728)</f>
        <v>0</v>
      </c>
      <c r="Q445" s="605">
        <f t="shared" si="441"/>
        <v>0</v>
      </c>
      <c r="R445" s="474"/>
      <c r="S445" s="603">
        <f t="shared" ref="S445:T445" si="442">SUM(S468+S508+S548+S588+S628+S668+S728)</f>
        <v>0</v>
      </c>
      <c r="T445" s="604">
        <f t="shared" si="442"/>
        <v>0</v>
      </c>
      <c r="U445" s="477"/>
      <c r="V445" s="603">
        <f t="shared" ref="V445:W445" si="443">SUM(V468+V508+V548+V588+V628+V668+V728)</f>
        <v>0</v>
      </c>
      <c r="W445" s="605">
        <f t="shared" si="443"/>
        <v>0</v>
      </c>
      <c r="X445" s="474"/>
      <c r="Y445" s="603">
        <f t="shared" ref="Y445:Z445" si="444">SUM(Y468+Y508+Y548+Y588+Y628+Y668+Y728)</f>
        <v>0</v>
      </c>
      <c r="Z445" s="604">
        <f t="shared" si="444"/>
        <v>0</v>
      </c>
      <c r="AA445" s="477"/>
      <c r="AB445" s="603">
        <f t="shared" ref="AB445:AC445" si="445">SUM(AB468+AB508+AB548+AB588+AB628+AB668+AB728)</f>
        <v>0</v>
      </c>
      <c r="AC445" s="605">
        <f t="shared" si="445"/>
        <v>0</v>
      </c>
      <c r="AD445" s="474"/>
      <c r="AE445" s="603">
        <f t="shared" ref="AE445:AF445" si="446">SUM(AE468+AE508+AE548+AE588+AE628+AE668+AE728)</f>
        <v>0</v>
      </c>
      <c r="AF445" s="604">
        <f t="shared" si="446"/>
        <v>0</v>
      </c>
      <c r="AG445" s="477"/>
      <c r="AH445" s="603">
        <f t="shared" ref="AH445:AI445" si="447">SUM(AH468+AH508+AH548+AH588+AH628+AH668+AH728)</f>
        <v>0</v>
      </c>
      <c r="AI445" s="605">
        <f t="shared" si="447"/>
        <v>0</v>
      </c>
      <c r="AJ445" s="474"/>
      <c r="AK445" s="603">
        <f t="shared" ref="AK445:AL445" si="448">SUM(AK468+AK508+AK548+AK588+AK628+AK668+AK728)</f>
        <v>0</v>
      </c>
      <c r="AL445" s="604">
        <f t="shared" si="448"/>
        <v>0</v>
      </c>
      <c r="AM445" s="477"/>
      <c r="AN445" s="603">
        <f t="shared" ref="AN445:AO445" si="449">SUM(AN468+AN508+AN548+AN588+AN628+AN668+AN728)</f>
        <v>0</v>
      </c>
      <c r="AO445" s="475">
        <f t="shared" si="449"/>
        <v>0</v>
      </c>
    </row>
    <row r="446" spans="1:41" ht="15" thickBot="1" x14ac:dyDescent="0.25">
      <c r="A446" s="555" t="s">
        <v>672</v>
      </c>
      <c r="B446" s="556" t="s">
        <v>701</v>
      </c>
      <c r="C446" s="557">
        <f t="shared" si="422"/>
        <v>8774</v>
      </c>
      <c r="D446" s="510">
        <f t="shared" si="422"/>
        <v>8774</v>
      </c>
      <c r="E446" s="558">
        <f t="shared" si="422"/>
        <v>187</v>
      </c>
      <c r="F446" s="510">
        <f>SUM(F443,F444,F445)</f>
        <v>8774</v>
      </c>
      <c r="G446" s="610">
        <f t="shared" ref="G446:AO446" si="450">SUM(G443,G444,G445)</f>
        <v>187</v>
      </c>
      <c r="H446" s="611">
        <f t="shared" si="450"/>
        <v>187</v>
      </c>
      <c r="I446" s="512">
        <f t="shared" si="450"/>
        <v>0</v>
      </c>
      <c r="J446" s="610">
        <f t="shared" si="450"/>
        <v>0</v>
      </c>
      <c r="K446" s="612">
        <f t="shared" si="450"/>
        <v>0</v>
      </c>
      <c r="L446" s="510">
        <f t="shared" si="450"/>
        <v>0</v>
      </c>
      <c r="M446" s="610">
        <f t="shared" si="450"/>
        <v>0</v>
      </c>
      <c r="N446" s="611">
        <f t="shared" si="450"/>
        <v>0</v>
      </c>
      <c r="O446" s="512">
        <f t="shared" si="450"/>
        <v>0</v>
      </c>
      <c r="P446" s="610">
        <f t="shared" si="450"/>
        <v>0</v>
      </c>
      <c r="Q446" s="612">
        <f t="shared" si="450"/>
        <v>0</v>
      </c>
      <c r="R446" s="510">
        <f t="shared" si="450"/>
        <v>0</v>
      </c>
      <c r="S446" s="610">
        <f t="shared" si="450"/>
        <v>0</v>
      </c>
      <c r="T446" s="611">
        <f t="shared" si="450"/>
        <v>0</v>
      </c>
      <c r="U446" s="512">
        <f t="shared" si="450"/>
        <v>0</v>
      </c>
      <c r="V446" s="610">
        <f t="shared" si="450"/>
        <v>0</v>
      </c>
      <c r="W446" s="612">
        <f t="shared" si="450"/>
        <v>0</v>
      </c>
      <c r="X446" s="510">
        <f t="shared" si="450"/>
        <v>0</v>
      </c>
      <c r="Y446" s="610">
        <f t="shared" si="450"/>
        <v>8365</v>
      </c>
      <c r="Z446" s="611">
        <f t="shared" si="450"/>
        <v>0</v>
      </c>
      <c r="AA446" s="512">
        <f t="shared" si="450"/>
        <v>0</v>
      </c>
      <c r="AB446" s="610">
        <f t="shared" si="450"/>
        <v>44</v>
      </c>
      <c r="AC446" s="612">
        <f t="shared" si="450"/>
        <v>0</v>
      </c>
      <c r="AD446" s="510">
        <f t="shared" si="450"/>
        <v>0</v>
      </c>
      <c r="AE446" s="610">
        <f t="shared" si="450"/>
        <v>45</v>
      </c>
      <c r="AF446" s="611">
        <f t="shared" si="450"/>
        <v>0</v>
      </c>
      <c r="AG446" s="512">
        <f t="shared" si="450"/>
        <v>0</v>
      </c>
      <c r="AH446" s="610">
        <f t="shared" si="450"/>
        <v>44</v>
      </c>
      <c r="AI446" s="612">
        <f t="shared" si="450"/>
        <v>0</v>
      </c>
      <c r="AJ446" s="510">
        <f t="shared" si="450"/>
        <v>0</v>
      </c>
      <c r="AK446" s="610">
        <f t="shared" si="450"/>
        <v>44</v>
      </c>
      <c r="AL446" s="611">
        <f t="shared" si="450"/>
        <v>0</v>
      </c>
      <c r="AM446" s="514">
        <f t="shared" si="450"/>
        <v>0</v>
      </c>
      <c r="AN446" s="610">
        <f t="shared" si="450"/>
        <v>45</v>
      </c>
      <c r="AO446" s="509">
        <f t="shared" si="450"/>
        <v>0</v>
      </c>
    </row>
    <row r="447" spans="1:41" ht="15" thickBot="1" x14ac:dyDescent="0.25">
      <c r="A447" s="560" t="s">
        <v>702</v>
      </c>
      <c r="B447" s="561" t="s">
        <v>703</v>
      </c>
      <c r="C447" s="645">
        <f>SUM(F447,I447,L447,O447,R447,U447,X447,AA447,AD447,AG447,AJ447,AM447)</f>
        <v>201373</v>
      </c>
      <c r="D447" s="646">
        <f t="shared" ref="D447:E450" si="451">SUM(G447,J447,M447,P447,S447,V447,Y447,AB447,AE447,AH447,AK447,AN447)</f>
        <v>204763</v>
      </c>
      <c r="E447" s="574">
        <f t="shared" si="451"/>
        <v>96065</v>
      </c>
      <c r="F447" s="564">
        <f>SUM(F439,F446)</f>
        <v>24823</v>
      </c>
      <c r="G447" s="564">
        <f t="shared" ref="G447:AO447" si="452">SUM(G439,G446)</f>
        <v>21592</v>
      </c>
      <c r="H447" s="565">
        <f t="shared" si="452"/>
        <v>21592</v>
      </c>
      <c r="I447" s="566">
        <f t="shared" si="452"/>
        <v>16050</v>
      </c>
      <c r="J447" s="564">
        <f t="shared" si="452"/>
        <v>16023</v>
      </c>
      <c r="K447" s="567">
        <f t="shared" si="452"/>
        <v>16023</v>
      </c>
      <c r="L447" s="564">
        <f t="shared" si="452"/>
        <v>16050</v>
      </c>
      <c r="M447" s="564">
        <f t="shared" si="452"/>
        <v>7144</v>
      </c>
      <c r="N447" s="565">
        <f t="shared" si="452"/>
        <v>7144</v>
      </c>
      <c r="O447" s="566">
        <f t="shared" si="452"/>
        <v>16050</v>
      </c>
      <c r="P447" s="564">
        <f t="shared" si="452"/>
        <v>17243</v>
      </c>
      <c r="Q447" s="567">
        <f t="shared" si="452"/>
        <v>17243</v>
      </c>
      <c r="R447" s="564">
        <f t="shared" si="452"/>
        <v>16050</v>
      </c>
      <c r="S447" s="564">
        <f t="shared" si="452"/>
        <v>15801</v>
      </c>
      <c r="T447" s="565">
        <f t="shared" si="452"/>
        <v>15801</v>
      </c>
      <c r="U447" s="566">
        <f t="shared" si="452"/>
        <v>16050</v>
      </c>
      <c r="V447" s="564">
        <f t="shared" si="452"/>
        <v>18262</v>
      </c>
      <c r="W447" s="567">
        <f t="shared" si="452"/>
        <v>18262</v>
      </c>
      <c r="X447" s="564">
        <f t="shared" si="452"/>
        <v>16050</v>
      </c>
      <c r="Y447" s="564">
        <f t="shared" si="452"/>
        <v>27874</v>
      </c>
      <c r="Z447" s="565">
        <f t="shared" si="452"/>
        <v>0</v>
      </c>
      <c r="AA447" s="566">
        <f t="shared" si="452"/>
        <v>16050</v>
      </c>
      <c r="AB447" s="564">
        <f t="shared" si="452"/>
        <v>16165</v>
      </c>
      <c r="AC447" s="567">
        <f t="shared" si="452"/>
        <v>0</v>
      </c>
      <c r="AD447" s="564">
        <f t="shared" si="452"/>
        <v>16050</v>
      </c>
      <c r="AE447" s="564">
        <f t="shared" si="452"/>
        <v>16165</v>
      </c>
      <c r="AF447" s="565">
        <f t="shared" si="452"/>
        <v>0</v>
      </c>
      <c r="AG447" s="566">
        <f t="shared" si="452"/>
        <v>16050</v>
      </c>
      <c r="AH447" s="564">
        <f t="shared" si="452"/>
        <v>16164</v>
      </c>
      <c r="AI447" s="567">
        <f t="shared" si="452"/>
        <v>0</v>
      </c>
      <c r="AJ447" s="564">
        <f t="shared" si="452"/>
        <v>16050</v>
      </c>
      <c r="AK447" s="564">
        <f t="shared" si="452"/>
        <v>16164</v>
      </c>
      <c r="AL447" s="565">
        <f t="shared" si="452"/>
        <v>0</v>
      </c>
      <c r="AM447" s="566">
        <f t="shared" si="452"/>
        <v>16050</v>
      </c>
      <c r="AN447" s="647">
        <f t="shared" si="452"/>
        <v>16166</v>
      </c>
      <c r="AO447" s="590">
        <f t="shared" si="452"/>
        <v>0</v>
      </c>
    </row>
    <row r="448" spans="1:41" ht="15" thickBot="1" x14ac:dyDescent="0.25">
      <c r="A448" s="569"/>
      <c r="B448" s="570" t="s">
        <v>1334</v>
      </c>
      <c r="C448" s="571"/>
      <c r="D448" s="572"/>
      <c r="E448" s="573">
        <f t="shared" si="451"/>
        <v>1621</v>
      </c>
      <c r="F448" s="571"/>
      <c r="G448" s="572"/>
      <c r="H448" s="627"/>
      <c r="I448" s="531"/>
      <c r="J448" s="572"/>
      <c r="K448" s="628"/>
      <c r="L448" s="530"/>
      <c r="M448" s="572"/>
      <c r="N448" s="627"/>
      <c r="O448" s="531"/>
      <c r="P448" s="572"/>
      <c r="Q448" s="628"/>
      <c r="R448" s="530"/>
      <c r="S448" s="572"/>
      <c r="T448" s="627"/>
      <c r="U448" s="531"/>
      <c r="V448" s="572"/>
      <c r="W448" s="628">
        <v>1621</v>
      </c>
      <c r="X448" s="530"/>
      <c r="Y448" s="572"/>
      <c r="Z448" s="627"/>
      <c r="AA448" s="531"/>
      <c r="AB448" s="572"/>
      <c r="AC448" s="628"/>
      <c r="AD448" s="530"/>
      <c r="AE448" s="572"/>
      <c r="AF448" s="627"/>
      <c r="AG448" s="531"/>
      <c r="AH448" s="572"/>
      <c r="AI448" s="628"/>
      <c r="AJ448" s="530"/>
      <c r="AK448" s="572"/>
      <c r="AL448" s="627"/>
      <c r="AM448" s="531"/>
      <c r="AN448" s="572"/>
      <c r="AO448" s="573"/>
    </row>
    <row r="449" spans="1:42" ht="15" thickBot="1" x14ac:dyDescent="0.25">
      <c r="A449" s="575"/>
      <c r="B449" s="576" t="s">
        <v>1335</v>
      </c>
      <c r="C449" s="528"/>
      <c r="D449" s="577"/>
      <c r="E449" s="563">
        <f t="shared" si="451"/>
        <v>97686</v>
      </c>
      <c r="F449" s="528"/>
      <c r="G449" s="577"/>
      <c r="H449" s="578">
        <f>SUM(H447:H448)</f>
        <v>21592</v>
      </c>
      <c r="I449" s="579"/>
      <c r="J449" s="577"/>
      <c r="K449" s="580">
        <f>SUM(K447:K448)</f>
        <v>16023</v>
      </c>
      <c r="L449" s="529"/>
      <c r="M449" s="577"/>
      <c r="N449" s="578">
        <f>SUM(N447:N448)</f>
        <v>7144</v>
      </c>
      <c r="O449" s="579"/>
      <c r="P449" s="577"/>
      <c r="Q449" s="580">
        <f>SUM(Q447:Q448)</f>
        <v>17243</v>
      </c>
      <c r="R449" s="529"/>
      <c r="S449" s="577"/>
      <c r="T449" s="578">
        <f>SUM(T447:T448)</f>
        <v>15801</v>
      </c>
      <c r="U449" s="579"/>
      <c r="V449" s="577"/>
      <c r="W449" s="580">
        <f>SUM(W447:W448)</f>
        <v>19883</v>
      </c>
      <c r="X449" s="529"/>
      <c r="Y449" s="577"/>
      <c r="Z449" s="578">
        <f>SUM(Z447:Z448)</f>
        <v>0</v>
      </c>
      <c r="AA449" s="579"/>
      <c r="AB449" s="577"/>
      <c r="AC449" s="580">
        <f>SUM(AC447:AC448)</f>
        <v>0</v>
      </c>
      <c r="AD449" s="529"/>
      <c r="AE449" s="577"/>
      <c r="AF449" s="578">
        <f>SUM(AF447:AF448)</f>
        <v>0</v>
      </c>
      <c r="AG449" s="579"/>
      <c r="AH449" s="577"/>
      <c r="AI449" s="580">
        <f>SUM(AI447:AI448)</f>
        <v>0</v>
      </c>
      <c r="AJ449" s="529"/>
      <c r="AK449" s="577"/>
      <c r="AL449" s="578">
        <f>SUM(AL447:AL448)</f>
        <v>0</v>
      </c>
      <c r="AM449" s="579"/>
      <c r="AN449" s="577"/>
      <c r="AO449" s="563">
        <f>SUM(AO447:AO448)</f>
        <v>0</v>
      </c>
    </row>
    <row r="450" spans="1:42" s="525" customFormat="1" ht="15" customHeight="1" thickBot="1" x14ac:dyDescent="0.25">
      <c r="A450" s="581"/>
      <c r="B450" s="582" t="s">
        <v>1336</v>
      </c>
      <c r="C450" s="583"/>
      <c r="D450" s="584"/>
      <c r="E450" s="563">
        <f t="shared" si="451"/>
        <v>33351</v>
      </c>
      <c r="F450" s="583"/>
      <c r="G450" s="584"/>
      <c r="H450" s="585">
        <f>SUM(H428-H449)</f>
        <v>23475</v>
      </c>
      <c r="I450" s="586"/>
      <c r="J450" s="584"/>
      <c r="K450" s="587">
        <f>SUM(K428-K449)</f>
        <v>735</v>
      </c>
      <c r="L450" s="588"/>
      <c r="M450" s="584"/>
      <c r="N450" s="585">
        <f>SUM(N428-N449)</f>
        <v>1671</v>
      </c>
      <c r="O450" s="586"/>
      <c r="P450" s="584"/>
      <c r="Q450" s="587">
        <f>SUM(Q428-Q449)</f>
        <v>7485</v>
      </c>
      <c r="R450" s="588"/>
      <c r="S450" s="584"/>
      <c r="T450" s="585">
        <f>SUM(T428-T449)</f>
        <v>-3728</v>
      </c>
      <c r="U450" s="586"/>
      <c r="V450" s="584"/>
      <c r="W450" s="587">
        <f>SUM(W428-W449)</f>
        <v>3713</v>
      </c>
      <c r="X450" s="588"/>
      <c r="Y450" s="584"/>
      <c r="Z450" s="585">
        <f>SUM(Z428-Z449)</f>
        <v>0</v>
      </c>
      <c r="AA450" s="586"/>
      <c r="AB450" s="584"/>
      <c r="AC450" s="587">
        <f>SUM(AC428-AC449)</f>
        <v>0</v>
      </c>
      <c r="AD450" s="588"/>
      <c r="AE450" s="584"/>
      <c r="AF450" s="585">
        <f>SUM(AF428-AF449)</f>
        <v>0</v>
      </c>
      <c r="AG450" s="586"/>
      <c r="AH450" s="584"/>
      <c r="AI450" s="587">
        <f>SUM(AI428-AI449)</f>
        <v>0</v>
      </c>
      <c r="AJ450" s="588"/>
      <c r="AK450" s="584"/>
      <c r="AL450" s="585">
        <f>SUM(AL428-AL449)</f>
        <v>0</v>
      </c>
      <c r="AM450" s="586"/>
      <c r="AN450" s="589"/>
      <c r="AO450" s="590">
        <f>SUM(AO428-AO449)</f>
        <v>0</v>
      </c>
      <c r="AP450" s="479"/>
    </row>
  </sheetData>
  <mergeCells count="199">
    <mergeCell ref="J1:AB1"/>
    <mergeCell ref="A3:A4"/>
    <mergeCell ref="B3:B4"/>
    <mergeCell ref="C3:C4"/>
    <mergeCell ref="D3:D4"/>
    <mergeCell ref="E3:E4"/>
    <mergeCell ref="F3:H3"/>
    <mergeCell ref="I3:K3"/>
    <mergeCell ref="L3:N3"/>
    <mergeCell ref="O3:Q3"/>
    <mergeCell ref="AJ3:AL3"/>
    <mergeCell ref="AM3:AO3"/>
    <mergeCell ref="F23:H23"/>
    <mergeCell ref="I23:K23"/>
    <mergeCell ref="L23:N23"/>
    <mergeCell ref="O23:Q23"/>
    <mergeCell ref="R23:T23"/>
    <mergeCell ref="U23:W23"/>
    <mergeCell ref="X23:Z23"/>
    <mergeCell ref="AA23:AC23"/>
    <mergeCell ref="R3:T3"/>
    <mergeCell ref="U3:W3"/>
    <mergeCell ref="X3:Z3"/>
    <mergeCell ref="AA3:AC3"/>
    <mergeCell ref="AD3:AF3"/>
    <mergeCell ref="AG3:AI3"/>
    <mergeCell ref="AD23:AF23"/>
    <mergeCell ref="AG23:AI23"/>
    <mergeCell ref="AJ23:AL23"/>
    <mergeCell ref="AM23:AO23"/>
    <mergeCell ref="J47:AC47"/>
    <mergeCell ref="A49:A50"/>
    <mergeCell ref="B49:B50"/>
    <mergeCell ref="C49:C50"/>
    <mergeCell ref="D49:D50"/>
    <mergeCell ref="E49:E50"/>
    <mergeCell ref="X49:Z49"/>
    <mergeCell ref="AA49:AC49"/>
    <mergeCell ref="AD49:AF49"/>
    <mergeCell ref="AG49:AI49"/>
    <mergeCell ref="AJ49:AL49"/>
    <mergeCell ref="AM49:AO49"/>
    <mergeCell ref="F49:H49"/>
    <mergeCell ref="I49:K49"/>
    <mergeCell ref="L49:N49"/>
    <mergeCell ref="O49:Q49"/>
    <mergeCell ref="R49:T49"/>
    <mergeCell ref="U49:W49"/>
    <mergeCell ref="J92:AC92"/>
    <mergeCell ref="A94:A95"/>
    <mergeCell ref="B94:B95"/>
    <mergeCell ref="C94:C95"/>
    <mergeCell ref="D94:D95"/>
    <mergeCell ref="E94:E95"/>
    <mergeCell ref="F94:H94"/>
    <mergeCell ref="I94:K94"/>
    <mergeCell ref="L94:N94"/>
    <mergeCell ref="O94:Q94"/>
    <mergeCell ref="AJ94:AL94"/>
    <mergeCell ref="AM94:AO94"/>
    <mergeCell ref="A137:I137"/>
    <mergeCell ref="J137:AC137"/>
    <mergeCell ref="A139:A140"/>
    <mergeCell ref="B139:B140"/>
    <mergeCell ref="C139:C140"/>
    <mergeCell ref="D139:D140"/>
    <mergeCell ref="E139:E140"/>
    <mergeCell ref="F139:H139"/>
    <mergeCell ref="R94:T94"/>
    <mergeCell ref="U94:W94"/>
    <mergeCell ref="X94:Z94"/>
    <mergeCell ref="AA94:AC94"/>
    <mergeCell ref="AD94:AF94"/>
    <mergeCell ref="AG94:AI94"/>
    <mergeCell ref="AA139:AC139"/>
    <mergeCell ref="AD139:AF139"/>
    <mergeCell ref="AG139:AI139"/>
    <mergeCell ref="AJ139:AL139"/>
    <mergeCell ref="AM139:AO139"/>
    <mergeCell ref="A182:I182"/>
    <mergeCell ref="J182:AC182"/>
    <mergeCell ref="I139:K139"/>
    <mergeCell ref="L139:N139"/>
    <mergeCell ref="O139:Q139"/>
    <mergeCell ref="R139:T139"/>
    <mergeCell ref="U139:W139"/>
    <mergeCell ref="X139:Z139"/>
    <mergeCell ref="AA184:AC184"/>
    <mergeCell ref="AD184:AF184"/>
    <mergeCell ref="AG184:AI184"/>
    <mergeCell ref="AJ184:AL184"/>
    <mergeCell ref="AM184:AO184"/>
    <mergeCell ref="A227:I227"/>
    <mergeCell ref="J227:AC227"/>
    <mergeCell ref="I184:K184"/>
    <mergeCell ref="L184:N184"/>
    <mergeCell ref="O184:Q184"/>
    <mergeCell ref="R184:T184"/>
    <mergeCell ref="U184:W184"/>
    <mergeCell ref="X184:Z184"/>
    <mergeCell ref="A184:A185"/>
    <mergeCell ref="B184:B185"/>
    <mergeCell ref="C184:C185"/>
    <mergeCell ref="D184:D185"/>
    <mergeCell ref="E184:E185"/>
    <mergeCell ref="F184:H184"/>
    <mergeCell ref="AA229:AC229"/>
    <mergeCell ref="AD229:AF229"/>
    <mergeCell ref="AG229:AI229"/>
    <mergeCell ref="AJ229:AL229"/>
    <mergeCell ref="AM229:AO229"/>
    <mergeCell ref="A272:I272"/>
    <mergeCell ref="J272:AC272"/>
    <mergeCell ref="I229:K229"/>
    <mergeCell ref="L229:N229"/>
    <mergeCell ref="O229:Q229"/>
    <mergeCell ref="R229:T229"/>
    <mergeCell ref="U229:W229"/>
    <mergeCell ref="X229:Z229"/>
    <mergeCell ref="A229:A230"/>
    <mergeCell ref="B229:B230"/>
    <mergeCell ref="C229:C230"/>
    <mergeCell ref="D229:D230"/>
    <mergeCell ref="E229:E230"/>
    <mergeCell ref="F229:H229"/>
    <mergeCell ref="AA274:AC274"/>
    <mergeCell ref="AD274:AF274"/>
    <mergeCell ref="AG274:AI274"/>
    <mergeCell ref="AJ274:AL274"/>
    <mergeCell ref="AM274:AO274"/>
    <mergeCell ref="A317:I317"/>
    <mergeCell ref="J317:AC317"/>
    <mergeCell ref="I274:K274"/>
    <mergeCell ref="L274:N274"/>
    <mergeCell ref="O274:Q274"/>
    <mergeCell ref="R274:T274"/>
    <mergeCell ref="U274:W274"/>
    <mergeCell ref="X274:Z274"/>
    <mergeCell ref="A274:A275"/>
    <mergeCell ref="B274:B275"/>
    <mergeCell ref="C274:C275"/>
    <mergeCell ref="D274:D275"/>
    <mergeCell ref="E274:E275"/>
    <mergeCell ref="F274:H274"/>
    <mergeCell ref="AA319:AC319"/>
    <mergeCell ref="AD319:AF319"/>
    <mergeCell ref="AG319:AI319"/>
    <mergeCell ref="AJ319:AL319"/>
    <mergeCell ref="AM319:AO319"/>
    <mergeCell ref="A362:I362"/>
    <mergeCell ref="J362:AC362"/>
    <mergeCell ref="I319:K319"/>
    <mergeCell ref="L319:N319"/>
    <mergeCell ref="O319:Q319"/>
    <mergeCell ref="R319:T319"/>
    <mergeCell ref="U319:W319"/>
    <mergeCell ref="X319:Z319"/>
    <mergeCell ref="A319:A320"/>
    <mergeCell ref="B319:B320"/>
    <mergeCell ref="C319:C320"/>
    <mergeCell ref="D319:D320"/>
    <mergeCell ref="E319:E320"/>
    <mergeCell ref="F319:H319"/>
    <mergeCell ref="AA364:AC364"/>
    <mergeCell ref="AD364:AF364"/>
    <mergeCell ref="AG364:AI364"/>
    <mergeCell ref="AA409:AC409"/>
    <mergeCell ref="AD409:AF409"/>
    <mergeCell ref="AG409:AI409"/>
    <mergeCell ref="AJ364:AL364"/>
    <mergeCell ref="AM364:AO364"/>
    <mergeCell ref="A407:I407"/>
    <mergeCell ref="J407:AC407"/>
    <mergeCell ref="I364:K364"/>
    <mergeCell ref="L364:N364"/>
    <mergeCell ref="O364:Q364"/>
    <mergeCell ref="R364:T364"/>
    <mergeCell ref="U364:W364"/>
    <mergeCell ref="X364:Z364"/>
    <mergeCell ref="A364:A365"/>
    <mergeCell ref="B364:B365"/>
    <mergeCell ref="C364:C365"/>
    <mergeCell ref="D364:D365"/>
    <mergeCell ref="E364:E365"/>
    <mergeCell ref="F364:H364"/>
    <mergeCell ref="AJ409:AL409"/>
    <mergeCell ref="AM409:AO409"/>
    <mergeCell ref="I409:K409"/>
    <mergeCell ref="L409:N409"/>
    <mergeCell ref="O409:Q409"/>
    <mergeCell ref="R409:T409"/>
    <mergeCell ref="U409:W409"/>
    <mergeCell ref="X409:Z409"/>
    <mergeCell ref="A409:A410"/>
    <mergeCell ref="B409:B410"/>
    <mergeCell ref="C409:C410"/>
    <mergeCell ref="D409:D410"/>
    <mergeCell ref="E409:E410"/>
    <mergeCell ref="F409:H409"/>
  </mergeCells>
  <printOptions horizontalCentered="1"/>
  <pageMargins left="0" right="0" top="0.31496062992125984" bottom="0" header="7.874015748031496E-2" footer="0"/>
  <pageSetup paperSize="8" scale="65" orientation="landscape" horizontalDpi="200" verticalDpi="200" r:id="rId1"/>
  <headerFooter>
    <oddHeader>&amp;C&amp;"Arial CE,Félkövér"&amp;12ELŐIRÁNYZAT MÓDOSÍTÁS, TELJESÍTÉS 2015.06.30.</oddHeader>
  </headerFooter>
  <rowBreaks count="4" manualBreakCount="4">
    <brk id="91" max="16383" man="1"/>
    <brk id="181" max="16383" man="1"/>
    <brk id="271" max="16383" man="1"/>
    <brk id="36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B11" sqref="B11:B12"/>
    </sheetView>
  </sheetViews>
  <sheetFormatPr defaultRowHeight="12.75" x14ac:dyDescent="0.2"/>
  <cols>
    <col min="1" max="1" width="3.5703125" style="739" bestFit="1" customWidth="1"/>
    <col min="2" max="2" width="63.28515625" style="739" customWidth="1"/>
    <col min="3" max="3" width="9.7109375" style="272" customWidth="1"/>
    <col min="4" max="4" width="9.5703125" style="272" bestFit="1" customWidth="1"/>
    <col min="5" max="5" width="9" style="272" customWidth="1"/>
    <col min="6" max="16384" width="9.140625" style="739"/>
  </cols>
  <sheetData>
    <row r="1" spans="1:5" x14ac:dyDescent="0.2">
      <c r="E1" s="273" t="s">
        <v>57</v>
      </c>
    </row>
    <row r="3" spans="1:5" x14ac:dyDescent="0.2">
      <c r="A3" s="1037" t="s">
        <v>66</v>
      </c>
      <c r="B3" s="1037"/>
      <c r="C3" s="1037"/>
      <c r="D3" s="1037"/>
      <c r="E3" s="1037"/>
    </row>
    <row r="4" spans="1:5" x14ac:dyDescent="0.2">
      <c r="A4" s="1038" t="s">
        <v>626</v>
      </c>
      <c r="B4" s="1038"/>
      <c r="C4" s="1038"/>
      <c r="D4" s="1038"/>
      <c r="E4" s="1038"/>
    </row>
    <row r="5" spans="1:5" x14ac:dyDescent="0.2">
      <c r="B5" s="439"/>
      <c r="C5" s="274"/>
    </row>
    <row r="6" spans="1:5" x14ac:dyDescent="0.2">
      <c r="E6" s="275" t="s">
        <v>67</v>
      </c>
    </row>
    <row r="7" spans="1:5" ht="24.75" customHeight="1" x14ac:dyDescent="0.2">
      <c r="A7" s="1080" t="s">
        <v>68</v>
      </c>
      <c r="B7" s="1081"/>
      <c r="C7" s="1079" t="s">
        <v>69</v>
      </c>
      <c r="D7" s="1079"/>
      <c r="E7" s="1079"/>
    </row>
    <row r="8" spans="1:5" ht="43.5" customHeight="1" x14ac:dyDescent="0.2">
      <c r="A8" s="1082"/>
      <c r="B8" s="1083"/>
      <c r="C8" s="276" t="s">
        <v>821</v>
      </c>
      <c r="D8" s="276" t="s">
        <v>823</v>
      </c>
      <c r="E8" s="276" t="s">
        <v>822</v>
      </c>
    </row>
    <row r="9" spans="1:5" ht="13.5" customHeight="1" x14ac:dyDescent="0.2">
      <c r="A9" s="1084" t="s">
        <v>107</v>
      </c>
      <c r="B9" s="1074" t="s">
        <v>88</v>
      </c>
      <c r="C9" s="1077">
        <v>1000</v>
      </c>
      <c r="D9" s="1077">
        <v>1000</v>
      </c>
      <c r="E9" s="1077">
        <v>561</v>
      </c>
    </row>
    <row r="10" spans="1:5" ht="13.5" customHeight="1" x14ac:dyDescent="0.2">
      <c r="A10" s="1085"/>
      <c r="B10" s="1074"/>
      <c r="C10" s="1078"/>
      <c r="D10" s="1078"/>
      <c r="E10" s="1078"/>
    </row>
    <row r="11" spans="1:5" ht="13.5" customHeight="1" x14ac:dyDescent="0.2">
      <c r="A11" s="1084" t="s">
        <v>108</v>
      </c>
      <c r="B11" s="1074" t="s">
        <v>89</v>
      </c>
      <c r="C11" s="1076"/>
      <c r="D11" s="1076"/>
      <c r="E11" s="1076"/>
    </row>
    <row r="12" spans="1:5" ht="13.5" customHeight="1" x14ac:dyDescent="0.2">
      <c r="A12" s="1085"/>
      <c r="B12" s="1075"/>
      <c r="C12" s="1076"/>
      <c r="D12" s="1076"/>
      <c r="E12" s="1076"/>
    </row>
    <row r="13" spans="1:5" ht="13.5" customHeight="1" x14ac:dyDescent="0.2">
      <c r="A13" s="772" t="s">
        <v>109</v>
      </c>
      <c r="B13" s="89" t="s">
        <v>70</v>
      </c>
      <c r="C13" s="770"/>
      <c r="D13" s="770"/>
      <c r="E13" s="770"/>
    </row>
    <row r="14" spans="1:5" ht="13.5" customHeight="1" x14ac:dyDescent="0.2">
      <c r="A14" s="772" t="s">
        <v>430</v>
      </c>
      <c r="B14" s="773" t="s">
        <v>61</v>
      </c>
      <c r="C14" s="770"/>
      <c r="D14" s="770"/>
      <c r="E14" s="770"/>
    </row>
    <row r="15" spans="1:5" ht="13.5" customHeight="1" x14ac:dyDescent="0.2">
      <c r="A15" s="772" t="s">
        <v>431</v>
      </c>
      <c r="B15" s="773" t="s">
        <v>71</v>
      </c>
      <c r="C15" s="770"/>
      <c r="D15" s="770"/>
      <c r="E15" s="770"/>
    </row>
    <row r="16" spans="1:5" ht="13.5" customHeight="1" x14ac:dyDescent="0.2">
      <c r="A16" s="772" t="s">
        <v>432</v>
      </c>
      <c r="B16" s="773" t="s">
        <v>72</v>
      </c>
      <c r="C16" s="770"/>
      <c r="D16" s="770"/>
      <c r="E16" s="770"/>
    </row>
    <row r="17" spans="1:5" ht="13.5" customHeight="1" x14ac:dyDescent="0.2">
      <c r="A17" s="772" t="s">
        <v>433</v>
      </c>
      <c r="B17" s="773" t="s">
        <v>73</v>
      </c>
      <c r="C17" s="770"/>
      <c r="D17" s="770"/>
      <c r="E17" s="770"/>
    </row>
    <row r="18" spans="1:5" ht="13.5" customHeight="1" x14ac:dyDescent="0.2">
      <c r="A18" s="772" t="s">
        <v>434</v>
      </c>
      <c r="B18" s="773" t="s">
        <v>74</v>
      </c>
      <c r="C18" s="770"/>
      <c r="D18" s="770"/>
      <c r="E18" s="770"/>
    </row>
    <row r="19" spans="1:5" ht="13.5" customHeight="1" x14ac:dyDescent="0.2">
      <c r="A19" s="772" t="s">
        <v>435</v>
      </c>
      <c r="B19" s="773" t="s">
        <v>75</v>
      </c>
      <c r="C19" s="770"/>
      <c r="D19" s="770"/>
      <c r="E19" s="770"/>
    </row>
    <row r="20" spans="1:5" ht="13.5" customHeight="1" x14ac:dyDescent="0.2">
      <c r="A20" s="772" t="s">
        <v>436</v>
      </c>
      <c r="B20" s="773" t="s">
        <v>76</v>
      </c>
      <c r="C20" s="770"/>
      <c r="D20" s="770"/>
      <c r="E20" s="770"/>
    </row>
    <row r="21" spans="1:5" ht="13.5" customHeight="1" x14ac:dyDescent="0.2">
      <c r="A21" s="772" t="s">
        <v>437</v>
      </c>
      <c r="B21" s="774" t="s">
        <v>77</v>
      </c>
      <c r="C21" s="770"/>
      <c r="D21" s="770"/>
      <c r="E21" s="770"/>
    </row>
    <row r="22" spans="1:5" ht="13.5" customHeight="1" x14ac:dyDescent="0.2">
      <c r="A22" s="772" t="s">
        <v>438</v>
      </c>
      <c r="B22" s="774" t="s">
        <v>83</v>
      </c>
      <c r="C22" s="770"/>
      <c r="D22" s="770"/>
      <c r="E22" s="770"/>
    </row>
    <row r="23" spans="1:5" ht="13.5" customHeight="1" x14ac:dyDescent="0.2">
      <c r="A23" s="772" t="s">
        <v>439</v>
      </c>
      <c r="B23" s="775" t="s">
        <v>82</v>
      </c>
      <c r="C23" s="770">
        <v>7742</v>
      </c>
      <c r="D23" s="770">
        <v>7742</v>
      </c>
      <c r="E23" s="770">
        <v>6302</v>
      </c>
    </row>
    <row r="24" spans="1:5" ht="13.5" customHeight="1" x14ac:dyDescent="0.2">
      <c r="A24" s="772" t="s">
        <v>440</v>
      </c>
      <c r="B24" s="89" t="s">
        <v>78</v>
      </c>
      <c r="C24" s="770"/>
      <c r="D24" s="770"/>
      <c r="E24" s="770"/>
    </row>
    <row r="25" spans="1:5" ht="13.5" customHeight="1" x14ac:dyDescent="0.2">
      <c r="A25" s="772" t="s">
        <v>441</v>
      </c>
      <c r="B25" s="773" t="s">
        <v>61</v>
      </c>
      <c r="C25" s="770"/>
      <c r="D25" s="770"/>
      <c r="E25" s="770"/>
    </row>
    <row r="26" spans="1:5" ht="13.5" customHeight="1" x14ac:dyDescent="0.2">
      <c r="A26" s="772" t="s">
        <v>442</v>
      </c>
      <c r="B26" s="773" t="s">
        <v>71</v>
      </c>
      <c r="C26" s="770"/>
      <c r="D26" s="770"/>
      <c r="E26" s="770"/>
    </row>
    <row r="27" spans="1:5" ht="13.5" customHeight="1" x14ac:dyDescent="0.2">
      <c r="A27" s="772" t="s">
        <v>443</v>
      </c>
      <c r="B27" s="773" t="s">
        <v>72</v>
      </c>
      <c r="C27" s="770"/>
      <c r="D27" s="770"/>
      <c r="E27" s="770"/>
    </row>
    <row r="28" spans="1:5" ht="13.5" customHeight="1" x14ac:dyDescent="0.2">
      <c r="A28" s="772" t="s">
        <v>444</v>
      </c>
      <c r="B28" s="773" t="s">
        <v>73</v>
      </c>
      <c r="C28" s="770"/>
      <c r="D28" s="770"/>
      <c r="E28" s="770"/>
    </row>
    <row r="29" spans="1:5" ht="13.5" customHeight="1" x14ac:dyDescent="0.2">
      <c r="A29" s="772" t="s">
        <v>445</v>
      </c>
      <c r="B29" s="773" t="s">
        <v>74</v>
      </c>
      <c r="C29" s="770"/>
      <c r="D29" s="770"/>
      <c r="E29" s="770"/>
    </row>
    <row r="30" spans="1:5" ht="13.5" customHeight="1" x14ac:dyDescent="0.2">
      <c r="A30" s="772" t="s">
        <v>446</v>
      </c>
      <c r="B30" s="773" t="s">
        <v>75</v>
      </c>
      <c r="C30" s="770"/>
      <c r="D30" s="770"/>
      <c r="E30" s="770"/>
    </row>
    <row r="31" spans="1:5" ht="13.5" customHeight="1" x14ac:dyDescent="0.2">
      <c r="A31" s="772" t="s">
        <v>447</v>
      </c>
      <c r="B31" s="773" t="s">
        <v>76</v>
      </c>
      <c r="C31" s="770"/>
      <c r="D31" s="770"/>
      <c r="E31" s="770"/>
    </row>
    <row r="32" spans="1:5" ht="13.5" customHeight="1" x14ac:dyDescent="0.2">
      <c r="A32" s="772" t="s">
        <v>448</v>
      </c>
      <c r="B32" s="774" t="s">
        <v>77</v>
      </c>
      <c r="C32" s="770"/>
      <c r="D32" s="770"/>
      <c r="E32" s="770"/>
    </row>
    <row r="33" spans="1:5" ht="13.5" customHeight="1" x14ac:dyDescent="0.2">
      <c r="A33" s="772" t="s">
        <v>449</v>
      </c>
      <c r="B33" s="774" t="s">
        <v>83</v>
      </c>
      <c r="C33" s="770"/>
      <c r="D33" s="770"/>
      <c r="E33" s="770"/>
    </row>
    <row r="34" spans="1:5" ht="13.5" customHeight="1" x14ac:dyDescent="0.2">
      <c r="A34" s="772" t="s">
        <v>450</v>
      </c>
      <c r="B34" s="775" t="s">
        <v>80</v>
      </c>
      <c r="C34" s="770">
        <v>3087</v>
      </c>
      <c r="D34" s="770">
        <v>3087</v>
      </c>
      <c r="E34" s="770">
        <v>3165</v>
      </c>
    </row>
    <row r="35" spans="1:5" ht="13.5" customHeight="1" x14ac:dyDescent="0.2">
      <c r="A35" s="772" t="s">
        <v>451</v>
      </c>
      <c r="B35" s="775" t="s">
        <v>84</v>
      </c>
      <c r="C35" s="770">
        <v>29802</v>
      </c>
      <c r="D35" s="770">
        <v>29802</v>
      </c>
      <c r="E35" s="770">
        <v>14901</v>
      </c>
    </row>
    <row r="36" spans="1:5" ht="13.5" customHeight="1" x14ac:dyDescent="0.2">
      <c r="A36" s="772" t="s">
        <v>452</v>
      </c>
      <c r="B36" s="775" t="s">
        <v>85</v>
      </c>
      <c r="C36" s="770">
        <v>65219</v>
      </c>
      <c r="D36" s="770">
        <v>65219</v>
      </c>
      <c r="E36" s="770">
        <v>36304</v>
      </c>
    </row>
    <row r="37" spans="1:5" ht="13.5" customHeight="1" x14ac:dyDescent="0.2">
      <c r="A37" s="772" t="s">
        <v>453</v>
      </c>
      <c r="B37" s="775" t="s">
        <v>79</v>
      </c>
      <c r="C37" s="770"/>
      <c r="D37" s="770"/>
      <c r="E37" s="770"/>
    </row>
    <row r="38" spans="1:5" ht="15" customHeight="1" x14ac:dyDescent="0.2">
      <c r="A38" s="89"/>
      <c r="B38" s="776" t="s">
        <v>81</v>
      </c>
      <c r="C38" s="771">
        <f>+C9+C11+C13+C23+C34+C24+C35+C36+C37</f>
        <v>106850</v>
      </c>
      <c r="D38" s="771">
        <f t="shared" ref="D38:E38" si="0">+D9+D11+D13+D23+D34+D24+D35+D36+D37</f>
        <v>106850</v>
      </c>
      <c r="E38" s="771">
        <f t="shared" si="0"/>
        <v>61233</v>
      </c>
    </row>
    <row r="41" spans="1:5" x14ac:dyDescent="0.2">
      <c r="B41" s="777" t="s">
        <v>86</v>
      </c>
    </row>
    <row r="43" spans="1:5" x14ac:dyDescent="0.2">
      <c r="A43" s="94">
        <v>1</v>
      </c>
      <c r="B43" s="777" t="s">
        <v>454</v>
      </c>
    </row>
    <row r="45" spans="1:5" x14ac:dyDescent="0.2">
      <c r="A45" s="94">
        <v>13</v>
      </c>
      <c r="B45" s="778" t="s">
        <v>352</v>
      </c>
    </row>
    <row r="46" spans="1:5" x14ac:dyDescent="0.2">
      <c r="A46" s="94"/>
      <c r="B46" s="778"/>
    </row>
    <row r="47" spans="1:5" x14ac:dyDescent="0.2">
      <c r="A47" s="94">
        <v>24</v>
      </c>
      <c r="B47" s="778" t="s">
        <v>353</v>
      </c>
    </row>
    <row r="48" spans="1:5" x14ac:dyDescent="0.2">
      <c r="A48" s="94"/>
      <c r="B48" s="778" t="s">
        <v>354</v>
      </c>
    </row>
    <row r="49" spans="1:2" x14ac:dyDescent="0.2">
      <c r="A49" s="94"/>
      <c r="B49" s="778" t="s">
        <v>355</v>
      </c>
    </row>
    <row r="50" spans="1:2" x14ac:dyDescent="0.2">
      <c r="A50" s="94"/>
      <c r="B50" s="778" t="s">
        <v>356</v>
      </c>
    </row>
    <row r="51" spans="1:2" x14ac:dyDescent="0.2">
      <c r="A51" s="94"/>
      <c r="B51" s="778" t="s">
        <v>357</v>
      </c>
    </row>
    <row r="52" spans="1:2" x14ac:dyDescent="0.2">
      <c r="A52" s="94"/>
      <c r="B52" s="778"/>
    </row>
    <row r="53" spans="1:2" x14ac:dyDescent="0.2">
      <c r="A53" s="94">
        <v>25</v>
      </c>
      <c r="B53" s="739" t="s">
        <v>358</v>
      </c>
    </row>
    <row r="54" spans="1:2" x14ac:dyDescent="0.2">
      <c r="A54" s="94"/>
    </row>
    <row r="55" spans="1:2" x14ac:dyDescent="0.2">
      <c r="A55" s="94">
        <v>26</v>
      </c>
      <c r="B55" s="739" t="s">
        <v>359</v>
      </c>
    </row>
  </sheetData>
  <mergeCells count="14">
    <mergeCell ref="A3:E3"/>
    <mergeCell ref="A4:E4"/>
    <mergeCell ref="B9:B10"/>
    <mergeCell ref="B11:B12"/>
    <mergeCell ref="C11:C12"/>
    <mergeCell ref="C9:C10"/>
    <mergeCell ref="C7:E7"/>
    <mergeCell ref="D9:D10"/>
    <mergeCell ref="E9:E10"/>
    <mergeCell ref="D11:D12"/>
    <mergeCell ref="E11:E12"/>
    <mergeCell ref="A7:B8"/>
    <mergeCell ref="A9:A10"/>
    <mergeCell ref="A11:A12"/>
  </mergeCells>
  <phoneticPr fontId="0" type="noConversion"/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&amp;LVeresegyház Város Önkormányzat&amp;C&amp;"Arial CE,Félkövér"ELŐIRÁNYZAT MÓDOSÍTÁS, TELJESÍTÉS 2015.06.30.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SheetLayoutView="160" workbookViewId="0">
      <selection activeCell="I25" sqref="I25"/>
    </sheetView>
  </sheetViews>
  <sheetFormatPr defaultRowHeight="11.25" x14ac:dyDescent="0.2"/>
  <cols>
    <col min="1" max="1" width="32.140625" style="289" customWidth="1"/>
    <col min="2" max="4" width="8.5703125" style="95" customWidth="1"/>
    <col min="5" max="6" width="7.28515625" style="95" customWidth="1"/>
    <col min="7" max="7" width="7.7109375" style="95" customWidth="1"/>
    <col min="8" max="9" width="7.28515625" style="95" customWidth="1"/>
    <col min="10" max="10" width="8.42578125" style="95" customWidth="1"/>
    <col min="11" max="12" width="8.5703125" style="95" customWidth="1"/>
    <col min="13" max="13" width="9" style="95" customWidth="1"/>
    <col min="14" max="16384" width="9.140625" style="198"/>
  </cols>
  <sheetData>
    <row r="1" spans="1:13" x14ac:dyDescent="0.2">
      <c r="A1" s="279"/>
      <c r="M1" s="317" t="s">
        <v>20</v>
      </c>
    </row>
    <row r="2" spans="1:13" x14ac:dyDescent="0.2">
      <c r="A2" s="822" t="s">
        <v>201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</row>
    <row r="3" spans="1:13" x14ac:dyDescent="0.2">
      <c r="A3" s="826" t="s">
        <v>92</v>
      </c>
      <c r="B3" s="826"/>
      <c r="C3" s="317"/>
      <c r="D3" s="317"/>
      <c r="M3" s="318" t="s">
        <v>67</v>
      </c>
    </row>
    <row r="4" spans="1:13" ht="18" customHeight="1" x14ac:dyDescent="0.2">
      <c r="A4" s="829" t="s">
        <v>178</v>
      </c>
      <c r="B4" s="833" t="s">
        <v>173</v>
      </c>
      <c r="C4" s="834"/>
      <c r="D4" s="835"/>
      <c r="E4" s="823" t="s">
        <v>824</v>
      </c>
      <c r="F4" s="824"/>
      <c r="G4" s="825"/>
      <c r="H4" s="823" t="s">
        <v>318</v>
      </c>
      <c r="I4" s="824"/>
      <c r="J4" s="825"/>
      <c r="K4" s="823" t="s">
        <v>64</v>
      </c>
      <c r="L4" s="824"/>
      <c r="M4" s="825"/>
    </row>
    <row r="5" spans="1:13" s="289" customFormat="1" ht="33.75" customHeight="1" x14ac:dyDescent="0.2">
      <c r="A5" s="830"/>
      <c r="B5" s="671" t="s">
        <v>821</v>
      </c>
      <c r="C5" s="671" t="s">
        <v>823</v>
      </c>
      <c r="D5" s="672" t="s">
        <v>822</v>
      </c>
      <c r="E5" s="671" t="s">
        <v>821</v>
      </c>
      <c r="F5" s="671" t="s">
        <v>823</v>
      </c>
      <c r="G5" s="672" t="s">
        <v>822</v>
      </c>
      <c r="H5" s="671" t="s">
        <v>821</v>
      </c>
      <c r="I5" s="671" t="s">
        <v>823</v>
      </c>
      <c r="J5" s="672" t="s">
        <v>822</v>
      </c>
      <c r="K5" s="671" t="s">
        <v>821</v>
      </c>
      <c r="L5" s="671" t="s">
        <v>823</v>
      </c>
      <c r="M5" s="672" t="s">
        <v>822</v>
      </c>
    </row>
    <row r="6" spans="1:13" s="221" customFormat="1" x14ac:dyDescent="0.2">
      <c r="A6" s="668" t="s">
        <v>200</v>
      </c>
      <c r="B6" s="434">
        <f>SUM(B8)</f>
        <v>0</v>
      </c>
      <c r="C6" s="434">
        <f t="shared" ref="C6:J6" si="0">SUM(C8)</f>
        <v>0</v>
      </c>
      <c r="D6" s="434">
        <f t="shared" si="0"/>
        <v>0</v>
      </c>
      <c r="E6" s="434">
        <f t="shared" si="0"/>
        <v>0</v>
      </c>
      <c r="F6" s="434">
        <f t="shared" si="0"/>
        <v>0</v>
      </c>
      <c r="G6" s="434">
        <f t="shared" si="0"/>
        <v>0</v>
      </c>
      <c r="H6" s="434">
        <f t="shared" si="0"/>
        <v>0</v>
      </c>
      <c r="I6" s="434">
        <f t="shared" si="0"/>
        <v>0</v>
      </c>
      <c r="J6" s="434">
        <f t="shared" si="0"/>
        <v>0</v>
      </c>
      <c r="K6" s="53">
        <f>SUM(B6,E6,H6)</f>
        <v>0</v>
      </c>
      <c r="L6" s="53">
        <f t="shared" ref="L6:M6" si="1">SUM(C6,F6,I6)</f>
        <v>0</v>
      </c>
      <c r="M6" s="53">
        <f t="shared" si="1"/>
        <v>0</v>
      </c>
    </row>
    <row r="7" spans="1:13" s="664" customFormat="1" x14ac:dyDescent="0.2">
      <c r="A7" s="665" t="s">
        <v>199</v>
      </c>
      <c r="B7" s="669"/>
      <c r="C7" s="669"/>
      <c r="D7" s="669"/>
      <c r="E7" s="669"/>
      <c r="F7" s="669"/>
      <c r="G7" s="669"/>
      <c r="H7" s="669"/>
      <c r="I7" s="669"/>
      <c r="J7" s="669"/>
      <c r="K7" s="663"/>
      <c r="L7" s="663"/>
      <c r="M7" s="663"/>
    </row>
    <row r="8" spans="1:13" s="664" customFormat="1" x14ac:dyDescent="0.2">
      <c r="A8" s="665" t="s">
        <v>198</v>
      </c>
      <c r="B8" s="669"/>
      <c r="C8" s="669"/>
      <c r="D8" s="669"/>
      <c r="E8" s="669"/>
      <c r="F8" s="669"/>
      <c r="G8" s="669"/>
      <c r="H8" s="669"/>
      <c r="I8" s="669"/>
      <c r="J8" s="669"/>
      <c r="K8" s="663">
        <f t="shared" ref="K8:K38" si="2">SUM(B8,E8,H8)</f>
        <v>0</v>
      </c>
      <c r="L8" s="663">
        <f t="shared" ref="L8:L38" si="3">SUM(C8,F8,I8)</f>
        <v>0</v>
      </c>
      <c r="M8" s="663">
        <f t="shared" ref="M8:M38" si="4">SUM(D8,G8,J8)</f>
        <v>0</v>
      </c>
    </row>
    <row r="9" spans="1:13" x14ac:dyDescent="0.2">
      <c r="A9" s="280"/>
      <c r="B9" s="319"/>
      <c r="C9" s="319"/>
      <c r="D9" s="319"/>
      <c r="E9" s="319"/>
      <c r="F9" s="319"/>
      <c r="G9" s="319"/>
      <c r="H9" s="319"/>
      <c r="I9" s="319"/>
      <c r="J9" s="319"/>
      <c r="K9" s="22">
        <f t="shared" si="2"/>
        <v>0</v>
      </c>
      <c r="L9" s="22">
        <f t="shared" si="3"/>
        <v>0</v>
      </c>
      <c r="M9" s="22">
        <f t="shared" si="4"/>
        <v>0</v>
      </c>
    </row>
    <row r="10" spans="1:13" s="221" customFormat="1" x14ac:dyDescent="0.2">
      <c r="A10" s="281" t="s">
        <v>306</v>
      </c>
      <c r="B10" s="53">
        <f>SUM(B12:B15)</f>
        <v>604000</v>
      </c>
      <c r="C10" s="53">
        <f t="shared" ref="C10:J10" si="5">SUM(C12:C15)</f>
        <v>604000</v>
      </c>
      <c r="D10" s="53">
        <f t="shared" si="5"/>
        <v>309829</v>
      </c>
      <c r="E10" s="53">
        <f t="shared" si="5"/>
        <v>0</v>
      </c>
      <c r="F10" s="53">
        <f t="shared" si="5"/>
        <v>0</v>
      </c>
      <c r="G10" s="53">
        <f t="shared" si="5"/>
        <v>0</v>
      </c>
      <c r="H10" s="53">
        <f t="shared" si="5"/>
        <v>0</v>
      </c>
      <c r="I10" s="53">
        <f t="shared" si="5"/>
        <v>0</v>
      </c>
      <c r="J10" s="53">
        <f t="shared" si="5"/>
        <v>0</v>
      </c>
      <c r="K10" s="53">
        <f t="shared" si="2"/>
        <v>604000</v>
      </c>
      <c r="L10" s="53">
        <f t="shared" si="3"/>
        <v>604000</v>
      </c>
      <c r="M10" s="53">
        <f t="shared" si="4"/>
        <v>309829</v>
      </c>
    </row>
    <row r="11" spans="1:13" x14ac:dyDescent="0.2">
      <c r="A11" s="280" t="s">
        <v>61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s="664" customFormat="1" x14ac:dyDescent="0.2">
      <c r="A12" s="662" t="s">
        <v>197</v>
      </c>
      <c r="B12" s="663">
        <v>188000</v>
      </c>
      <c r="C12" s="663">
        <v>188000</v>
      </c>
      <c r="D12" s="663">
        <v>76142</v>
      </c>
      <c r="E12" s="663"/>
      <c r="F12" s="663"/>
      <c r="G12" s="663"/>
      <c r="H12" s="663"/>
      <c r="I12" s="663"/>
      <c r="J12" s="663"/>
      <c r="K12" s="663">
        <f t="shared" si="2"/>
        <v>188000</v>
      </c>
      <c r="L12" s="663">
        <f t="shared" si="3"/>
        <v>188000</v>
      </c>
      <c r="M12" s="663">
        <f t="shared" si="4"/>
        <v>76142</v>
      </c>
    </row>
    <row r="13" spans="1:13" s="664" customFormat="1" x14ac:dyDescent="0.2">
      <c r="A13" s="665" t="s">
        <v>196</v>
      </c>
      <c r="B13" s="663"/>
      <c r="C13" s="663"/>
      <c r="D13" s="663"/>
      <c r="E13" s="663"/>
      <c r="F13" s="663"/>
      <c r="G13" s="663"/>
      <c r="H13" s="663"/>
      <c r="I13" s="663"/>
      <c r="J13" s="663"/>
      <c r="K13" s="663">
        <f t="shared" si="2"/>
        <v>0</v>
      </c>
      <c r="L13" s="663">
        <f t="shared" si="3"/>
        <v>0</v>
      </c>
      <c r="M13" s="663">
        <f t="shared" si="4"/>
        <v>0</v>
      </c>
    </row>
    <row r="14" spans="1:13" s="664" customFormat="1" x14ac:dyDescent="0.2">
      <c r="A14" s="666" t="s">
        <v>195</v>
      </c>
      <c r="B14" s="663">
        <v>184400</v>
      </c>
      <c r="C14" s="663">
        <v>184400</v>
      </c>
      <c r="D14" s="663">
        <v>110675</v>
      </c>
      <c r="E14" s="663"/>
      <c r="F14" s="663"/>
      <c r="G14" s="663"/>
      <c r="H14" s="663"/>
      <c r="I14" s="663"/>
      <c r="J14" s="663"/>
      <c r="K14" s="663">
        <f t="shared" si="2"/>
        <v>184400</v>
      </c>
      <c r="L14" s="663">
        <f t="shared" si="3"/>
        <v>184400</v>
      </c>
      <c r="M14" s="663">
        <f t="shared" si="4"/>
        <v>110675</v>
      </c>
    </row>
    <row r="15" spans="1:13" s="664" customFormat="1" x14ac:dyDescent="0.2">
      <c r="A15" s="666" t="s">
        <v>194</v>
      </c>
      <c r="B15" s="663">
        <v>231600</v>
      </c>
      <c r="C15" s="663">
        <v>231600</v>
      </c>
      <c r="D15" s="663">
        <v>123012</v>
      </c>
      <c r="E15" s="663"/>
      <c r="F15" s="663"/>
      <c r="G15" s="663"/>
      <c r="H15" s="663"/>
      <c r="I15" s="663"/>
      <c r="J15" s="663"/>
      <c r="K15" s="663">
        <f t="shared" si="2"/>
        <v>231600</v>
      </c>
      <c r="L15" s="663">
        <f t="shared" si="3"/>
        <v>231600</v>
      </c>
      <c r="M15" s="663">
        <f t="shared" si="4"/>
        <v>123012</v>
      </c>
    </row>
    <row r="16" spans="1:13" x14ac:dyDescent="0.2">
      <c r="A16" s="283"/>
      <c r="B16" s="22"/>
      <c r="C16" s="22"/>
      <c r="D16" s="22"/>
      <c r="E16" s="22"/>
      <c r="F16" s="22"/>
      <c r="G16" s="22"/>
      <c r="H16" s="22"/>
      <c r="I16" s="22"/>
      <c r="J16" s="22"/>
      <c r="K16" s="22">
        <f t="shared" si="2"/>
        <v>0</v>
      </c>
      <c r="L16" s="22">
        <f t="shared" si="3"/>
        <v>0</v>
      </c>
      <c r="M16" s="22">
        <f t="shared" si="4"/>
        <v>0</v>
      </c>
    </row>
    <row r="17" spans="1:13" s="221" customFormat="1" x14ac:dyDescent="0.2">
      <c r="A17" s="284" t="s">
        <v>193</v>
      </c>
      <c r="B17" s="53">
        <f>SUM(B19)</f>
        <v>3350000</v>
      </c>
      <c r="C17" s="53">
        <f t="shared" ref="C17:J17" si="6">SUM(C19)</f>
        <v>3750000</v>
      </c>
      <c r="D17" s="53">
        <f t="shared" si="6"/>
        <v>1647319</v>
      </c>
      <c r="E17" s="53">
        <f t="shared" si="6"/>
        <v>0</v>
      </c>
      <c r="F17" s="53">
        <f t="shared" si="6"/>
        <v>0</v>
      </c>
      <c r="G17" s="53">
        <f t="shared" si="6"/>
        <v>0</v>
      </c>
      <c r="H17" s="53">
        <f t="shared" si="6"/>
        <v>0</v>
      </c>
      <c r="I17" s="53">
        <f t="shared" si="6"/>
        <v>0</v>
      </c>
      <c r="J17" s="53">
        <f t="shared" si="6"/>
        <v>0</v>
      </c>
      <c r="K17" s="53">
        <f t="shared" si="2"/>
        <v>3350000</v>
      </c>
      <c r="L17" s="53">
        <f t="shared" si="3"/>
        <v>3750000</v>
      </c>
      <c r="M17" s="53">
        <f t="shared" si="4"/>
        <v>1647319</v>
      </c>
    </row>
    <row r="18" spans="1:13" x14ac:dyDescent="0.2">
      <c r="A18" s="283" t="s">
        <v>61</v>
      </c>
      <c r="B18" s="22"/>
      <c r="C18" s="22"/>
      <c r="D18" s="22"/>
      <c r="E18" s="22"/>
      <c r="F18" s="22"/>
      <c r="G18" s="22"/>
      <c r="H18" s="22"/>
      <c r="I18" s="22"/>
      <c r="J18" s="22"/>
      <c r="K18" s="22">
        <f t="shared" si="2"/>
        <v>0</v>
      </c>
      <c r="L18" s="22">
        <f t="shared" si="3"/>
        <v>0</v>
      </c>
      <c r="M18" s="22">
        <f t="shared" si="4"/>
        <v>0</v>
      </c>
    </row>
    <row r="19" spans="1:13" s="664" customFormat="1" x14ac:dyDescent="0.2">
      <c r="A19" s="666" t="s">
        <v>192</v>
      </c>
      <c r="B19" s="663">
        <v>3350000</v>
      </c>
      <c r="C19" s="663">
        <v>3750000</v>
      </c>
      <c r="D19" s="663">
        <v>1647319</v>
      </c>
      <c r="E19" s="663"/>
      <c r="F19" s="663"/>
      <c r="G19" s="663"/>
      <c r="H19" s="663"/>
      <c r="I19" s="663"/>
      <c r="J19" s="663"/>
      <c r="K19" s="663">
        <f t="shared" si="2"/>
        <v>3350000</v>
      </c>
      <c r="L19" s="663">
        <f t="shared" si="3"/>
        <v>3750000</v>
      </c>
      <c r="M19" s="663">
        <f t="shared" si="4"/>
        <v>1647319</v>
      </c>
    </row>
    <row r="20" spans="1:13" x14ac:dyDescent="0.2">
      <c r="A20" s="283"/>
      <c r="B20" s="22"/>
      <c r="C20" s="22"/>
      <c r="D20" s="22"/>
      <c r="E20" s="22"/>
      <c r="F20" s="22"/>
      <c r="G20" s="22"/>
      <c r="H20" s="22"/>
      <c r="I20" s="22"/>
      <c r="J20" s="22"/>
      <c r="K20" s="22">
        <f t="shared" si="2"/>
        <v>0</v>
      </c>
      <c r="L20" s="22">
        <f t="shared" si="3"/>
        <v>0</v>
      </c>
      <c r="M20" s="22">
        <f t="shared" si="4"/>
        <v>0</v>
      </c>
    </row>
    <row r="21" spans="1:13" s="221" customFormat="1" x14ac:dyDescent="0.2">
      <c r="A21" s="667" t="s">
        <v>191</v>
      </c>
      <c r="B21" s="53">
        <v>55100</v>
      </c>
      <c r="C21" s="53">
        <v>55100</v>
      </c>
      <c r="D21" s="53">
        <v>29648</v>
      </c>
      <c r="E21" s="53"/>
      <c r="F21" s="53"/>
      <c r="G21" s="53"/>
      <c r="H21" s="53"/>
      <c r="I21" s="53"/>
      <c r="J21" s="53"/>
      <c r="K21" s="53">
        <f t="shared" si="2"/>
        <v>55100</v>
      </c>
      <c r="L21" s="53">
        <f t="shared" si="3"/>
        <v>55100</v>
      </c>
      <c r="M21" s="53">
        <f t="shared" si="4"/>
        <v>29648</v>
      </c>
    </row>
    <row r="22" spans="1:13" s="221" customFormat="1" x14ac:dyDescent="0.2">
      <c r="A22" s="667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s="221" customFormat="1" x14ac:dyDescent="0.2">
      <c r="A23" s="667" t="s">
        <v>190</v>
      </c>
      <c r="B23" s="53">
        <f>SUM(B25:B27)</f>
        <v>26900</v>
      </c>
      <c r="C23" s="53">
        <f t="shared" ref="C23:J23" si="7">SUM(C25:C27)</f>
        <v>26900</v>
      </c>
      <c r="D23" s="53">
        <f t="shared" si="7"/>
        <v>7052</v>
      </c>
      <c r="E23" s="53">
        <f t="shared" si="7"/>
        <v>0</v>
      </c>
      <c r="F23" s="53">
        <f t="shared" si="7"/>
        <v>0</v>
      </c>
      <c r="G23" s="53">
        <f t="shared" si="7"/>
        <v>0</v>
      </c>
      <c r="H23" s="53">
        <f t="shared" si="7"/>
        <v>0</v>
      </c>
      <c r="I23" s="53">
        <f t="shared" si="7"/>
        <v>0</v>
      </c>
      <c r="J23" s="53">
        <f t="shared" si="7"/>
        <v>0</v>
      </c>
      <c r="K23" s="53">
        <f t="shared" si="2"/>
        <v>26900</v>
      </c>
      <c r="L23" s="53">
        <f t="shared" si="3"/>
        <v>26900</v>
      </c>
      <c r="M23" s="53">
        <f t="shared" si="4"/>
        <v>7052</v>
      </c>
    </row>
    <row r="24" spans="1:13" x14ac:dyDescent="0.2">
      <c r="A24" s="283" t="s">
        <v>61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664" customFormat="1" x14ac:dyDescent="0.2">
      <c r="A25" s="665" t="s">
        <v>189</v>
      </c>
      <c r="B25" s="663">
        <v>1900</v>
      </c>
      <c r="C25" s="663">
        <v>1900</v>
      </c>
      <c r="D25" s="663">
        <v>950</v>
      </c>
      <c r="E25" s="663"/>
      <c r="F25" s="663"/>
      <c r="G25" s="663"/>
      <c r="H25" s="663"/>
      <c r="I25" s="663"/>
      <c r="J25" s="663"/>
      <c r="K25" s="663">
        <f t="shared" si="2"/>
        <v>1900</v>
      </c>
      <c r="L25" s="663">
        <f t="shared" si="3"/>
        <v>1900</v>
      </c>
      <c r="M25" s="663">
        <f t="shared" si="4"/>
        <v>950</v>
      </c>
    </row>
    <row r="26" spans="1:13" s="664" customFormat="1" x14ac:dyDescent="0.2">
      <c r="A26" s="665" t="s">
        <v>188</v>
      </c>
      <c r="B26" s="663">
        <v>25000</v>
      </c>
      <c r="C26" s="663">
        <v>25000</v>
      </c>
      <c r="D26" s="663">
        <v>6102</v>
      </c>
      <c r="E26" s="663"/>
      <c r="F26" s="663"/>
      <c r="G26" s="663"/>
      <c r="H26" s="663"/>
      <c r="I26" s="663"/>
      <c r="J26" s="663"/>
      <c r="K26" s="663">
        <f t="shared" si="2"/>
        <v>25000</v>
      </c>
      <c r="L26" s="663">
        <f t="shared" si="3"/>
        <v>25000</v>
      </c>
      <c r="M26" s="663">
        <f t="shared" si="4"/>
        <v>6102</v>
      </c>
    </row>
    <row r="27" spans="1:13" s="664" customFormat="1" ht="20.25" customHeight="1" x14ac:dyDescent="0.2">
      <c r="A27" s="662" t="s">
        <v>187</v>
      </c>
      <c r="B27" s="663"/>
      <c r="C27" s="663"/>
      <c r="D27" s="663"/>
      <c r="E27" s="663"/>
      <c r="F27" s="663"/>
      <c r="G27" s="663"/>
      <c r="H27" s="663"/>
      <c r="I27" s="663"/>
      <c r="J27" s="663"/>
      <c r="K27" s="663">
        <f t="shared" si="2"/>
        <v>0</v>
      </c>
      <c r="L27" s="663">
        <f t="shared" si="3"/>
        <v>0</v>
      </c>
      <c r="M27" s="663">
        <f t="shared" si="4"/>
        <v>0</v>
      </c>
    </row>
    <row r="28" spans="1:13" x14ac:dyDescent="0.2">
      <c r="A28" s="28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s="221" customFormat="1" x14ac:dyDescent="0.2">
      <c r="A29" s="670" t="s">
        <v>314</v>
      </c>
      <c r="B29" s="53">
        <f>SUM(B31:B38)</f>
        <v>12500</v>
      </c>
      <c r="C29" s="53">
        <f t="shared" ref="C29:J29" si="8">SUM(C31:C38)</f>
        <v>12500</v>
      </c>
      <c r="D29" s="53">
        <f t="shared" si="8"/>
        <v>5858</v>
      </c>
      <c r="E29" s="53">
        <f t="shared" si="8"/>
        <v>0</v>
      </c>
      <c r="F29" s="53">
        <f t="shared" si="8"/>
        <v>0</v>
      </c>
      <c r="G29" s="53">
        <f t="shared" si="8"/>
        <v>0</v>
      </c>
      <c r="H29" s="53">
        <f t="shared" si="8"/>
        <v>5000</v>
      </c>
      <c r="I29" s="53">
        <f t="shared" si="8"/>
        <v>5000</v>
      </c>
      <c r="J29" s="53">
        <f t="shared" si="8"/>
        <v>1600</v>
      </c>
      <c r="K29" s="53">
        <f t="shared" si="2"/>
        <v>17500</v>
      </c>
      <c r="L29" s="53">
        <f t="shared" si="3"/>
        <v>17500</v>
      </c>
      <c r="M29" s="53">
        <f t="shared" si="4"/>
        <v>7458</v>
      </c>
    </row>
    <row r="30" spans="1:13" s="664" customFormat="1" x14ac:dyDescent="0.2">
      <c r="A30" s="665" t="s">
        <v>61</v>
      </c>
      <c r="B30" s="663"/>
      <c r="C30" s="663"/>
      <c r="D30" s="663"/>
      <c r="E30" s="663"/>
      <c r="F30" s="663"/>
      <c r="G30" s="663"/>
      <c r="H30" s="663"/>
      <c r="I30" s="663"/>
      <c r="J30" s="663"/>
      <c r="K30" s="663">
        <f t="shared" si="2"/>
        <v>0</v>
      </c>
      <c r="L30" s="663">
        <f t="shared" si="3"/>
        <v>0</v>
      </c>
      <c r="M30" s="663">
        <f t="shared" si="4"/>
        <v>0</v>
      </c>
    </row>
    <row r="31" spans="1:13" s="664" customFormat="1" x14ac:dyDescent="0.2">
      <c r="A31" s="665" t="s">
        <v>186</v>
      </c>
      <c r="B31" s="663"/>
      <c r="C31" s="663"/>
      <c r="D31" s="663"/>
      <c r="E31" s="663"/>
      <c r="F31" s="663"/>
      <c r="G31" s="663"/>
      <c r="H31" s="663"/>
      <c r="I31" s="663"/>
      <c r="J31" s="663"/>
      <c r="K31" s="663">
        <f t="shared" si="2"/>
        <v>0</v>
      </c>
      <c r="L31" s="663">
        <f t="shared" si="3"/>
        <v>0</v>
      </c>
      <c r="M31" s="663">
        <f t="shared" si="4"/>
        <v>0</v>
      </c>
    </row>
    <row r="32" spans="1:13" s="664" customFormat="1" x14ac:dyDescent="0.2">
      <c r="A32" s="665" t="s">
        <v>185</v>
      </c>
      <c r="B32" s="663">
        <v>2500</v>
      </c>
      <c r="C32" s="663">
        <v>2500</v>
      </c>
      <c r="D32" s="663">
        <v>624</v>
      </c>
      <c r="E32" s="663"/>
      <c r="F32" s="663"/>
      <c r="G32" s="663"/>
      <c r="H32" s="663"/>
      <c r="I32" s="663"/>
      <c r="J32" s="663"/>
      <c r="K32" s="663">
        <f t="shared" si="2"/>
        <v>2500</v>
      </c>
      <c r="L32" s="663">
        <f t="shared" si="3"/>
        <v>2500</v>
      </c>
      <c r="M32" s="663">
        <f t="shared" si="4"/>
        <v>624</v>
      </c>
    </row>
    <row r="33" spans="1:13" s="664" customFormat="1" x14ac:dyDescent="0.2">
      <c r="A33" s="665" t="s">
        <v>184</v>
      </c>
      <c r="B33" s="663"/>
      <c r="C33" s="663"/>
      <c r="D33" s="663"/>
      <c r="E33" s="663"/>
      <c r="F33" s="663"/>
      <c r="G33" s="663"/>
      <c r="H33" s="663"/>
      <c r="I33" s="663"/>
      <c r="J33" s="663"/>
      <c r="K33" s="663">
        <f t="shared" si="2"/>
        <v>0</v>
      </c>
      <c r="L33" s="663">
        <f t="shared" si="3"/>
        <v>0</v>
      </c>
      <c r="M33" s="663">
        <f t="shared" si="4"/>
        <v>0</v>
      </c>
    </row>
    <row r="34" spans="1:13" s="664" customFormat="1" x14ac:dyDescent="0.2">
      <c r="A34" s="665" t="s">
        <v>183</v>
      </c>
      <c r="B34" s="663"/>
      <c r="C34" s="663"/>
      <c r="D34" s="663"/>
      <c r="E34" s="663"/>
      <c r="F34" s="663"/>
      <c r="G34" s="663"/>
      <c r="H34" s="663"/>
      <c r="I34" s="663"/>
      <c r="J34" s="663"/>
      <c r="K34" s="663">
        <f t="shared" si="2"/>
        <v>0</v>
      </c>
      <c r="L34" s="663">
        <f t="shared" si="3"/>
        <v>0</v>
      </c>
      <c r="M34" s="663">
        <f t="shared" si="4"/>
        <v>0</v>
      </c>
    </row>
    <row r="35" spans="1:13" s="664" customFormat="1" x14ac:dyDescent="0.2">
      <c r="A35" s="665" t="s">
        <v>182</v>
      </c>
      <c r="B35" s="663"/>
      <c r="C35" s="663"/>
      <c r="D35" s="663"/>
      <c r="E35" s="663"/>
      <c r="F35" s="663"/>
      <c r="G35" s="663"/>
      <c r="H35" s="663"/>
      <c r="I35" s="663"/>
      <c r="J35" s="663"/>
      <c r="K35" s="663">
        <f t="shared" si="2"/>
        <v>0</v>
      </c>
      <c r="L35" s="663">
        <f t="shared" si="3"/>
        <v>0</v>
      </c>
      <c r="M35" s="663">
        <f t="shared" si="4"/>
        <v>0</v>
      </c>
    </row>
    <row r="36" spans="1:13" s="664" customFormat="1" x14ac:dyDescent="0.2">
      <c r="A36" s="665" t="s">
        <v>181</v>
      </c>
      <c r="B36" s="663"/>
      <c r="C36" s="663"/>
      <c r="D36" s="663"/>
      <c r="E36" s="663"/>
      <c r="F36" s="663"/>
      <c r="G36" s="663"/>
      <c r="H36" s="663"/>
      <c r="I36" s="663"/>
      <c r="J36" s="663"/>
      <c r="K36" s="663">
        <f t="shared" si="2"/>
        <v>0</v>
      </c>
      <c r="L36" s="663">
        <f t="shared" si="3"/>
        <v>0</v>
      </c>
      <c r="M36" s="663">
        <f t="shared" si="4"/>
        <v>0</v>
      </c>
    </row>
    <row r="37" spans="1:13" s="664" customFormat="1" ht="19.5" x14ac:dyDescent="0.2">
      <c r="A37" s="662" t="s">
        <v>180</v>
      </c>
      <c r="B37" s="663"/>
      <c r="C37" s="663"/>
      <c r="D37" s="663">
        <v>50</v>
      </c>
      <c r="E37" s="663"/>
      <c r="F37" s="663"/>
      <c r="G37" s="663"/>
      <c r="H37" s="663">
        <v>5000</v>
      </c>
      <c r="I37" s="663">
        <v>5000</v>
      </c>
      <c r="J37" s="663">
        <v>1600</v>
      </c>
      <c r="K37" s="663">
        <f t="shared" si="2"/>
        <v>5000</v>
      </c>
      <c r="L37" s="663">
        <f t="shared" si="3"/>
        <v>5000</v>
      </c>
      <c r="M37" s="663">
        <f t="shared" si="4"/>
        <v>1650</v>
      </c>
    </row>
    <row r="38" spans="1:13" s="664" customFormat="1" x14ac:dyDescent="0.2">
      <c r="A38" s="662" t="s">
        <v>0</v>
      </c>
      <c r="B38" s="663">
        <v>10000</v>
      </c>
      <c r="C38" s="663">
        <v>10000</v>
      </c>
      <c r="D38" s="663">
        <v>5184</v>
      </c>
      <c r="E38" s="663"/>
      <c r="F38" s="663"/>
      <c r="G38" s="663"/>
      <c r="H38" s="663"/>
      <c r="I38" s="663"/>
      <c r="J38" s="663"/>
      <c r="K38" s="663">
        <f t="shared" si="2"/>
        <v>10000</v>
      </c>
      <c r="L38" s="663">
        <f t="shared" si="3"/>
        <v>10000</v>
      </c>
      <c r="M38" s="663">
        <f t="shared" si="4"/>
        <v>5184</v>
      </c>
    </row>
    <row r="39" spans="1:13" x14ac:dyDescent="0.2">
      <c r="A39" s="281" t="s">
        <v>64</v>
      </c>
      <c r="B39" s="53">
        <f>SUM(B6,B10,B17,B21,B23,B29)</f>
        <v>4048500</v>
      </c>
      <c r="C39" s="53">
        <f t="shared" ref="C39:M39" si="9">SUM(C6,C10,C17,C21,C23,C29)</f>
        <v>4448500</v>
      </c>
      <c r="D39" s="53">
        <f t="shared" si="9"/>
        <v>1999706</v>
      </c>
      <c r="E39" s="53">
        <f t="shared" si="9"/>
        <v>0</v>
      </c>
      <c r="F39" s="53">
        <f t="shared" si="9"/>
        <v>0</v>
      </c>
      <c r="G39" s="53">
        <f t="shared" si="9"/>
        <v>0</v>
      </c>
      <c r="H39" s="53">
        <f t="shared" si="9"/>
        <v>5000</v>
      </c>
      <c r="I39" s="53">
        <f t="shared" si="9"/>
        <v>5000</v>
      </c>
      <c r="J39" s="53">
        <f t="shared" si="9"/>
        <v>1600</v>
      </c>
      <c r="K39" s="53">
        <f t="shared" si="9"/>
        <v>4053500</v>
      </c>
      <c r="L39" s="53">
        <f t="shared" si="9"/>
        <v>4453500</v>
      </c>
      <c r="M39" s="53">
        <f t="shared" si="9"/>
        <v>2001306</v>
      </c>
    </row>
    <row r="40" spans="1:13" x14ac:dyDescent="0.2">
      <c r="A40" s="285"/>
    </row>
    <row r="41" spans="1:13" x14ac:dyDescent="0.2">
      <c r="A41" s="836" t="s">
        <v>21</v>
      </c>
      <c r="B41" s="836"/>
      <c r="C41" s="836"/>
      <c r="D41" s="836"/>
      <c r="E41" s="836"/>
      <c r="F41" s="836"/>
      <c r="G41" s="836"/>
      <c r="H41" s="836"/>
      <c r="I41" s="836"/>
      <c r="J41" s="836"/>
      <c r="K41" s="836"/>
      <c r="L41" s="836"/>
      <c r="M41" s="836"/>
    </row>
    <row r="42" spans="1:13" x14ac:dyDescent="0.2">
      <c r="A42" s="822" t="s">
        <v>722</v>
      </c>
      <c r="B42" s="822"/>
      <c r="C42" s="822"/>
      <c r="D42" s="822"/>
      <c r="E42" s="822"/>
      <c r="F42" s="822"/>
      <c r="G42" s="822"/>
      <c r="H42" s="822"/>
      <c r="I42" s="822"/>
      <c r="J42" s="822"/>
      <c r="K42" s="822"/>
      <c r="L42" s="822"/>
      <c r="M42" s="822"/>
    </row>
    <row r="43" spans="1:13" x14ac:dyDescent="0.2">
      <c r="A43" s="286"/>
      <c r="B43" s="318"/>
      <c r="C43" s="318"/>
      <c r="D43" s="318"/>
      <c r="E43" s="318"/>
      <c r="F43" s="318"/>
      <c r="M43" s="318" t="s">
        <v>60</v>
      </c>
    </row>
    <row r="44" spans="1:13" ht="12.75" customHeight="1" x14ac:dyDescent="0.2">
      <c r="A44" s="827" t="s">
        <v>178</v>
      </c>
      <c r="B44" s="831" t="s">
        <v>173</v>
      </c>
      <c r="C44" s="831"/>
      <c r="D44" s="831"/>
      <c r="E44" s="832" t="s">
        <v>301</v>
      </c>
      <c r="F44" s="832"/>
      <c r="G44" s="832"/>
      <c r="H44" s="832" t="s">
        <v>172</v>
      </c>
      <c r="I44" s="832"/>
      <c r="J44" s="832"/>
      <c r="K44" s="831" t="s">
        <v>171</v>
      </c>
      <c r="L44" s="831"/>
      <c r="M44" s="831"/>
    </row>
    <row r="45" spans="1:13" s="289" customFormat="1" ht="35.25" customHeight="1" x14ac:dyDescent="0.2">
      <c r="A45" s="828"/>
      <c r="B45" s="671" t="s">
        <v>821</v>
      </c>
      <c r="C45" s="671" t="s">
        <v>823</v>
      </c>
      <c r="D45" s="672" t="s">
        <v>822</v>
      </c>
      <c r="E45" s="671" t="s">
        <v>821</v>
      </c>
      <c r="F45" s="671" t="s">
        <v>823</v>
      </c>
      <c r="G45" s="672" t="s">
        <v>822</v>
      </c>
      <c r="H45" s="671" t="s">
        <v>821</v>
      </c>
      <c r="I45" s="671" t="s">
        <v>823</v>
      </c>
      <c r="J45" s="672" t="s">
        <v>822</v>
      </c>
      <c r="K45" s="671" t="s">
        <v>821</v>
      </c>
      <c r="L45" s="671" t="s">
        <v>823</v>
      </c>
      <c r="M45" s="672" t="s">
        <v>822</v>
      </c>
    </row>
    <row r="46" spans="1:13" x14ac:dyDescent="0.2">
      <c r="A46" s="315" t="s">
        <v>723</v>
      </c>
      <c r="B46" s="320">
        <v>319890</v>
      </c>
      <c r="C46" s="320">
        <v>351780</v>
      </c>
      <c r="D46" s="320">
        <v>200992</v>
      </c>
      <c r="E46" s="320"/>
      <c r="F46" s="22"/>
      <c r="G46" s="22"/>
      <c r="H46" s="320"/>
      <c r="I46" s="22"/>
      <c r="J46" s="22"/>
      <c r="K46" s="48">
        <f>SUM(B46,E46,H46)</f>
        <v>319890</v>
      </c>
      <c r="L46" s="48">
        <f t="shared" ref="L46:M46" si="10">SUM(C46,F46,I46)</f>
        <v>351780</v>
      </c>
      <c r="M46" s="48">
        <f t="shared" si="10"/>
        <v>200992</v>
      </c>
    </row>
    <row r="47" spans="1:13" x14ac:dyDescent="0.2">
      <c r="A47" s="315" t="s">
        <v>724</v>
      </c>
      <c r="B47" s="320"/>
      <c r="C47" s="320"/>
      <c r="D47" s="320"/>
      <c r="E47" s="320">
        <v>3175</v>
      </c>
      <c r="F47" s="22">
        <v>4583</v>
      </c>
      <c r="G47" s="22">
        <v>1395</v>
      </c>
      <c r="H47" s="320"/>
      <c r="I47" s="22"/>
      <c r="J47" s="22"/>
      <c r="K47" s="48">
        <f t="shared" ref="K47:K54" si="11">SUM(B47,E47,H47)</f>
        <v>3175</v>
      </c>
      <c r="L47" s="48">
        <f t="shared" ref="L47:L54" si="12">SUM(C47,F47,I47)</f>
        <v>4583</v>
      </c>
      <c r="M47" s="48">
        <f t="shared" ref="M47:M54" si="13">SUM(D47,G47,J47)</f>
        <v>1395</v>
      </c>
    </row>
    <row r="48" spans="1:13" x14ac:dyDescent="0.2">
      <c r="A48" s="315" t="s">
        <v>390</v>
      </c>
      <c r="B48" s="320"/>
      <c r="C48" s="320"/>
      <c r="D48" s="320"/>
      <c r="E48" s="320"/>
      <c r="F48" s="22"/>
      <c r="G48" s="22"/>
      <c r="H48" s="320">
        <v>594500</v>
      </c>
      <c r="I48" s="320">
        <v>539650</v>
      </c>
      <c r="J48" s="22">
        <v>288700</v>
      </c>
      <c r="K48" s="48">
        <f t="shared" si="11"/>
        <v>594500</v>
      </c>
      <c r="L48" s="48">
        <f t="shared" si="12"/>
        <v>539650</v>
      </c>
      <c r="M48" s="48">
        <f t="shared" si="13"/>
        <v>288700</v>
      </c>
    </row>
    <row r="49" spans="1:13" x14ac:dyDescent="0.2">
      <c r="A49" s="315" t="s">
        <v>427</v>
      </c>
      <c r="B49" s="28"/>
      <c r="C49" s="28"/>
      <c r="D49" s="28"/>
      <c r="E49" s="316"/>
      <c r="F49" s="22"/>
      <c r="G49" s="22"/>
      <c r="H49" s="320">
        <v>28997</v>
      </c>
      <c r="I49" s="320">
        <v>28997</v>
      </c>
      <c r="J49" s="22">
        <v>13839</v>
      </c>
      <c r="K49" s="48">
        <f t="shared" si="11"/>
        <v>28997</v>
      </c>
      <c r="L49" s="48">
        <f t="shared" si="12"/>
        <v>28997</v>
      </c>
      <c r="M49" s="48">
        <f t="shared" si="13"/>
        <v>13839</v>
      </c>
    </row>
    <row r="50" spans="1:13" x14ac:dyDescent="0.2">
      <c r="A50" s="315" t="s">
        <v>426</v>
      </c>
      <c r="B50" s="28"/>
      <c r="C50" s="28"/>
      <c r="D50" s="28"/>
      <c r="E50" s="316"/>
      <c r="F50" s="22"/>
      <c r="G50" s="22"/>
      <c r="H50" s="320">
        <v>95755</v>
      </c>
      <c r="I50" s="320">
        <v>95755</v>
      </c>
      <c r="J50" s="22">
        <v>44269</v>
      </c>
      <c r="K50" s="48">
        <f t="shared" si="11"/>
        <v>95755</v>
      </c>
      <c r="L50" s="48">
        <f t="shared" si="12"/>
        <v>95755</v>
      </c>
      <c r="M50" s="48">
        <f t="shared" si="13"/>
        <v>44269</v>
      </c>
    </row>
    <row r="51" spans="1:13" x14ac:dyDescent="0.2">
      <c r="A51" s="315" t="s">
        <v>428</v>
      </c>
      <c r="B51" s="48"/>
      <c r="C51" s="48"/>
      <c r="D51" s="48"/>
      <c r="E51" s="48"/>
      <c r="F51" s="22"/>
      <c r="G51" s="22"/>
      <c r="H51" s="48">
        <v>910</v>
      </c>
      <c r="I51" s="48">
        <v>910</v>
      </c>
      <c r="J51" s="22">
        <v>432</v>
      </c>
      <c r="K51" s="48">
        <f t="shared" si="11"/>
        <v>910</v>
      </c>
      <c r="L51" s="48">
        <f t="shared" si="12"/>
        <v>910</v>
      </c>
      <c r="M51" s="48">
        <f t="shared" si="13"/>
        <v>432</v>
      </c>
    </row>
    <row r="52" spans="1:13" x14ac:dyDescent="0.2">
      <c r="A52" s="315" t="s">
        <v>429</v>
      </c>
      <c r="B52" s="48"/>
      <c r="C52" s="48"/>
      <c r="D52" s="48"/>
      <c r="E52" s="48"/>
      <c r="F52" s="22"/>
      <c r="G52" s="22"/>
      <c r="H52" s="48">
        <v>35856</v>
      </c>
      <c r="I52" s="48">
        <v>35856</v>
      </c>
      <c r="J52" s="22">
        <v>15179</v>
      </c>
      <c r="K52" s="48">
        <f t="shared" si="11"/>
        <v>35856</v>
      </c>
      <c r="L52" s="48">
        <f t="shared" si="12"/>
        <v>35856</v>
      </c>
      <c r="M52" s="48">
        <f t="shared" si="13"/>
        <v>15179</v>
      </c>
    </row>
    <row r="53" spans="1:13" x14ac:dyDescent="0.2">
      <c r="A53" s="315" t="s">
        <v>855</v>
      </c>
      <c r="B53" s="48"/>
      <c r="C53" s="48"/>
      <c r="D53" s="48"/>
      <c r="E53" s="48"/>
      <c r="F53" s="22"/>
      <c r="G53" s="22"/>
      <c r="H53" s="48"/>
      <c r="I53" s="48">
        <v>72500</v>
      </c>
      <c r="J53" s="22">
        <v>0</v>
      </c>
      <c r="K53" s="48"/>
      <c r="L53" s="48">
        <f t="shared" si="12"/>
        <v>72500</v>
      </c>
      <c r="M53" s="48">
        <f t="shared" si="13"/>
        <v>0</v>
      </c>
    </row>
    <row r="54" spans="1:13" x14ac:dyDescent="0.2">
      <c r="A54" s="315" t="s">
        <v>424</v>
      </c>
      <c r="B54" s="48"/>
      <c r="C54" s="48"/>
      <c r="D54" s="48"/>
      <c r="E54" s="48"/>
      <c r="F54" s="22"/>
      <c r="G54" s="22"/>
      <c r="H54" s="48">
        <v>113971</v>
      </c>
      <c r="I54" s="48">
        <v>112734</v>
      </c>
      <c r="J54" s="22">
        <v>52372</v>
      </c>
      <c r="K54" s="48">
        <f t="shared" si="11"/>
        <v>113971</v>
      </c>
      <c r="L54" s="48">
        <f t="shared" si="12"/>
        <v>112734</v>
      </c>
      <c r="M54" s="48">
        <f t="shared" si="13"/>
        <v>52372</v>
      </c>
    </row>
    <row r="55" spans="1:13" x14ac:dyDescent="0.2">
      <c r="A55" s="287" t="s">
        <v>87</v>
      </c>
      <c r="B55" s="49">
        <f t="shared" ref="B55:J55" si="14">SUM(B46:B54)</f>
        <v>319890</v>
      </c>
      <c r="C55" s="49">
        <f t="shared" si="14"/>
        <v>351780</v>
      </c>
      <c r="D55" s="49">
        <f t="shared" si="14"/>
        <v>200992</v>
      </c>
      <c r="E55" s="49">
        <f t="shared" si="14"/>
        <v>3175</v>
      </c>
      <c r="F55" s="49">
        <f t="shared" si="14"/>
        <v>4583</v>
      </c>
      <c r="G55" s="49">
        <f t="shared" si="14"/>
        <v>1395</v>
      </c>
      <c r="H55" s="49">
        <f t="shared" si="14"/>
        <v>869989</v>
      </c>
      <c r="I55" s="49">
        <f t="shared" si="14"/>
        <v>886402</v>
      </c>
      <c r="J55" s="49">
        <f t="shared" si="14"/>
        <v>414791</v>
      </c>
      <c r="K55" s="49">
        <f>SUM(K46:K54)</f>
        <v>1193054</v>
      </c>
      <c r="L55" s="49">
        <f t="shared" ref="L55:M55" si="15">SUM(L46:L54)</f>
        <v>1242765</v>
      </c>
      <c r="M55" s="49">
        <f t="shared" si="15"/>
        <v>617178</v>
      </c>
    </row>
    <row r="56" spans="1:13" x14ac:dyDescent="0.2">
      <c r="A56" s="285"/>
    </row>
    <row r="57" spans="1:13" x14ac:dyDescent="0.2">
      <c r="A57" s="836" t="s">
        <v>22</v>
      </c>
      <c r="B57" s="836"/>
      <c r="C57" s="836"/>
      <c r="D57" s="836"/>
      <c r="E57" s="836"/>
      <c r="F57" s="836"/>
      <c r="G57" s="836"/>
      <c r="H57" s="836"/>
      <c r="I57" s="836"/>
      <c r="J57" s="836"/>
      <c r="K57" s="836"/>
      <c r="L57" s="836"/>
      <c r="M57" s="836"/>
    </row>
    <row r="58" spans="1:13" x14ac:dyDescent="0.2">
      <c r="A58" s="822" t="s">
        <v>179</v>
      </c>
      <c r="B58" s="822"/>
      <c r="C58" s="822"/>
      <c r="D58" s="822"/>
      <c r="E58" s="822"/>
      <c r="F58" s="822"/>
      <c r="G58" s="822"/>
      <c r="H58" s="822"/>
      <c r="I58" s="822"/>
      <c r="J58" s="822"/>
      <c r="K58" s="822"/>
      <c r="L58" s="822"/>
      <c r="M58" s="822"/>
    </row>
    <row r="59" spans="1:13" x14ac:dyDescent="0.2">
      <c r="A59" s="286"/>
      <c r="B59" s="318"/>
      <c r="C59" s="318"/>
      <c r="D59" s="318"/>
      <c r="E59" s="318"/>
      <c r="F59" s="318"/>
      <c r="M59" s="318" t="s">
        <v>60</v>
      </c>
    </row>
    <row r="60" spans="1:13" ht="12.75" customHeight="1" x14ac:dyDescent="0.2">
      <c r="A60" s="827" t="s">
        <v>178</v>
      </c>
      <c r="B60" s="833" t="s">
        <v>173</v>
      </c>
      <c r="C60" s="834"/>
      <c r="D60" s="835"/>
      <c r="E60" s="823" t="s">
        <v>301</v>
      </c>
      <c r="F60" s="824"/>
      <c r="G60" s="825"/>
      <c r="H60" s="823" t="s">
        <v>172</v>
      </c>
      <c r="I60" s="824"/>
      <c r="J60" s="825"/>
      <c r="K60" s="833" t="s">
        <v>171</v>
      </c>
      <c r="L60" s="834"/>
      <c r="M60" s="835"/>
    </row>
    <row r="61" spans="1:13" s="289" customFormat="1" ht="35.25" customHeight="1" x14ac:dyDescent="0.2">
      <c r="A61" s="828"/>
      <c r="B61" s="671" t="s">
        <v>821</v>
      </c>
      <c r="C61" s="671" t="s">
        <v>823</v>
      </c>
      <c r="D61" s="672" t="s">
        <v>822</v>
      </c>
      <c r="E61" s="671" t="s">
        <v>821</v>
      </c>
      <c r="F61" s="671" t="s">
        <v>823</v>
      </c>
      <c r="G61" s="672" t="s">
        <v>822</v>
      </c>
      <c r="H61" s="671" t="s">
        <v>821</v>
      </c>
      <c r="I61" s="671" t="s">
        <v>823</v>
      </c>
      <c r="J61" s="672" t="s">
        <v>822</v>
      </c>
      <c r="K61" s="671" t="s">
        <v>821</v>
      </c>
      <c r="L61" s="671" t="s">
        <v>823</v>
      </c>
      <c r="M61" s="672" t="s">
        <v>822</v>
      </c>
    </row>
    <row r="62" spans="1:13" ht="24" customHeight="1" x14ac:dyDescent="0.2">
      <c r="A62" s="288" t="s">
        <v>307</v>
      </c>
      <c r="B62" s="48">
        <v>9000</v>
      </c>
      <c r="C62" s="48">
        <v>9000</v>
      </c>
      <c r="D62" s="48"/>
      <c r="E62" s="48"/>
      <c r="F62" s="48"/>
      <c r="G62" s="49"/>
      <c r="H62" s="22"/>
      <c r="I62" s="22"/>
      <c r="J62" s="22"/>
      <c r="K62" s="48">
        <f>SUM(B62,E62,H62)</f>
        <v>9000</v>
      </c>
      <c r="L62" s="48">
        <f t="shared" ref="L62:L66" si="16">SUM(C62,F62,I62)</f>
        <v>9000</v>
      </c>
      <c r="M62" s="48">
        <f t="shared" ref="M62:M66" si="17">SUM(D62,G62,J62)</f>
        <v>0</v>
      </c>
    </row>
    <row r="63" spans="1:13" x14ac:dyDescent="0.2">
      <c r="A63" s="288" t="s">
        <v>308</v>
      </c>
      <c r="B63" s="48">
        <v>5185</v>
      </c>
      <c r="C63" s="48">
        <v>5185</v>
      </c>
      <c r="D63" s="48">
        <v>541</v>
      </c>
      <c r="E63" s="48"/>
      <c r="F63" s="48"/>
      <c r="G63" s="49"/>
      <c r="H63" s="22"/>
      <c r="I63" s="22"/>
      <c r="J63" s="22"/>
      <c r="K63" s="48">
        <f t="shared" ref="K63:K66" si="18">SUM(B63,E63,H63)</f>
        <v>5185</v>
      </c>
      <c r="L63" s="48">
        <f t="shared" si="16"/>
        <v>5185</v>
      </c>
      <c r="M63" s="48">
        <f t="shared" si="17"/>
        <v>541</v>
      </c>
    </row>
    <row r="64" spans="1:13" ht="19.5" x14ac:dyDescent="0.2">
      <c r="A64" s="288" t="s">
        <v>309</v>
      </c>
      <c r="B64" s="48">
        <v>8692</v>
      </c>
      <c r="C64" s="48">
        <v>8692</v>
      </c>
      <c r="D64" s="48"/>
      <c r="E64" s="48"/>
      <c r="F64" s="48"/>
      <c r="G64" s="49"/>
      <c r="H64" s="22"/>
      <c r="I64" s="22"/>
      <c r="J64" s="22"/>
      <c r="K64" s="48">
        <f t="shared" si="18"/>
        <v>8692</v>
      </c>
      <c r="L64" s="48">
        <f t="shared" si="16"/>
        <v>8692</v>
      </c>
      <c r="M64" s="48">
        <f t="shared" si="17"/>
        <v>0</v>
      </c>
    </row>
    <row r="65" spans="1:13" ht="19.5" x14ac:dyDescent="0.2">
      <c r="A65" s="288" t="s">
        <v>310</v>
      </c>
      <c r="B65" s="48">
        <v>15906</v>
      </c>
      <c r="C65" s="48">
        <v>15906</v>
      </c>
      <c r="D65" s="48">
        <v>15906</v>
      </c>
      <c r="E65" s="48"/>
      <c r="F65" s="48"/>
      <c r="G65" s="49"/>
      <c r="H65" s="22"/>
      <c r="I65" s="22"/>
      <c r="J65" s="22"/>
      <c r="K65" s="48">
        <f t="shared" si="18"/>
        <v>15906</v>
      </c>
      <c r="L65" s="48">
        <f t="shared" si="16"/>
        <v>15906</v>
      </c>
      <c r="M65" s="48">
        <f t="shared" si="17"/>
        <v>15906</v>
      </c>
    </row>
    <row r="66" spans="1:13" x14ac:dyDescent="0.2">
      <c r="A66" s="287" t="s">
        <v>87</v>
      </c>
      <c r="B66" s="49">
        <f t="shared" ref="B66:J66" si="19">SUM(B62:B65)</f>
        <v>38783</v>
      </c>
      <c r="C66" s="49">
        <f t="shared" si="19"/>
        <v>38783</v>
      </c>
      <c r="D66" s="49">
        <f t="shared" si="19"/>
        <v>16447</v>
      </c>
      <c r="E66" s="49">
        <f t="shared" si="19"/>
        <v>0</v>
      </c>
      <c r="F66" s="49">
        <f t="shared" si="19"/>
        <v>0</v>
      </c>
      <c r="G66" s="49">
        <f t="shared" si="19"/>
        <v>0</v>
      </c>
      <c r="H66" s="49">
        <f t="shared" si="19"/>
        <v>0</v>
      </c>
      <c r="I66" s="49">
        <f t="shared" si="19"/>
        <v>0</v>
      </c>
      <c r="J66" s="49">
        <f t="shared" si="19"/>
        <v>0</v>
      </c>
      <c r="K66" s="49">
        <f t="shared" si="18"/>
        <v>38783</v>
      </c>
      <c r="L66" s="49">
        <f t="shared" si="16"/>
        <v>38783</v>
      </c>
      <c r="M66" s="49">
        <f t="shared" si="17"/>
        <v>16447</v>
      </c>
    </row>
    <row r="68" spans="1:13" x14ac:dyDescent="0.2">
      <c r="A68" s="836" t="s">
        <v>725</v>
      </c>
      <c r="B68" s="836"/>
      <c r="C68" s="836"/>
      <c r="D68" s="836"/>
      <c r="E68" s="836"/>
      <c r="F68" s="836"/>
      <c r="G68" s="836"/>
      <c r="H68" s="836"/>
      <c r="I68" s="836"/>
      <c r="J68" s="836"/>
      <c r="K68" s="836"/>
      <c r="L68" s="836"/>
      <c r="M68" s="836"/>
    </row>
    <row r="69" spans="1:13" x14ac:dyDescent="0.2">
      <c r="A69" s="822" t="s">
        <v>1339</v>
      </c>
      <c r="B69" s="822"/>
      <c r="C69" s="822"/>
      <c r="D69" s="822"/>
      <c r="E69" s="822"/>
      <c r="F69" s="822"/>
      <c r="G69" s="822"/>
      <c r="H69" s="822"/>
      <c r="I69" s="822"/>
      <c r="J69" s="822"/>
      <c r="K69" s="822"/>
      <c r="L69" s="822"/>
      <c r="M69" s="822"/>
    </row>
    <row r="70" spans="1:13" x14ac:dyDescent="0.2">
      <c r="A70" s="837" t="s">
        <v>60</v>
      </c>
      <c r="B70" s="837"/>
      <c r="C70" s="837"/>
      <c r="D70" s="837"/>
      <c r="E70" s="837"/>
      <c r="F70" s="837"/>
      <c r="G70" s="837"/>
      <c r="H70" s="837"/>
      <c r="I70" s="837"/>
      <c r="J70" s="837"/>
      <c r="K70" s="837"/>
      <c r="L70" s="837"/>
      <c r="M70" s="837"/>
    </row>
    <row r="71" spans="1:13" ht="12.75" customHeight="1" x14ac:dyDescent="0.2">
      <c r="A71" s="827" t="s">
        <v>178</v>
      </c>
      <c r="B71" s="833" t="s">
        <v>173</v>
      </c>
      <c r="C71" s="834"/>
      <c r="D71" s="835"/>
      <c r="E71" s="823" t="s">
        <v>301</v>
      </c>
      <c r="F71" s="824"/>
      <c r="G71" s="825"/>
      <c r="H71" s="823" t="s">
        <v>172</v>
      </c>
      <c r="I71" s="824"/>
      <c r="J71" s="825"/>
      <c r="K71" s="833" t="s">
        <v>171</v>
      </c>
      <c r="L71" s="834"/>
      <c r="M71" s="835"/>
    </row>
    <row r="72" spans="1:13" s="289" customFormat="1" ht="33" customHeight="1" x14ac:dyDescent="0.2">
      <c r="A72" s="828"/>
      <c r="B72" s="671" t="s">
        <v>821</v>
      </c>
      <c r="C72" s="671" t="s">
        <v>823</v>
      </c>
      <c r="D72" s="672" t="s">
        <v>822</v>
      </c>
      <c r="E72" s="671" t="s">
        <v>821</v>
      </c>
      <c r="F72" s="671" t="s">
        <v>823</v>
      </c>
      <c r="G72" s="672" t="s">
        <v>822</v>
      </c>
      <c r="H72" s="671" t="s">
        <v>821</v>
      </c>
      <c r="I72" s="671" t="s">
        <v>823</v>
      </c>
      <c r="J72" s="672" t="s">
        <v>822</v>
      </c>
      <c r="K72" s="671" t="s">
        <v>821</v>
      </c>
      <c r="L72" s="671" t="s">
        <v>823</v>
      </c>
      <c r="M72" s="672" t="s">
        <v>822</v>
      </c>
    </row>
    <row r="73" spans="1:13" ht="23.25" customHeight="1" x14ac:dyDescent="0.2">
      <c r="A73" s="288" t="s">
        <v>311</v>
      </c>
      <c r="B73" s="48">
        <v>100</v>
      </c>
      <c r="C73" s="48">
        <v>100</v>
      </c>
      <c r="D73" s="48"/>
      <c r="E73" s="48"/>
      <c r="F73" s="48"/>
      <c r="G73" s="49"/>
      <c r="H73" s="22"/>
      <c r="I73" s="22"/>
      <c r="J73" s="22"/>
      <c r="K73" s="48">
        <f>SUM(B73,E73,H73)</f>
        <v>100</v>
      </c>
      <c r="L73" s="48">
        <f t="shared" ref="L73:M80" si="20">SUM(C73,F73,I73)</f>
        <v>100</v>
      </c>
      <c r="M73" s="48">
        <f t="shared" si="20"/>
        <v>0</v>
      </c>
    </row>
    <row r="74" spans="1:13" ht="19.5" x14ac:dyDescent="0.2">
      <c r="A74" s="288" t="s">
        <v>313</v>
      </c>
      <c r="B74" s="48">
        <v>1000</v>
      </c>
      <c r="C74" s="48">
        <v>1000</v>
      </c>
      <c r="D74" s="48">
        <v>398</v>
      </c>
      <c r="E74" s="48"/>
      <c r="F74" s="48"/>
      <c r="G74" s="49"/>
      <c r="H74" s="22"/>
      <c r="I74" s="22"/>
      <c r="J74" s="22"/>
      <c r="K74" s="48">
        <f t="shared" ref="K74:K80" si="21">SUM(B74,E74,H74)</f>
        <v>1000</v>
      </c>
      <c r="L74" s="48">
        <f t="shared" si="20"/>
        <v>1000</v>
      </c>
      <c r="M74" s="48">
        <f t="shared" si="20"/>
        <v>398</v>
      </c>
    </row>
    <row r="75" spans="1:13" ht="30.75" customHeight="1" x14ac:dyDescent="0.2">
      <c r="A75" s="288" t="s">
        <v>312</v>
      </c>
      <c r="B75" s="48">
        <v>18180</v>
      </c>
      <c r="C75" s="48">
        <v>18180</v>
      </c>
      <c r="D75" s="48"/>
      <c r="E75" s="48"/>
      <c r="F75" s="48"/>
      <c r="G75" s="49"/>
      <c r="H75" s="22"/>
      <c r="I75" s="22"/>
      <c r="J75" s="22"/>
      <c r="K75" s="48">
        <f t="shared" si="21"/>
        <v>18180</v>
      </c>
      <c r="L75" s="48">
        <f t="shared" si="20"/>
        <v>18180</v>
      </c>
      <c r="M75" s="48">
        <f t="shared" si="20"/>
        <v>0</v>
      </c>
    </row>
    <row r="76" spans="1:13" x14ac:dyDescent="0.2">
      <c r="A76" s="288" t="s">
        <v>833</v>
      </c>
      <c r="B76" s="48"/>
      <c r="C76" s="48"/>
      <c r="D76" s="48">
        <v>12538</v>
      </c>
      <c r="E76" s="48"/>
      <c r="F76" s="48"/>
      <c r="G76" s="49"/>
      <c r="H76" s="22"/>
      <c r="I76" s="22"/>
      <c r="J76" s="22"/>
      <c r="K76" s="48">
        <f t="shared" si="21"/>
        <v>0</v>
      </c>
      <c r="L76" s="48">
        <f t="shared" si="20"/>
        <v>0</v>
      </c>
      <c r="M76" s="48">
        <f t="shared" si="20"/>
        <v>12538</v>
      </c>
    </row>
    <row r="77" spans="1:13" x14ac:dyDescent="0.2">
      <c r="A77" s="314" t="s">
        <v>390</v>
      </c>
      <c r="B77" s="48"/>
      <c r="C77" s="48"/>
      <c r="D77" s="48"/>
      <c r="E77" s="48"/>
      <c r="F77" s="48"/>
      <c r="G77" s="49"/>
      <c r="H77" s="22">
        <v>0</v>
      </c>
      <c r="I77" s="22">
        <v>0</v>
      </c>
      <c r="J77" s="22">
        <v>190</v>
      </c>
      <c r="K77" s="48">
        <f t="shared" si="21"/>
        <v>0</v>
      </c>
      <c r="L77" s="48">
        <f t="shared" si="20"/>
        <v>0</v>
      </c>
      <c r="M77" s="48">
        <f t="shared" si="20"/>
        <v>190</v>
      </c>
    </row>
    <row r="78" spans="1:13" x14ac:dyDescent="0.2">
      <c r="A78" s="314" t="s">
        <v>834</v>
      </c>
      <c r="B78" s="48"/>
      <c r="C78" s="48"/>
      <c r="D78" s="48"/>
      <c r="E78" s="48"/>
      <c r="F78" s="48"/>
      <c r="G78" s="49"/>
      <c r="H78" s="22">
        <v>0</v>
      </c>
      <c r="I78" s="22">
        <v>300</v>
      </c>
      <c r="J78" s="22">
        <v>0</v>
      </c>
      <c r="K78" s="48">
        <f t="shared" si="21"/>
        <v>0</v>
      </c>
      <c r="L78" s="48">
        <f t="shared" si="20"/>
        <v>300</v>
      </c>
      <c r="M78" s="48">
        <f t="shared" si="20"/>
        <v>0</v>
      </c>
    </row>
    <row r="79" spans="1:13" x14ac:dyDescent="0.2">
      <c r="A79" s="314" t="s">
        <v>318</v>
      </c>
      <c r="B79" s="48"/>
      <c r="C79" s="48"/>
      <c r="D79" s="48"/>
      <c r="E79" s="48"/>
      <c r="F79" s="48">
        <v>3358</v>
      </c>
      <c r="G79" s="49"/>
      <c r="H79" s="22"/>
      <c r="I79" s="22"/>
      <c r="J79" s="22"/>
      <c r="K79" s="48">
        <f t="shared" si="21"/>
        <v>0</v>
      </c>
      <c r="L79" s="48">
        <f t="shared" si="20"/>
        <v>3358</v>
      </c>
      <c r="M79" s="48">
        <f t="shared" si="20"/>
        <v>0</v>
      </c>
    </row>
    <row r="80" spans="1:13" x14ac:dyDescent="0.2">
      <c r="A80" s="314" t="s">
        <v>393</v>
      </c>
      <c r="B80" s="48"/>
      <c r="C80" s="48"/>
      <c r="D80" s="48"/>
      <c r="E80" s="48"/>
      <c r="F80" s="48"/>
      <c r="G80" s="49"/>
      <c r="H80" s="22"/>
      <c r="I80" s="22"/>
      <c r="J80" s="22">
        <v>100</v>
      </c>
      <c r="K80" s="48">
        <f t="shared" si="21"/>
        <v>0</v>
      </c>
      <c r="L80" s="48">
        <f t="shared" si="20"/>
        <v>0</v>
      </c>
      <c r="M80" s="48">
        <f t="shared" si="20"/>
        <v>100</v>
      </c>
    </row>
    <row r="81" spans="1:13" x14ac:dyDescent="0.2">
      <c r="A81" s="287" t="s">
        <v>87</v>
      </c>
      <c r="B81" s="49">
        <f>SUM(B73:B80)</f>
        <v>19280</v>
      </c>
      <c r="C81" s="49">
        <f t="shared" ref="C81:M81" si="22">SUM(C73:C80)</f>
        <v>19280</v>
      </c>
      <c r="D81" s="49">
        <f t="shared" si="22"/>
        <v>12936</v>
      </c>
      <c r="E81" s="49">
        <f t="shared" si="22"/>
        <v>0</v>
      </c>
      <c r="F81" s="49">
        <f t="shared" si="22"/>
        <v>3358</v>
      </c>
      <c r="G81" s="49">
        <f t="shared" si="22"/>
        <v>0</v>
      </c>
      <c r="H81" s="49">
        <f t="shared" si="22"/>
        <v>0</v>
      </c>
      <c r="I81" s="49">
        <f t="shared" si="22"/>
        <v>300</v>
      </c>
      <c r="J81" s="49">
        <f t="shared" si="22"/>
        <v>290</v>
      </c>
      <c r="K81" s="49">
        <f t="shared" si="22"/>
        <v>19280</v>
      </c>
      <c r="L81" s="49">
        <f t="shared" si="22"/>
        <v>22938</v>
      </c>
      <c r="M81" s="49">
        <f t="shared" si="22"/>
        <v>13226</v>
      </c>
    </row>
  </sheetData>
  <mergeCells count="29">
    <mergeCell ref="A57:M57"/>
    <mergeCell ref="A58:M58"/>
    <mergeCell ref="A71:A72"/>
    <mergeCell ref="H60:J60"/>
    <mergeCell ref="K60:M60"/>
    <mergeCell ref="B71:D71"/>
    <mergeCell ref="E71:G71"/>
    <mergeCell ref="H71:J71"/>
    <mergeCell ref="K71:M71"/>
    <mergeCell ref="A68:M68"/>
    <mergeCell ref="A69:M69"/>
    <mergeCell ref="A70:M70"/>
    <mergeCell ref="A60:A61"/>
    <mergeCell ref="B60:D60"/>
    <mergeCell ref="E60:G60"/>
    <mergeCell ref="A2:M2"/>
    <mergeCell ref="H4:J4"/>
    <mergeCell ref="A3:B3"/>
    <mergeCell ref="A44:A45"/>
    <mergeCell ref="A4:A5"/>
    <mergeCell ref="B44:D44"/>
    <mergeCell ref="E44:G44"/>
    <mergeCell ref="H44:J44"/>
    <mergeCell ref="K44:M44"/>
    <mergeCell ref="K4:M4"/>
    <mergeCell ref="E4:G4"/>
    <mergeCell ref="B4:D4"/>
    <mergeCell ref="A42:M42"/>
    <mergeCell ref="A41:M41"/>
  </mergeCells>
  <printOptions horizontalCentered="1"/>
  <pageMargins left="0.43307086614173229" right="0.15748031496062992" top="0.35433070866141736" bottom="0" header="7.874015748031496E-2" footer="0"/>
  <pageSetup paperSize="9" scale="75" orientation="portrait" r:id="rId1"/>
  <headerFooter>
    <oddHeader>&amp;LVeresegyház Város Önkormányzata&amp;C&amp;"Arial CE,Félkövér"&amp;12ELŐIRÁNYZAT MÓDOSÍTÁS, TELJESÍTÉS 2015.06.30.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F29" sqref="F29"/>
    </sheetView>
  </sheetViews>
  <sheetFormatPr defaultRowHeight="12" x14ac:dyDescent="0.2"/>
  <cols>
    <col min="1" max="2" width="9.140625" style="779"/>
    <col min="3" max="3" width="12" style="779" customWidth="1"/>
    <col min="4" max="5" width="9.5703125" style="779" bestFit="1" customWidth="1"/>
    <col min="6" max="6" width="10" style="779" customWidth="1"/>
    <col min="7" max="11" width="7.140625" style="779" customWidth="1"/>
    <col min="12" max="13" width="9.5703125" style="779" bestFit="1" customWidth="1"/>
    <col min="14" max="14" width="10.42578125" style="779" customWidth="1"/>
    <col min="15" max="16384" width="9.140625" style="779"/>
  </cols>
  <sheetData>
    <row r="1" spans="1:14" ht="15.75" customHeight="1" x14ac:dyDescent="0.2">
      <c r="A1" s="780" t="s">
        <v>95</v>
      </c>
      <c r="B1" s="780"/>
      <c r="C1" s="1099" t="s">
        <v>371</v>
      </c>
      <c r="D1" s="1099"/>
      <c r="E1" s="1099"/>
      <c r="F1" s="1099"/>
      <c r="G1" s="1099"/>
      <c r="H1" s="1099"/>
      <c r="I1" s="1099"/>
      <c r="J1" s="1099"/>
      <c r="K1" s="1099"/>
      <c r="L1" s="1099"/>
      <c r="M1" s="1099"/>
      <c r="N1" s="1099"/>
    </row>
    <row r="2" spans="1:14" ht="15.75" customHeight="1" x14ac:dyDescent="0.2">
      <c r="A2" s="1100" t="s">
        <v>96</v>
      </c>
      <c r="B2" s="1100"/>
      <c r="C2" s="1099" t="s">
        <v>372</v>
      </c>
      <c r="D2" s="1099"/>
      <c r="E2" s="1099"/>
      <c r="F2" s="1099"/>
      <c r="G2" s="1099"/>
      <c r="H2" s="1099"/>
      <c r="I2" s="1099"/>
      <c r="J2" s="1099"/>
      <c r="K2" s="1099"/>
      <c r="L2" s="1099"/>
      <c r="M2" s="1099"/>
      <c r="N2" s="1099"/>
    </row>
    <row r="3" spans="1:14" x14ac:dyDescent="0.2">
      <c r="A3" s="1101" t="s">
        <v>97</v>
      </c>
      <c r="B3" s="1102"/>
      <c r="C3" s="1103"/>
      <c r="D3" s="1092">
        <v>2015</v>
      </c>
      <c r="E3" s="1093"/>
      <c r="F3" s="1094"/>
      <c r="G3" s="781">
        <v>2016</v>
      </c>
      <c r="H3" s="781">
        <v>2017</v>
      </c>
      <c r="I3" s="781">
        <v>2018</v>
      </c>
      <c r="J3" s="782">
        <v>2019</v>
      </c>
      <c r="K3" s="782">
        <v>2020</v>
      </c>
      <c r="L3" s="1092" t="s">
        <v>87</v>
      </c>
      <c r="M3" s="1093"/>
      <c r="N3" s="1094"/>
    </row>
    <row r="4" spans="1:14" ht="51" customHeight="1" x14ac:dyDescent="0.2">
      <c r="A4" s="1104"/>
      <c r="B4" s="1105"/>
      <c r="C4" s="1106"/>
      <c r="D4" s="438" t="s">
        <v>821</v>
      </c>
      <c r="E4" s="438" t="s">
        <v>823</v>
      </c>
      <c r="F4" s="438" t="s">
        <v>822</v>
      </c>
      <c r="G4" s="795"/>
      <c r="H4" s="795"/>
      <c r="I4" s="795"/>
      <c r="J4" s="437"/>
      <c r="K4" s="437"/>
      <c r="L4" s="438" t="s">
        <v>821</v>
      </c>
      <c r="M4" s="438" t="s">
        <v>823</v>
      </c>
      <c r="N4" s="438" t="s">
        <v>822</v>
      </c>
    </row>
    <row r="5" spans="1:14" x14ac:dyDescent="0.2">
      <c r="A5" s="1090" t="s">
        <v>98</v>
      </c>
      <c r="B5" s="1090"/>
      <c r="C5" s="1090"/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</row>
    <row r="6" spans="1:14" x14ac:dyDescent="0.2">
      <c r="A6" s="1095" t="s">
        <v>99</v>
      </c>
      <c r="B6" s="1090"/>
      <c r="C6" s="1090"/>
      <c r="D6" s="780"/>
      <c r="E6" s="780"/>
      <c r="F6" s="780"/>
      <c r="G6" s="780"/>
      <c r="H6" s="780"/>
      <c r="I6" s="781"/>
      <c r="J6" s="780"/>
      <c r="K6" s="780"/>
      <c r="L6" s="780"/>
      <c r="M6" s="780"/>
      <c r="N6" s="780"/>
    </row>
    <row r="7" spans="1:14" x14ac:dyDescent="0.2">
      <c r="A7" s="1090" t="s">
        <v>373</v>
      </c>
      <c r="B7" s="1090"/>
      <c r="C7" s="1090"/>
      <c r="D7" s="784">
        <v>20149</v>
      </c>
      <c r="E7" s="784">
        <v>20149</v>
      </c>
      <c r="F7" s="784"/>
      <c r="G7" s="780"/>
      <c r="H7" s="780"/>
      <c r="I7" s="780"/>
      <c r="J7" s="780"/>
      <c r="K7" s="780"/>
      <c r="L7" s="784">
        <f>SUM(D7,G7:K7)</f>
        <v>20149</v>
      </c>
      <c r="M7" s="784">
        <f>SUM(E7,G7:K7)</f>
        <v>20149</v>
      </c>
      <c r="N7" s="784">
        <f>SUM(F7,G7:K7)</f>
        <v>0</v>
      </c>
    </row>
    <row r="8" spans="1:14" x14ac:dyDescent="0.2">
      <c r="A8" s="1091" t="s">
        <v>100</v>
      </c>
      <c r="B8" s="1091"/>
      <c r="C8" s="1091"/>
      <c r="D8" s="780"/>
      <c r="E8" s="780"/>
      <c r="F8" s="780"/>
      <c r="G8" s="780"/>
      <c r="H8" s="780"/>
      <c r="I8" s="780"/>
      <c r="J8" s="780"/>
      <c r="K8" s="780"/>
      <c r="L8" s="784"/>
      <c r="M8" s="784"/>
      <c r="N8" s="784"/>
    </row>
    <row r="9" spans="1:14" x14ac:dyDescent="0.2">
      <c r="A9" s="1091" t="s">
        <v>65</v>
      </c>
      <c r="B9" s="1091"/>
      <c r="C9" s="1091"/>
      <c r="D9" s="780"/>
      <c r="E9" s="780"/>
      <c r="F9" s="780"/>
      <c r="G9" s="780"/>
      <c r="H9" s="780"/>
      <c r="I9" s="781"/>
      <c r="J9" s="780"/>
      <c r="K9" s="780"/>
      <c r="L9" s="784"/>
      <c r="M9" s="784"/>
      <c r="N9" s="784"/>
    </row>
    <row r="10" spans="1:14" x14ac:dyDescent="0.2">
      <c r="A10" s="1091" t="s">
        <v>101</v>
      </c>
      <c r="B10" s="1091"/>
      <c r="C10" s="1091"/>
      <c r="D10" s="780"/>
      <c r="E10" s="780"/>
      <c r="F10" s="780"/>
      <c r="G10" s="780"/>
      <c r="H10" s="780"/>
      <c r="I10" s="780"/>
      <c r="J10" s="780"/>
      <c r="K10" s="780"/>
      <c r="L10" s="784"/>
      <c r="M10" s="784"/>
      <c r="N10" s="784"/>
    </row>
    <row r="11" spans="1:14" x14ac:dyDescent="0.2">
      <c r="A11" s="1090"/>
      <c r="B11" s="1090"/>
      <c r="C11" s="1090"/>
      <c r="D11" s="784"/>
      <c r="E11" s="784"/>
      <c r="F11" s="784"/>
      <c r="G11" s="780"/>
      <c r="H11" s="780"/>
      <c r="I11" s="780"/>
      <c r="J11" s="780"/>
      <c r="K11" s="780"/>
      <c r="L11" s="784"/>
      <c r="M11" s="784"/>
      <c r="N11" s="784"/>
    </row>
    <row r="12" spans="1:14" x14ac:dyDescent="0.2">
      <c r="A12" s="1096" t="s">
        <v>102</v>
      </c>
      <c r="B12" s="1097"/>
      <c r="C12" s="1098"/>
      <c r="D12" s="785">
        <f>SUM(D5:D11)</f>
        <v>20149</v>
      </c>
      <c r="E12" s="785">
        <f t="shared" ref="E12:K12" si="0">SUM(E5:E11)</f>
        <v>20149</v>
      </c>
      <c r="F12" s="785">
        <f t="shared" si="0"/>
        <v>0</v>
      </c>
      <c r="G12" s="785">
        <f t="shared" si="0"/>
        <v>0</v>
      </c>
      <c r="H12" s="785">
        <f t="shared" si="0"/>
        <v>0</v>
      </c>
      <c r="I12" s="785">
        <f t="shared" si="0"/>
        <v>0</v>
      </c>
      <c r="J12" s="785">
        <f t="shared" si="0"/>
        <v>0</v>
      </c>
      <c r="K12" s="785">
        <f t="shared" si="0"/>
        <v>0</v>
      </c>
      <c r="L12" s="785">
        <f>SUM(L5:L11)</f>
        <v>20149</v>
      </c>
      <c r="M12" s="785">
        <f t="shared" ref="M12:N12" si="1">SUM(M5:M11)</f>
        <v>20149</v>
      </c>
      <c r="N12" s="785">
        <f t="shared" si="1"/>
        <v>0</v>
      </c>
    </row>
    <row r="13" spans="1:14" x14ac:dyDescent="0.2">
      <c r="A13" s="786"/>
      <c r="B13" s="786"/>
      <c r="C13" s="786"/>
      <c r="D13" s="786"/>
      <c r="E13" s="786"/>
      <c r="F13" s="786"/>
      <c r="G13" s="786"/>
      <c r="H13" s="786"/>
      <c r="I13" s="786"/>
      <c r="J13" s="786"/>
      <c r="K13" s="786"/>
      <c r="L13" s="786"/>
      <c r="M13" s="786"/>
      <c r="N13" s="786"/>
    </row>
    <row r="14" spans="1:14" x14ac:dyDescent="0.2">
      <c r="A14" s="1092" t="s">
        <v>103</v>
      </c>
      <c r="B14" s="1093"/>
      <c r="C14" s="1094"/>
      <c r="D14" s="1092">
        <v>2015</v>
      </c>
      <c r="E14" s="1093"/>
      <c r="F14" s="1094"/>
      <c r="G14" s="781">
        <v>2016</v>
      </c>
      <c r="H14" s="781">
        <v>2017</v>
      </c>
      <c r="I14" s="781">
        <v>2018</v>
      </c>
      <c r="J14" s="781">
        <v>2019</v>
      </c>
      <c r="K14" s="781">
        <v>2020</v>
      </c>
      <c r="L14" s="1092" t="s">
        <v>87</v>
      </c>
      <c r="M14" s="1093"/>
      <c r="N14" s="1094"/>
    </row>
    <row r="15" spans="1:14" ht="33.75" x14ac:dyDescent="0.2">
      <c r="A15" s="787"/>
      <c r="B15" s="788"/>
      <c r="C15" s="789"/>
      <c r="D15" s="438" t="s">
        <v>821</v>
      </c>
      <c r="E15" s="438" t="s">
        <v>823</v>
      </c>
      <c r="F15" s="438" t="s">
        <v>822</v>
      </c>
      <c r="G15" s="795"/>
      <c r="H15" s="795"/>
      <c r="I15" s="795"/>
      <c r="J15" s="795"/>
      <c r="K15" s="795"/>
      <c r="L15" s="438" t="s">
        <v>821</v>
      </c>
      <c r="M15" s="438" t="s">
        <v>823</v>
      </c>
      <c r="N15" s="438" t="s">
        <v>822</v>
      </c>
    </row>
    <row r="16" spans="1:14" x14ac:dyDescent="0.2">
      <c r="A16" s="1086" t="s">
        <v>809</v>
      </c>
      <c r="B16" s="1087"/>
      <c r="C16" s="1088"/>
      <c r="D16" s="790">
        <v>9271</v>
      </c>
      <c r="E16" s="790">
        <v>9271</v>
      </c>
      <c r="F16" s="790"/>
      <c r="G16" s="780"/>
      <c r="H16" s="780"/>
      <c r="I16" s="780"/>
      <c r="J16" s="780"/>
      <c r="K16" s="780"/>
      <c r="L16" s="784">
        <f>SUM(D16,G16:K16)</f>
        <v>9271</v>
      </c>
      <c r="M16" s="784">
        <f>SUM(E16,G16:K16)</f>
        <v>9271</v>
      </c>
      <c r="N16" s="784">
        <f>SUM(F16,G16:K16)</f>
        <v>0</v>
      </c>
    </row>
    <row r="17" spans="1:14" x14ac:dyDescent="0.2">
      <c r="A17" s="1086"/>
      <c r="B17" s="1087"/>
      <c r="C17" s="1088"/>
      <c r="D17" s="791"/>
      <c r="E17" s="791"/>
      <c r="F17" s="791"/>
      <c r="G17" s="780"/>
      <c r="H17" s="780"/>
      <c r="I17" s="780"/>
      <c r="J17" s="780"/>
      <c r="K17" s="780"/>
      <c r="L17" s="784"/>
      <c r="M17" s="784"/>
      <c r="N17" s="784"/>
    </row>
    <row r="18" spans="1:14" x14ac:dyDescent="0.2">
      <c r="A18" s="1089" t="s">
        <v>104</v>
      </c>
      <c r="B18" s="1090"/>
      <c r="C18" s="1090"/>
      <c r="D18" s="792">
        <f t="shared" ref="D18:K18" si="2">SUM(D16)</f>
        <v>9271</v>
      </c>
      <c r="E18" s="792">
        <f t="shared" si="2"/>
        <v>9271</v>
      </c>
      <c r="F18" s="792">
        <f t="shared" si="2"/>
        <v>0</v>
      </c>
      <c r="G18" s="792">
        <f t="shared" si="2"/>
        <v>0</v>
      </c>
      <c r="H18" s="792">
        <f t="shared" si="2"/>
        <v>0</v>
      </c>
      <c r="I18" s="792">
        <f t="shared" si="2"/>
        <v>0</v>
      </c>
      <c r="J18" s="792">
        <f t="shared" si="2"/>
        <v>0</v>
      </c>
      <c r="K18" s="792">
        <f t="shared" si="2"/>
        <v>0</v>
      </c>
      <c r="L18" s="785">
        <f>SUM(L16:L17)</f>
        <v>9271</v>
      </c>
      <c r="M18" s="785">
        <f>SUM(M16:M17)</f>
        <v>9271</v>
      </c>
      <c r="N18" s="785">
        <f>SUM(N16:N17)</f>
        <v>0</v>
      </c>
    </row>
    <row r="20" spans="1:14" ht="15" customHeight="1" x14ac:dyDescent="0.2">
      <c r="A20" s="780" t="s">
        <v>95</v>
      </c>
      <c r="B20" s="780"/>
      <c r="C20" s="1099" t="s">
        <v>839</v>
      </c>
      <c r="D20" s="1099"/>
      <c r="E20" s="1099"/>
      <c r="F20" s="1099"/>
      <c r="G20" s="1099"/>
      <c r="H20" s="1099"/>
      <c r="I20" s="1099"/>
      <c r="J20" s="1099"/>
      <c r="K20" s="1099"/>
      <c r="L20" s="1099"/>
      <c r="M20" s="1099"/>
      <c r="N20" s="1099"/>
    </row>
    <row r="21" spans="1:14" ht="16.5" customHeight="1" x14ac:dyDescent="0.2">
      <c r="A21" s="1100" t="s">
        <v>96</v>
      </c>
      <c r="B21" s="1100"/>
      <c r="C21" s="1099" t="s">
        <v>836</v>
      </c>
      <c r="D21" s="1099"/>
      <c r="E21" s="1099"/>
      <c r="F21" s="1099"/>
      <c r="G21" s="1099"/>
      <c r="H21" s="1099"/>
      <c r="I21" s="1099"/>
      <c r="J21" s="1099"/>
      <c r="K21" s="1099"/>
      <c r="L21" s="1099"/>
      <c r="M21" s="1099"/>
      <c r="N21" s="1099"/>
    </row>
    <row r="22" spans="1:14" x14ac:dyDescent="0.2">
      <c r="A22" s="1101" t="s">
        <v>97</v>
      </c>
      <c r="B22" s="1102"/>
      <c r="C22" s="1103"/>
      <c r="D22" s="1092">
        <v>2015</v>
      </c>
      <c r="E22" s="1093"/>
      <c r="F22" s="1094"/>
      <c r="G22" s="781">
        <v>2016</v>
      </c>
      <c r="H22" s="781">
        <v>2017</v>
      </c>
      <c r="I22" s="781">
        <v>2018</v>
      </c>
      <c r="J22" s="782">
        <v>2019</v>
      </c>
      <c r="K22" s="782">
        <v>2020</v>
      </c>
      <c r="L22" s="1092" t="s">
        <v>87</v>
      </c>
      <c r="M22" s="1093"/>
      <c r="N22" s="1094"/>
    </row>
    <row r="23" spans="1:14" ht="33.75" x14ac:dyDescent="0.2">
      <c r="A23" s="1104"/>
      <c r="B23" s="1105"/>
      <c r="C23" s="1106"/>
      <c r="D23" s="438" t="s">
        <v>821</v>
      </c>
      <c r="E23" s="438" t="s">
        <v>823</v>
      </c>
      <c r="F23" s="438" t="s">
        <v>822</v>
      </c>
      <c r="G23" s="795"/>
      <c r="H23" s="795"/>
      <c r="I23" s="795"/>
      <c r="J23" s="437"/>
      <c r="K23" s="437"/>
      <c r="L23" s="438" t="s">
        <v>821</v>
      </c>
      <c r="M23" s="438" t="s">
        <v>823</v>
      </c>
      <c r="N23" s="438" t="s">
        <v>822</v>
      </c>
    </row>
    <row r="24" spans="1:14" x14ac:dyDescent="0.2">
      <c r="A24" s="1090" t="s">
        <v>98</v>
      </c>
      <c r="B24" s="1090"/>
      <c r="C24" s="1090"/>
      <c r="D24" s="784"/>
      <c r="E24" s="784">
        <v>22232</v>
      </c>
      <c r="F24" s="784"/>
      <c r="G24" s="784"/>
      <c r="H24" s="784"/>
      <c r="I24" s="784"/>
      <c r="J24" s="784"/>
      <c r="K24" s="784"/>
      <c r="L24" s="784"/>
      <c r="M24" s="784">
        <f>SUM(E24)</f>
        <v>22232</v>
      </c>
      <c r="N24" s="784"/>
    </row>
    <row r="25" spans="1:14" x14ac:dyDescent="0.2">
      <c r="A25" s="1095" t="s">
        <v>99</v>
      </c>
      <c r="B25" s="1090"/>
      <c r="C25" s="1090"/>
      <c r="D25" s="784"/>
      <c r="E25" s="784">
        <v>125979</v>
      </c>
      <c r="F25" s="784"/>
      <c r="G25" s="784"/>
      <c r="H25" s="784"/>
      <c r="I25" s="793"/>
      <c r="J25" s="784"/>
      <c r="K25" s="784"/>
      <c r="L25" s="784"/>
      <c r="M25" s="784">
        <f t="shared" ref="M25:M29" si="3">SUM(E25)</f>
        <v>125979</v>
      </c>
      <c r="N25" s="784"/>
    </row>
    <row r="26" spans="1:14" x14ac:dyDescent="0.2">
      <c r="A26" s="1090" t="s">
        <v>373</v>
      </c>
      <c r="B26" s="1090"/>
      <c r="C26" s="1090"/>
      <c r="D26" s="784"/>
      <c r="E26" s="784"/>
      <c r="F26" s="784"/>
      <c r="G26" s="784"/>
      <c r="H26" s="784"/>
      <c r="I26" s="784"/>
      <c r="J26" s="784"/>
      <c r="K26" s="784"/>
      <c r="L26" s="784">
        <f>SUM(D26,G26:K26)</f>
        <v>0</v>
      </c>
      <c r="M26" s="784">
        <f t="shared" si="3"/>
        <v>0</v>
      </c>
      <c r="N26" s="784">
        <f>SUM(F26,G26:K26)</f>
        <v>0</v>
      </c>
    </row>
    <row r="27" spans="1:14" x14ac:dyDescent="0.2">
      <c r="A27" s="1091" t="s">
        <v>100</v>
      </c>
      <c r="B27" s="1091"/>
      <c r="C27" s="1091"/>
      <c r="D27" s="784"/>
      <c r="E27" s="784"/>
      <c r="F27" s="784"/>
      <c r="G27" s="784"/>
      <c r="H27" s="784"/>
      <c r="I27" s="784"/>
      <c r="J27" s="784"/>
      <c r="K27" s="784"/>
      <c r="L27" s="784"/>
      <c r="M27" s="784">
        <f t="shared" si="3"/>
        <v>0</v>
      </c>
      <c r="N27" s="784"/>
    </row>
    <row r="28" spans="1:14" x14ac:dyDescent="0.2">
      <c r="A28" s="1091" t="s">
        <v>65</v>
      </c>
      <c r="B28" s="1091"/>
      <c r="C28" s="1091"/>
      <c r="D28" s="784"/>
      <c r="E28" s="784"/>
      <c r="F28" s="784"/>
      <c r="G28" s="784"/>
      <c r="H28" s="784"/>
      <c r="I28" s="793"/>
      <c r="J28" s="784"/>
      <c r="K28" s="784"/>
      <c r="L28" s="784"/>
      <c r="M28" s="784">
        <f t="shared" si="3"/>
        <v>0</v>
      </c>
      <c r="N28" s="784"/>
    </row>
    <row r="29" spans="1:14" x14ac:dyDescent="0.2">
      <c r="A29" s="1091" t="s">
        <v>101</v>
      </c>
      <c r="B29" s="1091"/>
      <c r="C29" s="1091"/>
      <c r="D29" s="784"/>
      <c r="E29" s="784"/>
      <c r="F29" s="784"/>
      <c r="G29" s="784"/>
      <c r="H29" s="784"/>
      <c r="I29" s="784"/>
      <c r="J29" s="784"/>
      <c r="K29" s="784"/>
      <c r="L29" s="784"/>
      <c r="M29" s="784">
        <f t="shared" si="3"/>
        <v>0</v>
      </c>
      <c r="N29" s="784"/>
    </row>
    <row r="30" spans="1:14" x14ac:dyDescent="0.2">
      <c r="A30" s="1090"/>
      <c r="B30" s="1090"/>
      <c r="C30" s="1090"/>
      <c r="D30" s="784"/>
      <c r="E30" s="784"/>
      <c r="F30" s="784"/>
      <c r="G30" s="784"/>
      <c r="H30" s="784"/>
      <c r="I30" s="784"/>
      <c r="J30" s="784"/>
      <c r="K30" s="784"/>
      <c r="L30" s="784"/>
      <c r="M30" s="784"/>
      <c r="N30" s="784"/>
    </row>
    <row r="31" spans="1:14" x14ac:dyDescent="0.2">
      <c r="A31" s="1096" t="s">
        <v>102</v>
      </c>
      <c r="B31" s="1097"/>
      <c r="C31" s="1098"/>
      <c r="D31" s="785">
        <f>SUM(D24:D30)</f>
        <v>0</v>
      </c>
      <c r="E31" s="785">
        <f t="shared" ref="E31:K31" si="4">SUM(E24:E30)</f>
        <v>148211</v>
      </c>
      <c r="F31" s="785">
        <f t="shared" si="4"/>
        <v>0</v>
      </c>
      <c r="G31" s="785">
        <f t="shared" si="4"/>
        <v>0</v>
      </c>
      <c r="H31" s="785">
        <f t="shared" si="4"/>
        <v>0</v>
      </c>
      <c r="I31" s="785">
        <f t="shared" si="4"/>
        <v>0</v>
      </c>
      <c r="J31" s="785">
        <f t="shared" si="4"/>
        <v>0</v>
      </c>
      <c r="K31" s="785">
        <f t="shared" si="4"/>
        <v>0</v>
      </c>
      <c r="L31" s="785">
        <f>SUM(D31:K31)</f>
        <v>148211</v>
      </c>
      <c r="M31" s="785">
        <f>SUM(M24:M30)</f>
        <v>148211</v>
      </c>
      <c r="N31" s="785">
        <f>SUM(F31:K31)</f>
        <v>0</v>
      </c>
    </row>
    <row r="32" spans="1:14" x14ac:dyDescent="0.2">
      <c r="A32" s="786"/>
      <c r="B32" s="786"/>
      <c r="C32" s="786"/>
      <c r="D32" s="786"/>
      <c r="E32" s="786"/>
      <c r="F32" s="786"/>
      <c r="G32" s="786"/>
      <c r="H32" s="786"/>
      <c r="I32" s="786"/>
      <c r="J32" s="786"/>
      <c r="K32" s="786"/>
      <c r="L32" s="786"/>
      <c r="M32" s="786"/>
      <c r="N32" s="786"/>
    </row>
    <row r="33" spans="1:14" x14ac:dyDescent="0.2">
      <c r="A33" s="1092" t="s">
        <v>103</v>
      </c>
      <c r="B33" s="1093"/>
      <c r="C33" s="1094"/>
      <c r="D33" s="1092">
        <v>2015</v>
      </c>
      <c r="E33" s="1093"/>
      <c r="F33" s="1094"/>
      <c r="G33" s="781">
        <v>2016</v>
      </c>
      <c r="H33" s="781">
        <v>2017</v>
      </c>
      <c r="I33" s="781">
        <v>2018</v>
      </c>
      <c r="J33" s="781">
        <v>2019</v>
      </c>
      <c r="K33" s="781">
        <v>2020</v>
      </c>
      <c r="L33" s="1092" t="s">
        <v>87</v>
      </c>
      <c r="M33" s="1093"/>
      <c r="N33" s="1094"/>
    </row>
    <row r="34" spans="1:14" ht="33.75" x14ac:dyDescent="0.2">
      <c r="A34" s="787"/>
      <c r="B34" s="788"/>
      <c r="C34" s="789"/>
      <c r="D34" s="438" t="s">
        <v>821</v>
      </c>
      <c r="E34" s="438" t="s">
        <v>823</v>
      </c>
      <c r="F34" s="438" t="s">
        <v>822</v>
      </c>
      <c r="G34" s="795"/>
      <c r="H34" s="795"/>
      <c r="I34" s="795"/>
      <c r="J34" s="795"/>
      <c r="K34" s="795"/>
      <c r="L34" s="438" t="s">
        <v>821</v>
      </c>
      <c r="M34" s="438" t="s">
        <v>823</v>
      </c>
      <c r="N34" s="438" t="s">
        <v>822</v>
      </c>
    </row>
    <row r="35" spans="1:14" x14ac:dyDescent="0.2">
      <c r="A35" s="1090" t="s">
        <v>835</v>
      </c>
      <c r="B35" s="1090"/>
      <c r="C35" s="1090"/>
      <c r="D35" s="783"/>
      <c r="E35" s="784">
        <v>148211</v>
      </c>
      <c r="F35" s="783"/>
      <c r="G35" s="781"/>
      <c r="H35" s="781"/>
      <c r="I35" s="781"/>
      <c r="J35" s="781"/>
      <c r="K35" s="781"/>
      <c r="L35" s="783"/>
      <c r="M35" s="794">
        <f>SUM(E35)</f>
        <v>148211</v>
      </c>
      <c r="N35" s="783"/>
    </row>
    <row r="36" spans="1:14" x14ac:dyDescent="0.2">
      <c r="A36" s="1086"/>
      <c r="B36" s="1087"/>
      <c r="C36" s="1088"/>
      <c r="D36" s="791"/>
      <c r="E36" s="791"/>
      <c r="F36" s="791"/>
      <c r="G36" s="780"/>
      <c r="H36" s="780"/>
      <c r="I36" s="780"/>
      <c r="J36" s="780"/>
      <c r="K36" s="780"/>
      <c r="L36" s="784"/>
      <c r="M36" s="784"/>
      <c r="N36" s="784"/>
    </row>
    <row r="37" spans="1:14" x14ac:dyDescent="0.2">
      <c r="A37" s="1089" t="s">
        <v>104</v>
      </c>
      <c r="B37" s="1090"/>
      <c r="C37" s="1090"/>
      <c r="D37" s="792">
        <f>SUM(D35:D36)</f>
        <v>0</v>
      </c>
      <c r="E37" s="792">
        <f t="shared" ref="E37:N37" si="5">SUM(E35:E36)</f>
        <v>148211</v>
      </c>
      <c r="F37" s="792">
        <f t="shared" si="5"/>
        <v>0</v>
      </c>
      <c r="G37" s="792">
        <f t="shared" si="5"/>
        <v>0</v>
      </c>
      <c r="H37" s="792">
        <f t="shared" si="5"/>
        <v>0</v>
      </c>
      <c r="I37" s="792">
        <f t="shared" si="5"/>
        <v>0</v>
      </c>
      <c r="J37" s="792">
        <f t="shared" si="5"/>
        <v>0</v>
      </c>
      <c r="K37" s="792">
        <f t="shared" si="5"/>
        <v>0</v>
      </c>
      <c r="L37" s="792">
        <f t="shared" si="5"/>
        <v>0</v>
      </c>
      <c r="M37" s="792">
        <f t="shared" si="5"/>
        <v>148211</v>
      </c>
      <c r="N37" s="792">
        <f t="shared" si="5"/>
        <v>0</v>
      </c>
    </row>
  </sheetData>
  <mergeCells count="40">
    <mergeCell ref="A18:C18"/>
    <mergeCell ref="A8:C8"/>
    <mergeCell ref="A9:C9"/>
    <mergeCell ref="A10:C10"/>
    <mergeCell ref="A11:C11"/>
    <mergeCell ref="A14:C14"/>
    <mergeCell ref="A16:C16"/>
    <mergeCell ref="A12:C12"/>
    <mergeCell ref="A17:C17"/>
    <mergeCell ref="A2:B2"/>
    <mergeCell ref="A6:C6"/>
    <mergeCell ref="A7:C7"/>
    <mergeCell ref="A5:C5"/>
    <mergeCell ref="A3:C4"/>
    <mergeCell ref="D3:F3"/>
    <mergeCell ref="L14:N14"/>
    <mergeCell ref="L3:N3"/>
    <mergeCell ref="C1:N1"/>
    <mergeCell ref="C2:N2"/>
    <mergeCell ref="D14:F14"/>
    <mergeCell ref="C20:N20"/>
    <mergeCell ref="A21:B21"/>
    <mergeCell ref="C21:N21"/>
    <mergeCell ref="A22:C23"/>
    <mergeCell ref="D22:F22"/>
    <mergeCell ref="L22:N22"/>
    <mergeCell ref="D33:F33"/>
    <mergeCell ref="L33:N33"/>
    <mergeCell ref="A24:C24"/>
    <mergeCell ref="A25:C25"/>
    <mergeCell ref="A26:C26"/>
    <mergeCell ref="A27:C27"/>
    <mergeCell ref="A28:C28"/>
    <mergeCell ref="A31:C31"/>
    <mergeCell ref="A36:C36"/>
    <mergeCell ref="A37:C37"/>
    <mergeCell ref="A29:C29"/>
    <mergeCell ref="A30:C30"/>
    <mergeCell ref="A33:C33"/>
    <mergeCell ref="A35:C35"/>
  </mergeCells>
  <phoneticPr fontId="0" type="noConversion"/>
  <printOptions horizontalCentered="1"/>
  <pageMargins left="0" right="0" top="0.47244094488188981" bottom="0" header="0.11811023622047245" footer="0"/>
  <pageSetup paperSize="9" orientation="landscape" r:id="rId1"/>
  <headerFooter>
    <oddHeader>&amp;LVeresegyház Város Önkormányzat&amp;C&amp;"Arial CE,Félkövér"ELŐIRÁNYZAT MÓDOSÍTÁS, TELJESÍTÉS 2015.06.30.&amp;R&amp;9 29. számú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D12" sqref="D12"/>
    </sheetView>
  </sheetViews>
  <sheetFormatPr defaultRowHeight="15" x14ac:dyDescent="0.2"/>
  <cols>
    <col min="1" max="1" width="8.5703125" style="247" customWidth="1"/>
    <col min="2" max="2" width="13.140625" style="244" customWidth="1"/>
    <col min="3" max="3" width="12.85546875" style="248" customWidth="1"/>
    <col min="4" max="4" width="11.28515625" style="244" customWidth="1"/>
    <col min="5" max="5" width="9.85546875" style="249" customWidth="1"/>
    <col min="6" max="6" width="10.140625" style="244" bestFit="1" customWidth="1"/>
    <col min="7" max="7" width="9.140625" style="244"/>
    <col min="8" max="8" width="11.7109375" style="248" bestFit="1" customWidth="1"/>
    <col min="9" max="10" width="12.85546875" style="248" customWidth="1"/>
    <col min="11" max="11" width="12.85546875" style="244" customWidth="1"/>
    <col min="12" max="12" width="9.140625" style="244"/>
    <col min="13" max="13" width="9.85546875" style="244" customWidth="1"/>
    <col min="14" max="16384" width="9.140625" style="244"/>
  </cols>
  <sheetData>
    <row r="1" spans="1:13" ht="35.25" customHeight="1" x14ac:dyDescent="0.2">
      <c r="A1" s="1109" t="s">
        <v>842</v>
      </c>
      <c r="B1" s="1109"/>
      <c r="C1" s="1109"/>
      <c r="D1" s="1109"/>
      <c r="E1" s="1109"/>
      <c r="F1" s="1109"/>
      <c r="G1" s="1109"/>
      <c r="H1" s="1109"/>
      <c r="I1" s="1109"/>
      <c r="J1" s="1109"/>
      <c r="K1" s="1109"/>
      <c r="L1" s="1109"/>
      <c r="M1" s="1109"/>
    </row>
    <row r="2" spans="1:13" x14ac:dyDescent="0.2">
      <c r="A2" s="797"/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8"/>
      <c r="M2" s="799" t="s">
        <v>1346</v>
      </c>
    </row>
    <row r="3" spans="1:13" ht="33.75" x14ac:dyDescent="0.2">
      <c r="A3" s="796" t="s">
        <v>23</v>
      </c>
      <c r="B3" s="111" t="s">
        <v>24</v>
      </c>
      <c r="C3" s="112" t="s">
        <v>25</v>
      </c>
      <c r="D3" s="1107" t="s">
        <v>26</v>
      </c>
      <c r="E3" s="1108"/>
      <c r="F3" s="113" t="s">
        <v>411</v>
      </c>
      <c r="G3" s="113" t="s">
        <v>412</v>
      </c>
      <c r="H3" s="112" t="s">
        <v>840</v>
      </c>
      <c r="I3" s="112" t="s">
        <v>27</v>
      </c>
      <c r="J3" s="112"/>
      <c r="K3" s="114"/>
      <c r="L3" s="115" t="s">
        <v>811</v>
      </c>
      <c r="M3" s="116"/>
    </row>
    <row r="4" spans="1:13" ht="19.5" x14ac:dyDescent="0.2">
      <c r="A4" s="117" t="s">
        <v>28</v>
      </c>
      <c r="B4" s="118" t="s">
        <v>812</v>
      </c>
      <c r="C4" s="119">
        <v>113797075</v>
      </c>
      <c r="D4" s="120" t="s">
        <v>29</v>
      </c>
      <c r="E4" s="121"/>
      <c r="F4" s="122">
        <v>40908</v>
      </c>
      <c r="G4" s="123"/>
      <c r="H4" s="119"/>
      <c r="I4" s="124">
        <v>113797075</v>
      </c>
      <c r="J4" s="124">
        <v>-113797075</v>
      </c>
      <c r="K4" s="124" t="s">
        <v>813</v>
      </c>
      <c r="L4" s="125"/>
      <c r="M4" s="126" t="s">
        <v>30</v>
      </c>
    </row>
    <row r="5" spans="1:13" x14ac:dyDescent="0.2">
      <c r="A5" s="127" t="s">
        <v>31</v>
      </c>
      <c r="B5" s="128" t="s">
        <v>32</v>
      </c>
      <c r="C5" s="129">
        <v>138894</v>
      </c>
      <c r="D5" s="130" t="s">
        <v>33</v>
      </c>
      <c r="E5" s="131" t="s">
        <v>34</v>
      </c>
      <c r="F5" s="132"/>
      <c r="G5" s="133">
        <v>42128</v>
      </c>
      <c r="H5" s="129">
        <v>10000</v>
      </c>
      <c r="I5" s="124">
        <f t="shared" ref="I5:I13" si="0">SUM(C5-H5)</f>
        <v>128894</v>
      </c>
      <c r="J5" s="124"/>
      <c r="K5" s="124"/>
      <c r="L5" s="134"/>
      <c r="M5" s="126" t="s">
        <v>35</v>
      </c>
    </row>
    <row r="6" spans="1:13" x14ac:dyDescent="0.2">
      <c r="A6" s="127">
        <v>39597</v>
      </c>
      <c r="B6" s="135" t="s">
        <v>36</v>
      </c>
      <c r="C6" s="129">
        <v>66895</v>
      </c>
      <c r="D6" s="130" t="s">
        <v>33</v>
      </c>
      <c r="E6" s="136" t="s">
        <v>34</v>
      </c>
      <c r="F6" s="132"/>
      <c r="G6" s="132"/>
      <c r="H6" s="129"/>
      <c r="I6" s="124">
        <f t="shared" si="0"/>
        <v>66895</v>
      </c>
      <c r="J6" s="124"/>
      <c r="K6" s="124"/>
      <c r="L6" s="134"/>
      <c r="M6" s="126" t="s">
        <v>35</v>
      </c>
    </row>
    <row r="7" spans="1:13" x14ac:dyDescent="0.2">
      <c r="A7" s="127">
        <v>39100</v>
      </c>
      <c r="B7" s="135" t="s">
        <v>37</v>
      </c>
      <c r="C7" s="129">
        <v>151317</v>
      </c>
      <c r="D7" s="130" t="s">
        <v>38</v>
      </c>
      <c r="E7" s="137"/>
      <c r="F7" s="138"/>
      <c r="G7" s="132"/>
      <c r="H7" s="129"/>
      <c r="I7" s="124">
        <f t="shared" si="0"/>
        <v>151317</v>
      </c>
      <c r="J7" s="124"/>
      <c r="K7" s="124"/>
      <c r="L7" s="134"/>
      <c r="M7" s="126" t="s">
        <v>35</v>
      </c>
    </row>
    <row r="8" spans="1:13" x14ac:dyDescent="0.2">
      <c r="A8" s="127" t="s">
        <v>39</v>
      </c>
      <c r="B8" s="135" t="s">
        <v>40</v>
      </c>
      <c r="C8" s="129">
        <v>9000000</v>
      </c>
      <c r="D8" s="130" t="s">
        <v>38</v>
      </c>
      <c r="E8" s="137"/>
      <c r="F8" s="132"/>
      <c r="G8" s="123"/>
      <c r="H8" s="129"/>
      <c r="I8" s="124">
        <f t="shared" si="0"/>
        <v>9000000</v>
      </c>
      <c r="J8" s="124"/>
      <c r="K8" s="124"/>
      <c r="L8" s="134"/>
      <c r="M8" s="126" t="s">
        <v>41</v>
      </c>
    </row>
    <row r="9" spans="1:13" ht="19.5" x14ac:dyDescent="0.2">
      <c r="A9" s="127">
        <v>37232</v>
      </c>
      <c r="B9" s="135" t="s">
        <v>42</v>
      </c>
      <c r="C9" s="129">
        <v>8692183</v>
      </c>
      <c r="D9" s="130" t="s">
        <v>38</v>
      </c>
      <c r="E9" s="137"/>
      <c r="F9" s="132"/>
      <c r="G9" s="123"/>
      <c r="H9" s="129"/>
      <c r="I9" s="124">
        <v>8692183</v>
      </c>
      <c r="J9" s="124">
        <v>-8692183</v>
      </c>
      <c r="K9" s="124" t="s">
        <v>813</v>
      </c>
      <c r="L9" s="134"/>
      <c r="M9" s="126" t="s">
        <v>43</v>
      </c>
    </row>
    <row r="10" spans="1:13" s="245" customFormat="1" x14ac:dyDescent="0.2">
      <c r="A10" s="127">
        <v>40268</v>
      </c>
      <c r="B10" s="139" t="s">
        <v>44</v>
      </c>
      <c r="C10" s="129">
        <v>38240</v>
      </c>
      <c r="D10" s="140" t="s">
        <v>33</v>
      </c>
      <c r="E10" s="137" t="s">
        <v>45</v>
      </c>
      <c r="F10" s="141"/>
      <c r="G10" s="141"/>
      <c r="H10" s="129"/>
      <c r="I10" s="124">
        <f t="shared" si="0"/>
        <v>38240</v>
      </c>
      <c r="J10" s="124"/>
      <c r="K10" s="124"/>
      <c r="L10" s="134"/>
      <c r="M10" s="126" t="s">
        <v>35</v>
      </c>
    </row>
    <row r="11" spans="1:13" ht="19.5" x14ac:dyDescent="0.2">
      <c r="A11" s="127">
        <v>40366</v>
      </c>
      <c r="B11" s="135" t="s">
        <v>47</v>
      </c>
      <c r="C11" s="129">
        <v>15906849</v>
      </c>
      <c r="D11" s="130" t="s">
        <v>38</v>
      </c>
      <c r="E11" s="137" t="s">
        <v>48</v>
      </c>
      <c r="F11" s="142">
        <v>40694</v>
      </c>
      <c r="G11" s="123">
        <v>42104</v>
      </c>
      <c r="H11" s="129">
        <v>15906849</v>
      </c>
      <c r="I11" s="124">
        <f t="shared" si="0"/>
        <v>0</v>
      </c>
      <c r="J11" s="124"/>
      <c r="K11" s="124"/>
      <c r="L11" s="134"/>
      <c r="M11" s="126" t="s">
        <v>43</v>
      </c>
    </row>
    <row r="12" spans="1:13" ht="27" x14ac:dyDescent="0.2">
      <c r="A12" s="127">
        <v>40402</v>
      </c>
      <c r="B12" s="135" t="s">
        <v>49</v>
      </c>
      <c r="C12" s="129">
        <v>2274700</v>
      </c>
      <c r="D12" s="143" t="s">
        <v>50</v>
      </c>
      <c r="E12" s="137" t="s">
        <v>51</v>
      </c>
      <c r="F12" s="123" t="s">
        <v>52</v>
      </c>
      <c r="G12" s="132"/>
      <c r="H12" s="129"/>
      <c r="I12" s="246">
        <f t="shared" si="0"/>
        <v>2274700</v>
      </c>
      <c r="J12" s="124"/>
      <c r="K12" s="124"/>
      <c r="L12" s="134"/>
      <c r="M12" s="126" t="s">
        <v>53</v>
      </c>
    </row>
    <row r="13" spans="1:13" x14ac:dyDescent="0.2">
      <c r="A13" s="127">
        <v>41101</v>
      </c>
      <c r="B13" s="144" t="s">
        <v>54</v>
      </c>
      <c r="C13" s="124">
        <v>4790000</v>
      </c>
      <c r="D13" s="145" t="s">
        <v>46</v>
      </c>
      <c r="E13" s="146"/>
      <c r="F13" s="147">
        <v>41983</v>
      </c>
      <c r="G13" s="148" t="s">
        <v>841</v>
      </c>
      <c r="H13" s="124">
        <v>530000</v>
      </c>
      <c r="I13" s="124">
        <f t="shared" si="0"/>
        <v>4260000</v>
      </c>
      <c r="J13" s="124"/>
      <c r="K13" s="124"/>
      <c r="L13" s="134"/>
      <c r="M13" s="149" t="s">
        <v>35</v>
      </c>
    </row>
    <row r="14" spans="1:13" ht="29.25" x14ac:dyDescent="0.2">
      <c r="A14" s="172">
        <v>41251</v>
      </c>
      <c r="B14" s="173" t="s">
        <v>55</v>
      </c>
      <c r="C14" s="174">
        <v>19177000</v>
      </c>
      <c r="D14" s="175" t="s">
        <v>56</v>
      </c>
      <c r="E14" s="176"/>
      <c r="F14" s="177"/>
      <c r="G14" s="177"/>
      <c r="H14" s="178"/>
      <c r="I14" s="174">
        <v>19177000</v>
      </c>
      <c r="J14" s="174">
        <v>-19177000</v>
      </c>
      <c r="K14" s="179" t="s">
        <v>813</v>
      </c>
      <c r="L14" s="250"/>
      <c r="M14" s="180" t="s">
        <v>43</v>
      </c>
    </row>
    <row r="15" spans="1:13" s="245" customFormat="1" x14ac:dyDescent="0.2">
      <c r="A15" s="251"/>
      <c r="B15" s="252"/>
      <c r="C15" s="152">
        <f>SUM(C4:C14)</f>
        <v>174033153</v>
      </c>
      <c r="D15" s="153"/>
      <c r="E15" s="154"/>
      <c r="F15" s="155"/>
      <c r="G15" s="155"/>
      <c r="H15" s="156">
        <f>SUM(H4:H14)</f>
        <v>16446849</v>
      </c>
      <c r="I15" s="152">
        <f>SUM(I4:I14)</f>
        <v>157586304</v>
      </c>
      <c r="J15" s="152">
        <f>SUM(J4:J14)</f>
        <v>-141666258</v>
      </c>
      <c r="K15" s="157"/>
      <c r="L15" s="158"/>
      <c r="M15" s="253"/>
    </row>
    <row r="16" spans="1:13" ht="19.5" x14ac:dyDescent="0.2">
      <c r="A16" s="159">
        <v>41747</v>
      </c>
      <c r="B16" s="144" t="s">
        <v>812</v>
      </c>
      <c r="C16" s="124">
        <v>5000000</v>
      </c>
      <c r="D16" s="145" t="s">
        <v>814</v>
      </c>
      <c r="E16" s="146"/>
      <c r="F16" s="147">
        <v>41983</v>
      </c>
      <c r="G16" s="147"/>
      <c r="H16" s="150"/>
      <c r="I16" s="124">
        <f>SUM(C16-H16)</f>
        <v>5000000</v>
      </c>
      <c r="J16" s="124"/>
      <c r="K16" s="151"/>
      <c r="L16" s="160"/>
      <c r="M16" s="161"/>
    </row>
    <row r="17" spans="1:13" ht="19.5" x14ac:dyDescent="0.2">
      <c r="A17" s="127">
        <v>41893</v>
      </c>
      <c r="B17" s="144" t="s">
        <v>812</v>
      </c>
      <c r="C17" s="124">
        <v>10000000</v>
      </c>
      <c r="D17" s="145" t="s">
        <v>814</v>
      </c>
      <c r="E17" s="146"/>
      <c r="F17" s="147">
        <v>42369</v>
      </c>
      <c r="G17" s="147"/>
      <c r="H17" s="150"/>
      <c r="I17" s="124">
        <f>SUM(C17-H17)</f>
        <v>10000000</v>
      </c>
      <c r="J17" s="124"/>
      <c r="K17" s="151"/>
      <c r="L17" s="160"/>
      <c r="M17" s="126"/>
    </row>
    <row r="18" spans="1:13" x14ac:dyDescent="0.2">
      <c r="A18" s="127"/>
      <c r="B18" s="144"/>
      <c r="C18" s="124"/>
      <c r="D18" s="145"/>
      <c r="E18" s="146"/>
      <c r="F18" s="147"/>
      <c r="G18" s="147"/>
      <c r="H18" s="150"/>
      <c r="I18" s="124"/>
      <c r="J18" s="124"/>
      <c r="K18" s="151"/>
      <c r="L18" s="160"/>
      <c r="M18" s="126"/>
    </row>
    <row r="19" spans="1:13" x14ac:dyDescent="0.2">
      <c r="A19" s="127"/>
      <c r="B19" s="144"/>
      <c r="C19" s="124">
        <f>SUM(C16:C18)</f>
        <v>15000000</v>
      </c>
      <c r="D19" s="145"/>
      <c r="E19" s="146"/>
      <c r="F19" s="147"/>
      <c r="G19" s="147"/>
      <c r="H19" s="150"/>
      <c r="I19" s="124">
        <f>SUM(I16:I18)</f>
        <v>15000000</v>
      </c>
      <c r="J19" s="124">
        <f>SUM(J16:J18)</f>
        <v>0</v>
      </c>
      <c r="K19" s="151"/>
      <c r="L19" s="160"/>
      <c r="M19" s="126"/>
    </row>
  </sheetData>
  <mergeCells count="2">
    <mergeCell ref="D3:E3"/>
    <mergeCell ref="A1:M1"/>
  </mergeCells>
  <phoneticPr fontId="12" type="noConversion"/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Header>&amp;LVeresegyház Város Önkormányzat&amp;C&amp;"Arial CE,Félkövér"ELŐIRÁNYZAT MÓDOSÍTÁS, TELJESÍTÉS 2015.06.30.&amp;R&amp;8 30.melléklet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24" sqref="C24"/>
    </sheetView>
  </sheetViews>
  <sheetFormatPr defaultRowHeight="11.25" x14ac:dyDescent="0.2"/>
  <cols>
    <col min="1" max="1" width="12" style="267" customWidth="1"/>
    <col min="2" max="2" width="25.5703125" style="255" customWidth="1"/>
    <col min="3" max="3" width="14.85546875" style="255" customWidth="1"/>
    <col min="4" max="4" width="11.42578125" style="268" customWidth="1"/>
    <col min="5" max="5" width="8.5703125" style="269" customWidth="1"/>
    <col min="6" max="6" width="6.85546875" style="255" customWidth="1"/>
    <col min="7" max="7" width="6.28515625" style="255" customWidth="1"/>
    <col min="8" max="8" width="14.28515625" style="267" customWidth="1"/>
    <col min="9" max="9" width="10.42578125" style="270" customWidth="1"/>
    <col min="10" max="10" width="11.140625" style="255" customWidth="1"/>
    <col min="11" max="11" width="11.5703125" style="255" customWidth="1"/>
    <col min="12" max="12" width="13.140625" style="255" bestFit="1" customWidth="1"/>
    <col min="13" max="16384" width="9.140625" style="255"/>
  </cols>
  <sheetData>
    <row r="1" spans="1:11" s="271" customFormat="1" ht="28.5" customHeight="1" x14ac:dyDescent="0.2">
      <c r="A1" s="1112" t="s">
        <v>852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</row>
    <row r="2" spans="1:11" s="271" customFormat="1" ht="12.75" x14ac:dyDescent="0.2">
      <c r="A2" s="800"/>
      <c r="B2" s="801"/>
      <c r="C2" s="802"/>
      <c r="D2" s="803"/>
      <c r="E2" s="803"/>
      <c r="F2" s="803"/>
      <c r="G2" s="803"/>
      <c r="H2" s="803"/>
      <c r="I2" s="803"/>
      <c r="J2" s="803"/>
      <c r="K2" s="271" t="s">
        <v>843</v>
      </c>
    </row>
    <row r="3" spans="1:11" ht="33.75" x14ac:dyDescent="0.2">
      <c r="A3" s="239" t="s">
        <v>407</v>
      </c>
      <c r="B3" s="239" t="s">
        <v>408</v>
      </c>
      <c r="C3" s="162" t="s">
        <v>409</v>
      </c>
      <c r="D3" s="254"/>
      <c r="E3" s="1110" t="s">
        <v>410</v>
      </c>
      <c r="F3" s="1111"/>
      <c r="G3" s="240"/>
      <c r="H3" s="239" t="s">
        <v>411</v>
      </c>
      <c r="I3" s="239" t="s">
        <v>412</v>
      </c>
      <c r="J3" s="162" t="s">
        <v>850</v>
      </c>
      <c r="K3" s="162" t="s">
        <v>413</v>
      </c>
    </row>
    <row r="4" spans="1:11" ht="16.5" customHeight="1" x14ac:dyDescent="0.2">
      <c r="A4" s="256">
        <v>41719</v>
      </c>
      <c r="B4" s="163" t="s">
        <v>844</v>
      </c>
      <c r="C4" s="164">
        <v>300000000</v>
      </c>
      <c r="D4" s="257"/>
      <c r="E4" s="258">
        <v>0.1</v>
      </c>
      <c r="F4" s="165"/>
      <c r="G4" s="259"/>
      <c r="H4" s="256">
        <v>42004</v>
      </c>
      <c r="I4" s="166"/>
      <c r="J4" s="165"/>
      <c r="K4" s="167">
        <f t="shared" ref="K4:K11" si="0">SUM(C4-J4)</f>
        <v>300000000</v>
      </c>
    </row>
    <row r="5" spans="1:11" ht="16.5" customHeight="1" x14ac:dyDescent="0.2">
      <c r="A5" s="256">
        <v>41827</v>
      </c>
      <c r="B5" s="163" t="s">
        <v>844</v>
      </c>
      <c r="C5" s="164">
        <v>200000000</v>
      </c>
      <c r="D5" s="257" t="s">
        <v>815</v>
      </c>
      <c r="E5" s="258">
        <v>0.1</v>
      </c>
      <c r="F5" s="259"/>
      <c r="G5" s="259"/>
      <c r="H5" s="256">
        <v>42004</v>
      </c>
      <c r="I5" s="166"/>
      <c r="J5" s="165"/>
      <c r="K5" s="167">
        <f t="shared" si="0"/>
        <v>200000000</v>
      </c>
    </row>
    <row r="6" spans="1:11" ht="16.5" customHeight="1" x14ac:dyDescent="0.2">
      <c r="A6" s="256">
        <v>41844</v>
      </c>
      <c r="B6" s="163" t="s">
        <v>844</v>
      </c>
      <c r="C6" s="164">
        <v>400000000</v>
      </c>
      <c r="D6" s="257" t="s">
        <v>816</v>
      </c>
      <c r="E6" s="258">
        <v>0.1</v>
      </c>
      <c r="F6" s="165"/>
      <c r="G6" s="259" t="s">
        <v>817</v>
      </c>
      <c r="H6" s="256">
        <v>42004</v>
      </c>
      <c r="I6" s="166"/>
      <c r="J6" s="165"/>
      <c r="K6" s="167">
        <f t="shared" si="0"/>
        <v>400000000</v>
      </c>
    </row>
    <row r="7" spans="1:11" ht="16.5" customHeight="1" x14ac:dyDescent="0.2">
      <c r="A7" s="256">
        <v>41849</v>
      </c>
      <c r="B7" s="163" t="s">
        <v>844</v>
      </c>
      <c r="C7" s="164">
        <v>50000000</v>
      </c>
      <c r="D7" s="257" t="s">
        <v>816</v>
      </c>
      <c r="E7" s="258">
        <v>0.1</v>
      </c>
      <c r="F7" s="259"/>
      <c r="G7" s="259" t="s">
        <v>817</v>
      </c>
      <c r="H7" s="256">
        <v>42004</v>
      </c>
      <c r="I7" s="166"/>
      <c r="J7" s="165"/>
      <c r="K7" s="167">
        <f t="shared" si="0"/>
        <v>50000000</v>
      </c>
    </row>
    <row r="8" spans="1:11" ht="16.5" customHeight="1" x14ac:dyDescent="0.2">
      <c r="A8" s="256">
        <v>41863</v>
      </c>
      <c r="B8" s="163" t="s">
        <v>844</v>
      </c>
      <c r="C8" s="164">
        <v>50000000</v>
      </c>
      <c r="D8" s="257" t="s">
        <v>816</v>
      </c>
      <c r="E8" s="258">
        <v>0.1</v>
      </c>
      <c r="F8" s="259"/>
      <c r="G8" s="259" t="s">
        <v>817</v>
      </c>
      <c r="H8" s="256">
        <v>42004</v>
      </c>
      <c r="I8" s="166"/>
      <c r="J8" s="165"/>
      <c r="K8" s="167">
        <f t="shared" si="0"/>
        <v>50000000</v>
      </c>
    </row>
    <row r="9" spans="1:11" ht="16.5" customHeight="1" x14ac:dyDescent="0.2">
      <c r="A9" s="256">
        <v>41879</v>
      </c>
      <c r="B9" s="163" t="s">
        <v>844</v>
      </c>
      <c r="C9" s="164">
        <v>50000000</v>
      </c>
      <c r="D9" s="257" t="s">
        <v>818</v>
      </c>
      <c r="E9" s="258">
        <v>0.1</v>
      </c>
      <c r="F9" s="259"/>
      <c r="G9" s="259" t="s">
        <v>819</v>
      </c>
      <c r="H9" s="256">
        <v>42004</v>
      </c>
      <c r="I9" s="166"/>
      <c r="J9" s="165"/>
      <c r="K9" s="167">
        <f t="shared" si="0"/>
        <v>50000000</v>
      </c>
    </row>
    <row r="10" spans="1:11" ht="16.5" customHeight="1" x14ac:dyDescent="0.2">
      <c r="A10" s="256">
        <v>41880</v>
      </c>
      <c r="B10" s="163" t="s">
        <v>844</v>
      </c>
      <c r="C10" s="164">
        <v>40000000</v>
      </c>
      <c r="D10" s="257" t="s">
        <v>818</v>
      </c>
      <c r="E10" s="258">
        <v>0.1</v>
      </c>
      <c r="F10" s="259"/>
      <c r="G10" s="259" t="s">
        <v>819</v>
      </c>
      <c r="H10" s="256">
        <v>42004</v>
      </c>
      <c r="I10" s="166"/>
      <c r="J10" s="165"/>
      <c r="K10" s="167">
        <f t="shared" si="0"/>
        <v>40000000</v>
      </c>
    </row>
    <row r="11" spans="1:11" ht="16.5" customHeight="1" x14ac:dyDescent="0.2">
      <c r="A11" s="256">
        <v>41885</v>
      </c>
      <c r="B11" s="163" t="s">
        <v>844</v>
      </c>
      <c r="C11" s="164">
        <v>20000000</v>
      </c>
      <c r="D11" s="257" t="s">
        <v>818</v>
      </c>
      <c r="E11" s="258">
        <v>0.1</v>
      </c>
      <c r="F11" s="259"/>
      <c r="G11" s="259" t="s">
        <v>819</v>
      </c>
      <c r="H11" s="256">
        <v>42004</v>
      </c>
      <c r="I11" s="166"/>
      <c r="J11" s="165"/>
      <c r="K11" s="167">
        <f t="shared" si="0"/>
        <v>20000000</v>
      </c>
    </row>
    <row r="12" spans="1:11" ht="25.5" customHeight="1" x14ac:dyDescent="0.2">
      <c r="A12" s="256">
        <v>42004</v>
      </c>
      <c r="B12" s="163" t="s">
        <v>820</v>
      </c>
      <c r="C12" s="164">
        <v>781458008</v>
      </c>
      <c r="D12" s="257" t="s">
        <v>851</v>
      </c>
      <c r="E12" s="258"/>
      <c r="F12" s="259"/>
      <c r="G12" s="165"/>
      <c r="H12" s="260"/>
      <c r="I12" s="261">
        <v>42009</v>
      </c>
      <c r="J12" s="165">
        <v>781458008</v>
      </c>
      <c r="K12" s="167">
        <f>SUM(C12-J12)</f>
        <v>0</v>
      </c>
    </row>
    <row r="13" spans="1:11" s="266" customFormat="1" ht="16.5" customHeight="1" x14ac:dyDescent="0.2">
      <c r="A13" s="262"/>
      <c r="B13" s="168" t="s">
        <v>845</v>
      </c>
      <c r="C13" s="169">
        <f>SUM(C4:C12)</f>
        <v>1891458008</v>
      </c>
      <c r="D13" s="263"/>
      <c r="E13" s="264"/>
      <c r="F13" s="265"/>
      <c r="G13" s="265"/>
      <c r="H13" s="262"/>
      <c r="I13" s="170"/>
      <c r="J13" s="171"/>
      <c r="K13" s="167"/>
    </row>
    <row r="14" spans="1:11" ht="16.5" customHeight="1" x14ac:dyDescent="0.2">
      <c r="A14" s="256"/>
      <c r="B14" s="163"/>
      <c r="C14" s="164"/>
      <c r="D14" s="257"/>
      <c r="E14" s="258"/>
      <c r="F14" s="259"/>
      <c r="G14" s="259"/>
      <c r="H14" s="256"/>
      <c r="I14" s="166"/>
      <c r="J14" s="165"/>
      <c r="K14" s="167"/>
    </row>
    <row r="15" spans="1:11" ht="16.5" customHeight="1" x14ac:dyDescent="0.2">
      <c r="A15" s="256">
        <v>42009</v>
      </c>
      <c r="B15" s="163" t="s">
        <v>846</v>
      </c>
      <c r="C15" s="164">
        <v>181212185</v>
      </c>
      <c r="D15" s="1113"/>
      <c r="E15" s="258">
        <v>4.3999999999999997E-2</v>
      </c>
      <c r="F15" s="259"/>
      <c r="G15" s="259"/>
      <c r="H15" s="256">
        <v>42369</v>
      </c>
      <c r="I15" s="166"/>
      <c r="J15" s="165"/>
      <c r="K15" s="167">
        <f t="shared" ref="K15:K16" si="1">SUM(C15-J15)</f>
        <v>181212185</v>
      </c>
    </row>
    <row r="16" spans="1:11" ht="16.5" customHeight="1" x14ac:dyDescent="0.2">
      <c r="A16" s="256">
        <v>42009</v>
      </c>
      <c r="B16" s="163" t="s">
        <v>846</v>
      </c>
      <c r="C16" s="164">
        <v>600000000</v>
      </c>
      <c r="D16" s="1114"/>
      <c r="E16" s="258">
        <v>4.3999999999999997E-2</v>
      </c>
      <c r="F16" s="259"/>
      <c r="G16" s="259"/>
      <c r="H16" s="256">
        <v>42369</v>
      </c>
      <c r="I16" s="166"/>
      <c r="J16" s="165"/>
      <c r="K16" s="167">
        <f t="shared" si="1"/>
        <v>600000000</v>
      </c>
    </row>
    <row r="17" spans="1:11" ht="16.5" customHeight="1" x14ac:dyDescent="0.2">
      <c r="A17" s="256">
        <v>42017</v>
      </c>
      <c r="B17" s="163" t="s">
        <v>846</v>
      </c>
      <c r="C17" s="164">
        <v>200000000</v>
      </c>
      <c r="D17" s="257"/>
      <c r="E17" s="258">
        <v>4.3999999999999997E-2</v>
      </c>
      <c r="F17" s="259"/>
      <c r="G17" s="259"/>
      <c r="H17" s="256">
        <v>42198</v>
      </c>
      <c r="I17" s="166"/>
      <c r="J17" s="165"/>
      <c r="K17" s="167">
        <f t="shared" ref="K17:K23" si="2">SUM(C17-J17)</f>
        <v>200000000</v>
      </c>
    </row>
    <row r="18" spans="1:11" ht="16.5" customHeight="1" x14ac:dyDescent="0.2">
      <c r="A18" s="256">
        <v>42030</v>
      </c>
      <c r="B18" s="163" t="s">
        <v>846</v>
      </c>
      <c r="C18" s="164">
        <v>100000000</v>
      </c>
      <c r="D18" s="257"/>
      <c r="E18" s="258">
        <v>4.3999999999999997E-2</v>
      </c>
      <c r="F18" s="259"/>
      <c r="G18" s="259"/>
      <c r="H18" s="256">
        <v>42209</v>
      </c>
      <c r="I18" s="166"/>
      <c r="J18" s="165"/>
      <c r="K18" s="167">
        <f t="shared" si="2"/>
        <v>100000000</v>
      </c>
    </row>
    <row r="19" spans="1:11" ht="16.5" customHeight="1" x14ac:dyDescent="0.2">
      <c r="A19" s="256" t="s">
        <v>847</v>
      </c>
      <c r="B19" s="163" t="s">
        <v>846</v>
      </c>
      <c r="C19" s="164">
        <v>100000000</v>
      </c>
      <c r="D19" s="257"/>
      <c r="E19" s="258">
        <v>4.3999999999999997E-2</v>
      </c>
      <c r="F19" s="259"/>
      <c r="G19" s="259"/>
      <c r="H19" s="256">
        <v>42219</v>
      </c>
      <c r="I19" s="166"/>
      <c r="J19" s="165"/>
      <c r="K19" s="167">
        <f t="shared" si="2"/>
        <v>100000000</v>
      </c>
    </row>
    <row r="20" spans="1:11" ht="16.5" customHeight="1" x14ac:dyDescent="0.2">
      <c r="A20" s="256">
        <v>42053</v>
      </c>
      <c r="B20" s="163" t="s">
        <v>846</v>
      </c>
      <c r="C20" s="164">
        <v>100000000</v>
      </c>
      <c r="D20" s="257"/>
      <c r="E20" s="258">
        <v>4.3999999999999997E-2</v>
      </c>
      <c r="F20" s="259"/>
      <c r="G20" s="259"/>
      <c r="H20" s="256">
        <v>42234</v>
      </c>
      <c r="I20" s="166"/>
      <c r="J20" s="165"/>
      <c r="K20" s="167">
        <f t="shared" si="2"/>
        <v>100000000</v>
      </c>
    </row>
    <row r="21" spans="1:11" ht="16.5" customHeight="1" x14ac:dyDescent="0.2">
      <c r="A21" s="256">
        <v>42055</v>
      </c>
      <c r="B21" s="163" t="s">
        <v>846</v>
      </c>
      <c r="C21" s="164">
        <v>48950580</v>
      </c>
      <c r="D21" s="257"/>
      <c r="E21" s="258">
        <v>4.3999999999999997E-2</v>
      </c>
      <c r="F21" s="259"/>
      <c r="G21" s="259"/>
      <c r="H21" s="256">
        <v>42240</v>
      </c>
      <c r="I21" s="166"/>
      <c r="J21" s="165"/>
      <c r="K21" s="167">
        <v>48950580</v>
      </c>
    </row>
    <row r="22" spans="1:11" ht="16.5" customHeight="1" x14ac:dyDescent="0.2">
      <c r="A22" s="256">
        <v>42094</v>
      </c>
      <c r="B22" s="163" t="s">
        <v>846</v>
      </c>
      <c r="C22" s="164"/>
      <c r="D22" s="257"/>
      <c r="E22" s="258"/>
      <c r="F22" s="259"/>
      <c r="G22" s="259"/>
      <c r="H22" s="256"/>
      <c r="I22" s="166"/>
      <c r="J22" s="165"/>
      <c r="K22" s="167">
        <f t="shared" si="2"/>
        <v>0</v>
      </c>
    </row>
    <row r="23" spans="1:11" ht="16.5" customHeight="1" x14ac:dyDescent="0.2">
      <c r="A23" s="256">
        <v>42185</v>
      </c>
      <c r="B23" s="163" t="s">
        <v>1347</v>
      </c>
      <c r="C23" s="164"/>
      <c r="D23" s="257"/>
      <c r="E23" s="258"/>
      <c r="F23" s="259"/>
      <c r="G23" s="259"/>
      <c r="H23" s="256"/>
      <c r="I23" s="166"/>
      <c r="J23" s="165"/>
      <c r="K23" s="167">
        <f t="shared" si="2"/>
        <v>0</v>
      </c>
    </row>
    <row r="24" spans="1:11" ht="16.5" customHeight="1" x14ac:dyDescent="0.2">
      <c r="A24" s="256"/>
      <c r="B24" s="163"/>
      <c r="C24" s="164"/>
      <c r="D24" s="257"/>
      <c r="E24" s="258"/>
      <c r="F24" s="259"/>
      <c r="G24" s="259"/>
      <c r="H24" s="256"/>
      <c r="I24" s="166"/>
      <c r="J24" s="165"/>
      <c r="K24" s="167"/>
    </row>
    <row r="25" spans="1:11" ht="16.5" customHeight="1" x14ac:dyDescent="0.2">
      <c r="A25" s="256"/>
      <c r="B25" s="163"/>
      <c r="C25" s="164"/>
      <c r="D25" s="257"/>
      <c r="E25" s="258"/>
      <c r="F25" s="259"/>
      <c r="G25" s="259"/>
      <c r="H25" s="256"/>
      <c r="I25" s="166"/>
      <c r="J25" s="165"/>
      <c r="K25" s="167"/>
    </row>
    <row r="26" spans="1:11" ht="16.5" customHeight="1" x14ac:dyDescent="0.2">
      <c r="A26" s="256"/>
      <c r="B26" s="163"/>
      <c r="C26" s="164"/>
      <c r="D26" s="257"/>
      <c r="E26" s="258"/>
      <c r="F26" s="259"/>
      <c r="G26" s="259"/>
      <c r="H26" s="256"/>
      <c r="I26" s="166"/>
      <c r="J26" s="165"/>
      <c r="K26" s="167"/>
    </row>
    <row r="27" spans="1:11" ht="16.5" customHeight="1" x14ac:dyDescent="0.2">
      <c r="A27" s="256"/>
      <c r="B27" s="163" t="s">
        <v>848</v>
      </c>
      <c r="C27" s="164">
        <f>SUM(C15:C22)</f>
        <v>1330162765</v>
      </c>
      <c r="D27" s="257"/>
      <c r="E27" s="258"/>
      <c r="F27" s="259"/>
      <c r="G27" s="259"/>
      <c r="H27" s="256"/>
      <c r="I27" s="166"/>
      <c r="J27" s="165">
        <f>SUM(J4:J26)</f>
        <v>781458008</v>
      </c>
      <c r="K27" s="167">
        <f>SUM(K4:K26)</f>
        <v>2440162765</v>
      </c>
    </row>
    <row r="28" spans="1:11" ht="16.5" customHeight="1" x14ac:dyDescent="0.2">
      <c r="A28" s="256"/>
      <c r="B28" s="163"/>
      <c r="C28" s="164"/>
      <c r="D28" s="257"/>
      <c r="E28" s="258"/>
      <c r="F28" s="259"/>
      <c r="G28" s="259"/>
      <c r="H28" s="256"/>
      <c r="I28" s="166" t="s">
        <v>849</v>
      </c>
      <c r="J28" s="165"/>
      <c r="K28" s="167">
        <f>SUM(C13-J13+C27-J27)</f>
        <v>2440162765</v>
      </c>
    </row>
    <row r="29" spans="1:11" ht="16.5" customHeight="1" x14ac:dyDescent="0.2">
      <c r="A29" s="653"/>
      <c r="B29" s="654"/>
      <c r="C29" s="655"/>
      <c r="D29" s="656"/>
      <c r="E29" s="657"/>
      <c r="F29" s="658"/>
      <c r="G29" s="658"/>
      <c r="H29" s="653"/>
      <c r="I29" s="659"/>
      <c r="J29" s="660"/>
      <c r="K29" s="655"/>
    </row>
  </sheetData>
  <mergeCells count="3">
    <mergeCell ref="E3:F3"/>
    <mergeCell ref="A1:K1"/>
    <mergeCell ref="D15:D16"/>
  </mergeCells>
  <phoneticPr fontId="12" type="noConversion"/>
  <printOptions horizontalCentered="1"/>
  <pageMargins left="0" right="0" top="0.74803149606299213" bottom="0.55118110236220474" header="0.31496062992125984" footer="0.11811023622047245"/>
  <pageSetup paperSize="9" orientation="landscape" r:id="rId1"/>
  <headerFooter>
    <oddHeader>&amp;LVeresegyház Város Önkormányzata&amp;C&amp;"Arial CE,Félkövér"ELŐIRÁNYZAT MÓDOSÍTÁS, TELJESÍTÉS 2015.06.30.&amp;R&amp;8 31. melléklet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zoomScaleSheetLayoutView="100" workbookViewId="0">
      <selection activeCell="A9" sqref="A9:M9"/>
    </sheetView>
  </sheetViews>
  <sheetFormatPr defaultRowHeight="11.25" x14ac:dyDescent="0.2"/>
  <cols>
    <col min="1" max="1" width="34.42578125" style="291" customWidth="1"/>
    <col min="2" max="2" width="7.42578125" style="674" bestFit="1" customWidth="1"/>
    <col min="3" max="3" width="7.5703125" style="674" bestFit="1" customWidth="1"/>
    <col min="4" max="4" width="8" style="674" customWidth="1"/>
    <col min="5" max="5" width="7.42578125" style="674" bestFit="1" customWidth="1"/>
    <col min="6" max="6" width="7.5703125" style="674" bestFit="1" customWidth="1"/>
    <col min="7" max="7" width="8" style="674" bestFit="1" customWidth="1"/>
    <col min="8" max="8" width="7.42578125" style="674" bestFit="1" customWidth="1"/>
    <col min="9" max="9" width="7.5703125" style="674" bestFit="1" customWidth="1"/>
    <col min="10" max="10" width="8" style="674" bestFit="1" customWidth="1"/>
    <col min="11" max="11" width="7.42578125" style="674" bestFit="1" customWidth="1"/>
    <col min="12" max="12" width="7.5703125" style="674" bestFit="1" customWidth="1"/>
    <col min="13" max="13" width="8" style="674" customWidth="1"/>
    <col min="14" max="16384" width="9.140625" style="198"/>
  </cols>
  <sheetData>
    <row r="1" spans="1:13" ht="12" customHeight="1" x14ac:dyDescent="0.2">
      <c r="A1" s="290"/>
      <c r="C1" s="675"/>
      <c r="D1" s="676" t="s">
        <v>377</v>
      </c>
    </row>
    <row r="2" spans="1:13" x14ac:dyDescent="0.2">
      <c r="A2" s="822" t="s">
        <v>205</v>
      </c>
      <c r="B2" s="822"/>
      <c r="C2" s="822"/>
      <c r="D2" s="822"/>
    </row>
    <row r="3" spans="1:13" x14ac:dyDescent="0.2">
      <c r="B3" s="675"/>
      <c r="D3" s="676" t="s">
        <v>175</v>
      </c>
    </row>
    <row r="4" spans="1:13" x14ac:dyDescent="0.2">
      <c r="A4" s="839" t="s">
        <v>178</v>
      </c>
      <c r="B4" s="847" t="s">
        <v>173</v>
      </c>
      <c r="C4" s="847"/>
      <c r="D4" s="847"/>
    </row>
    <row r="5" spans="1:13" s="289" customFormat="1" ht="29.25" x14ac:dyDescent="0.2">
      <c r="A5" s="840"/>
      <c r="B5" s="684" t="s">
        <v>821</v>
      </c>
      <c r="C5" s="684" t="s">
        <v>823</v>
      </c>
      <c r="D5" s="685" t="s">
        <v>822</v>
      </c>
      <c r="E5" s="686"/>
      <c r="F5" s="686"/>
      <c r="G5" s="686"/>
      <c r="H5" s="686"/>
      <c r="I5" s="686"/>
      <c r="J5" s="686"/>
      <c r="K5" s="686"/>
      <c r="L5" s="686"/>
      <c r="M5" s="686"/>
    </row>
    <row r="6" spans="1:13" x14ac:dyDescent="0.2">
      <c r="A6" s="228"/>
      <c r="B6" s="677"/>
      <c r="C6" s="677"/>
      <c r="D6" s="677"/>
    </row>
    <row r="7" spans="1:13" x14ac:dyDescent="0.2">
      <c r="A7" s="228"/>
      <c r="B7" s="677"/>
      <c r="C7" s="677"/>
      <c r="D7" s="677"/>
    </row>
    <row r="8" spans="1:13" x14ac:dyDescent="0.2">
      <c r="A8" s="292" t="s">
        <v>87</v>
      </c>
      <c r="B8" s="677">
        <f>SUM(B5:B7)</f>
        <v>0</v>
      </c>
      <c r="C8" s="677">
        <f t="shared" ref="C8:D8" si="0">SUM(C5:C7)</f>
        <v>0</v>
      </c>
      <c r="D8" s="677">
        <f t="shared" si="0"/>
        <v>0</v>
      </c>
    </row>
    <row r="9" spans="1:13" x14ac:dyDescent="0.2">
      <c r="A9" s="290"/>
      <c r="B9" s="676"/>
      <c r="C9" s="676"/>
      <c r="D9" s="676"/>
    </row>
    <row r="10" spans="1:13" x14ac:dyDescent="0.2">
      <c r="A10" s="836" t="s">
        <v>378</v>
      </c>
      <c r="B10" s="836"/>
      <c r="C10" s="836"/>
      <c r="D10" s="836"/>
      <c r="E10" s="836"/>
      <c r="F10" s="836"/>
      <c r="G10" s="836"/>
      <c r="H10" s="836"/>
      <c r="I10" s="836"/>
      <c r="J10" s="836"/>
      <c r="K10" s="836"/>
      <c r="L10" s="836"/>
      <c r="M10" s="836"/>
    </row>
    <row r="11" spans="1:13" x14ac:dyDescent="0.2">
      <c r="A11" s="822" t="s">
        <v>204</v>
      </c>
      <c r="B11" s="822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2"/>
    </row>
    <row r="12" spans="1:13" x14ac:dyDescent="0.2">
      <c r="A12" s="293"/>
      <c r="B12" s="678"/>
      <c r="C12" s="678"/>
      <c r="D12" s="678"/>
      <c r="E12" s="678"/>
      <c r="M12" s="676" t="s">
        <v>175</v>
      </c>
    </row>
    <row r="13" spans="1:13" ht="12.75" customHeight="1" x14ac:dyDescent="0.2">
      <c r="A13" s="839" t="s">
        <v>178</v>
      </c>
      <c r="B13" s="841" t="s">
        <v>173</v>
      </c>
      <c r="C13" s="841"/>
      <c r="D13" s="841"/>
      <c r="E13" s="842" t="s">
        <v>301</v>
      </c>
      <c r="F13" s="842"/>
      <c r="G13" s="842"/>
      <c r="H13" s="842" t="s">
        <v>172</v>
      </c>
      <c r="I13" s="842"/>
      <c r="J13" s="842"/>
      <c r="K13" s="843" t="s">
        <v>171</v>
      </c>
      <c r="L13" s="844"/>
      <c r="M13" s="845"/>
    </row>
    <row r="14" spans="1:13" s="289" customFormat="1" ht="29.25" x14ac:dyDescent="0.2">
      <c r="A14" s="840"/>
      <c r="B14" s="684" t="s">
        <v>821</v>
      </c>
      <c r="C14" s="684" t="s">
        <v>823</v>
      </c>
      <c r="D14" s="685" t="s">
        <v>822</v>
      </c>
      <c r="E14" s="684" t="s">
        <v>821</v>
      </c>
      <c r="F14" s="684" t="s">
        <v>823</v>
      </c>
      <c r="G14" s="685" t="s">
        <v>822</v>
      </c>
      <c r="H14" s="684" t="s">
        <v>821</v>
      </c>
      <c r="I14" s="684" t="s">
        <v>823</v>
      </c>
      <c r="J14" s="685" t="s">
        <v>822</v>
      </c>
      <c r="K14" s="684" t="s">
        <v>821</v>
      </c>
      <c r="L14" s="684" t="s">
        <v>823</v>
      </c>
      <c r="M14" s="685" t="s">
        <v>822</v>
      </c>
    </row>
    <row r="15" spans="1:13" x14ac:dyDescent="0.2">
      <c r="A15" s="294"/>
      <c r="B15" s="677"/>
      <c r="C15" s="677"/>
      <c r="D15" s="677"/>
      <c r="E15" s="677"/>
      <c r="F15" s="677"/>
      <c r="G15" s="677"/>
      <c r="H15" s="677"/>
      <c r="I15" s="677"/>
      <c r="J15" s="677"/>
      <c r="K15" s="677">
        <f>SUM(B15,E15,H15)</f>
        <v>0</v>
      </c>
      <c r="L15" s="677">
        <f t="shared" ref="L15:M16" si="1">SUM(C15,F15,I15)</f>
        <v>0</v>
      </c>
      <c r="M15" s="677">
        <f t="shared" si="1"/>
        <v>0</v>
      </c>
    </row>
    <row r="16" spans="1:13" x14ac:dyDescent="0.2">
      <c r="A16" s="294"/>
      <c r="B16" s="677"/>
      <c r="C16" s="677"/>
      <c r="D16" s="677"/>
      <c r="E16" s="677"/>
      <c r="F16" s="677"/>
      <c r="G16" s="677"/>
      <c r="H16" s="677"/>
      <c r="I16" s="677"/>
      <c r="J16" s="677"/>
      <c r="K16" s="677">
        <f>SUM(B16,E16,H16)</f>
        <v>0</v>
      </c>
      <c r="L16" s="677">
        <f t="shared" si="1"/>
        <v>0</v>
      </c>
      <c r="M16" s="677">
        <f t="shared" si="1"/>
        <v>0</v>
      </c>
    </row>
    <row r="17" spans="1:13" x14ac:dyDescent="0.2">
      <c r="A17" s="292" t="s">
        <v>87</v>
      </c>
      <c r="B17" s="677">
        <f>SUM(B15:B16)</f>
        <v>0</v>
      </c>
      <c r="C17" s="677">
        <f t="shared" ref="C17:M17" si="2">SUM(C15:C16)</f>
        <v>0</v>
      </c>
      <c r="D17" s="677">
        <f t="shared" si="2"/>
        <v>0</v>
      </c>
      <c r="E17" s="677">
        <f t="shared" si="2"/>
        <v>0</v>
      </c>
      <c r="F17" s="677">
        <f t="shared" si="2"/>
        <v>0</v>
      </c>
      <c r="G17" s="677">
        <f t="shared" si="2"/>
        <v>0</v>
      </c>
      <c r="H17" s="677">
        <f t="shared" si="2"/>
        <v>0</v>
      </c>
      <c r="I17" s="677">
        <f t="shared" si="2"/>
        <v>0</v>
      </c>
      <c r="J17" s="677">
        <f t="shared" si="2"/>
        <v>0</v>
      </c>
      <c r="K17" s="677">
        <f t="shared" si="2"/>
        <v>0</v>
      </c>
      <c r="L17" s="677">
        <f t="shared" si="2"/>
        <v>0</v>
      </c>
      <c r="M17" s="677">
        <f t="shared" si="2"/>
        <v>0</v>
      </c>
    </row>
    <row r="18" spans="1:13" x14ac:dyDescent="0.2">
      <c r="A18" s="295"/>
      <c r="B18" s="676"/>
      <c r="C18" s="676"/>
      <c r="D18" s="676"/>
      <c r="E18" s="676"/>
    </row>
    <row r="19" spans="1:13" x14ac:dyDescent="0.2">
      <c r="M19" s="678" t="s">
        <v>379</v>
      </c>
    </row>
    <row r="20" spans="1:13" x14ac:dyDescent="0.2">
      <c r="A20" s="822" t="s">
        <v>203</v>
      </c>
      <c r="B20" s="822"/>
      <c r="C20" s="822"/>
      <c r="D20" s="822"/>
      <c r="E20" s="822"/>
      <c r="F20" s="822"/>
      <c r="G20" s="822"/>
      <c r="H20" s="822"/>
      <c r="I20" s="822"/>
      <c r="J20" s="822"/>
      <c r="K20" s="822"/>
      <c r="L20" s="822"/>
      <c r="M20" s="822"/>
    </row>
    <row r="21" spans="1:13" ht="12" customHeight="1" x14ac:dyDescent="0.2">
      <c r="B21" s="679"/>
      <c r="C21" s="679"/>
      <c r="D21" s="679"/>
      <c r="E21" s="679"/>
      <c r="F21" s="679"/>
      <c r="G21" s="679"/>
      <c r="H21" s="679"/>
      <c r="I21" s="679"/>
      <c r="J21" s="679"/>
      <c r="K21" s="679"/>
      <c r="L21" s="679"/>
      <c r="M21" s="680" t="s">
        <v>175</v>
      </c>
    </row>
    <row r="22" spans="1:13" ht="12.75" customHeight="1" x14ac:dyDescent="0.2">
      <c r="A22" s="839" t="s">
        <v>178</v>
      </c>
      <c r="B22" s="841" t="s">
        <v>173</v>
      </c>
      <c r="C22" s="841"/>
      <c r="D22" s="841"/>
      <c r="E22" s="842" t="s">
        <v>301</v>
      </c>
      <c r="F22" s="842"/>
      <c r="G22" s="842"/>
      <c r="H22" s="842" t="s">
        <v>172</v>
      </c>
      <c r="I22" s="842"/>
      <c r="J22" s="842"/>
      <c r="K22" s="843" t="s">
        <v>171</v>
      </c>
      <c r="L22" s="844"/>
      <c r="M22" s="845"/>
    </row>
    <row r="23" spans="1:13" s="289" customFormat="1" ht="33" customHeight="1" x14ac:dyDescent="0.2">
      <c r="A23" s="840"/>
      <c r="B23" s="684" t="s">
        <v>821</v>
      </c>
      <c r="C23" s="684" t="s">
        <v>823</v>
      </c>
      <c r="D23" s="685" t="s">
        <v>822</v>
      </c>
      <c r="E23" s="684" t="s">
        <v>821</v>
      </c>
      <c r="F23" s="684" t="s">
        <v>823</v>
      </c>
      <c r="G23" s="685" t="s">
        <v>822</v>
      </c>
      <c r="H23" s="684" t="s">
        <v>821</v>
      </c>
      <c r="I23" s="684" t="s">
        <v>823</v>
      </c>
      <c r="J23" s="685" t="s">
        <v>822</v>
      </c>
      <c r="K23" s="684" t="s">
        <v>821</v>
      </c>
      <c r="L23" s="684" t="s">
        <v>823</v>
      </c>
      <c r="M23" s="685" t="s">
        <v>822</v>
      </c>
    </row>
    <row r="24" spans="1:13" x14ac:dyDescent="0.2">
      <c r="A24" s="228"/>
      <c r="B24" s="681"/>
      <c r="C24" s="673"/>
      <c r="D24" s="673"/>
      <c r="E24" s="673"/>
      <c r="F24" s="681"/>
      <c r="G24" s="673"/>
      <c r="H24" s="673"/>
      <c r="I24" s="673"/>
      <c r="J24" s="681"/>
      <c r="K24" s="677">
        <f>SUM(B24,E24,H24)</f>
        <v>0</v>
      </c>
      <c r="L24" s="677">
        <f t="shared" ref="L24:L25" si="3">SUM(C24,F24,I24)</f>
        <v>0</v>
      </c>
      <c r="M24" s="677">
        <f t="shared" ref="M24:M25" si="4">SUM(D24,G24,J24)</f>
        <v>0</v>
      </c>
    </row>
    <row r="25" spans="1:13" x14ac:dyDescent="0.2">
      <c r="A25" s="228"/>
      <c r="B25" s="681"/>
      <c r="C25" s="673"/>
      <c r="D25" s="673"/>
      <c r="E25" s="673"/>
      <c r="F25" s="681"/>
      <c r="G25" s="673"/>
      <c r="H25" s="673"/>
      <c r="I25" s="673"/>
      <c r="J25" s="681"/>
      <c r="K25" s="677">
        <f>SUM(B25,E25,H25)</f>
        <v>0</v>
      </c>
      <c r="L25" s="677">
        <f t="shared" si="3"/>
        <v>0</v>
      </c>
      <c r="M25" s="677">
        <f t="shared" si="4"/>
        <v>0</v>
      </c>
    </row>
    <row r="26" spans="1:13" x14ac:dyDescent="0.2">
      <c r="A26" s="292" t="s">
        <v>87</v>
      </c>
      <c r="B26" s="677">
        <f>SUM(B24:B25)</f>
        <v>0</v>
      </c>
      <c r="C26" s="677">
        <f t="shared" ref="C26:M26" si="5">SUM(C24:C25)</f>
        <v>0</v>
      </c>
      <c r="D26" s="677">
        <f t="shared" si="5"/>
        <v>0</v>
      </c>
      <c r="E26" s="677">
        <f t="shared" si="5"/>
        <v>0</v>
      </c>
      <c r="F26" s="677">
        <f t="shared" si="5"/>
        <v>0</v>
      </c>
      <c r="G26" s="677">
        <f t="shared" si="5"/>
        <v>0</v>
      </c>
      <c r="H26" s="677">
        <f t="shared" si="5"/>
        <v>0</v>
      </c>
      <c r="I26" s="677">
        <f t="shared" si="5"/>
        <v>0</v>
      </c>
      <c r="J26" s="677">
        <f t="shared" si="5"/>
        <v>0</v>
      </c>
      <c r="K26" s="677">
        <f t="shared" si="5"/>
        <v>0</v>
      </c>
      <c r="L26" s="677">
        <f t="shared" si="5"/>
        <v>0</v>
      </c>
      <c r="M26" s="677">
        <f t="shared" si="5"/>
        <v>0</v>
      </c>
    </row>
    <row r="28" spans="1:13" x14ac:dyDescent="0.2">
      <c r="M28" s="678" t="s">
        <v>380</v>
      </c>
    </row>
    <row r="29" spans="1:13" x14ac:dyDescent="0.2">
      <c r="A29" s="822" t="s">
        <v>202</v>
      </c>
      <c r="B29" s="822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2"/>
    </row>
    <row r="30" spans="1:13" x14ac:dyDescent="0.2">
      <c r="B30" s="679"/>
      <c r="C30" s="679"/>
      <c r="D30" s="679"/>
      <c r="E30" s="679"/>
      <c r="M30" s="680" t="s">
        <v>175</v>
      </c>
    </row>
    <row r="31" spans="1:13" ht="12.75" customHeight="1" x14ac:dyDescent="0.2">
      <c r="A31" s="839" t="s">
        <v>178</v>
      </c>
      <c r="B31" s="841" t="s">
        <v>173</v>
      </c>
      <c r="C31" s="841"/>
      <c r="D31" s="841"/>
      <c r="E31" s="842" t="s">
        <v>301</v>
      </c>
      <c r="F31" s="842"/>
      <c r="G31" s="842"/>
      <c r="H31" s="842" t="s">
        <v>172</v>
      </c>
      <c r="I31" s="842"/>
      <c r="J31" s="842"/>
      <c r="K31" s="843" t="s">
        <v>171</v>
      </c>
      <c r="L31" s="844"/>
      <c r="M31" s="845"/>
    </row>
    <row r="32" spans="1:13" s="289" customFormat="1" ht="29.25" x14ac:dyDescent="0.2">
      <c r="A32" s="840"/>
      <c r="B32" s="684" t="s">
        <v>821</v>
      </c>
      <c r="C32" s="684" t="s">
        <v>823</v>
      </c>
      <c r="D32" s="685" t="s">
        <v>822</v>
      </c>
      <c r="E32" s="684" t="s">
        <v>821</v>
      </c>
      <c r="F32" s="684" t="s">
        <v>823</v>
      </c>
      <c r="G32" s="685" t="s">
        <v>822</v>
      </c>
      <c r="H32" s="684" t="s">
        <v>821</v>
      </c>
      <c r="I32" s="684" t="s">
        <v>823</v>
      </c>
      <c r="J32" s="685" t="s">
        <v>822</v>
      </c>
      <c r="K32" s="684" t="s">
        <v>821</v>
      </c>
      <c r="L32" s="684" t="s">
        <v>823</v>
      </c>
      <c r="M32" s="685" t="s">
        <v>822</v>
      </c>
    </row>
    <row r="33" spans="1:13" x14ac:dyDescent="0.2">
      <c r="A33" s="228"/>
      <c r="B33" s="677"/>
      <c r="C33" s="673"/>
      <c r="D33" s="673"/>
      <c r="E33" s="673"/>
      <c r="F33" s="681"/>
      <c r="G33" s="673"/>
      <c r="H33" s="673"/>
      <c r="I33" s="673"/>
      <c r="J33" s="681"/>
      <c r="K33" s="677">
        <f>SUM(B33,E33,H33)</f>
        <v>0</v>
      </c>
      <c r="L33" s="677">
        <f t="shared" ref="L33:L35" si="6">SUM(C33,F33,I33)</f>
        <v>0</v>
      </c>
      <c r="M33" s="677">
        <f t="shared" ref="M33:M35" si="7">SUM(D33,G33,J33)</f>
        <v>0</v>
      </c>
    </row>
    <row r="34" spans="1:13" ht="14.25" customHeight="1" x14ac:dyDescent="0.2">
      <c r="A34" s="228" t="s">
        <v>726</v>
      </c>
      <c r="B34" s="677">
        <v>111425</v>
      </c>
      <c r="C34" s="673">
        <v>111425</v>
      </c>
      <c r="D34" s="673">
        <v>0</v>
      </c>
      <c r="E34" s="673"/>
      <c r="F34" s="681"/>
      <c r="G34" s="673"/>
      <c r="H34" s="673"/>
      <c r="I34" s="673"/>
      <c r="J34" s="681"/>
      <c r="K34" s="677">
        <f>SUM(B34,E34,H34)</f>
        <v>111425</v>
      </c>
      <c r="L34" s="677">
        <f t="shared" si="6"/>
        <v>111425</v>
      </c>
      <c r="M34" s="677">
        <f t="shared" si="7"/>
        <v>0</v>
      </c>
    </row>
    <row r="35" spans="1:13" x14ac:dyDescent="0.2">
      <c r="A35" s="228" t="s">
        <v>856</v>
      </c>
      <c r="B35" s="677"/>
      <c r="C35" s="673">
        <v>125980</v>
      </c>
      <c r="D35" s="673"/>
      <c r="E35" s="673"/>
      <c r="F35" s="681"/>
      <c r="G35" s="673"/>
      <c r="H35" s="673"/>
      <c r="I35" s="673"/>
      <c r="J35" s="681"/>
      <c r="K35" s="677">
        <f>SUM(B35,E35,H35)</f>
        <v>0</v>
      </c>
      <c r="L35" s="677">
        <f t="shared" si="6"/>
        <v>125980</v>
      </c>
      <c r="M35" s="677">
        <f t="shared" si="7"/>
        <v>0</v>
      </c>
    </row>
    <row r="36" spans="1:13" x14ac:dyDescent="0.2">
      <c r="A36" s="292" t="s">
        <v>87</v>
      </c>
      <c r="B36" s="682">
        <f>SUM(B33:B35)</f>
        <v>111425</v>
      </c>
      <c r="C36" s="682">
        <f t="shared" ref="C36:M36" si="8">SUM(C33:C35)</f>
        <v>237405</v>
      </c>
      <c r="D36" s="682">
        <f t="shared" si="8"/>
        <v>0</v>
      </c>
      <c r="E36" s="682">
        <f t="shared" si="8"/>
        <v>0</v>
      </c>
      <c r="F36" s="682">
        <f t="shared" si="8"/>
        <v>0</v>
      </c>
      <c r="G36" s="682">
        <f t="shared" si="8"/>
        <v>0</v>
      </c>
      <c r="H36" s="682">
        <f t="shared" si="8"/>
        <v>0</v>
      </c>
      <c r="I36" s="682">
        <f t="shared" si="8"/>
        <v>0</v>
      </c>
      <c r="J36" s="682">
        <f t="shared" si="8"/>
        <v>0</v>
      </c>
      <c r="K36" s="682">
        <f t="shared" si="8"/>
        <v>111425</v>
      </c>
      <c r="L36" s="682">
        <f>SUM(L33:L35)</f>
        <v>237405</v>
      </c>
      <c r="M36" s="682">
        <f t="shared" si="8"/>
        <v>0</v>
      </c>
    </row>
    <row r="38" spans="1:13" x14ac:dyDescent="0.2">
      <c r="I38" s="838" t="s">
        <v>727</v>
      </c>
      <c r="J38" s="838"/>
      <c r="K38" s="838"/>
      <c r="L38" s="838"/>
      <c r="M38" s="838"/>
    </row>
    <row r="39" spans="1:13" x14ac:dyDescent="0.2">
      <c r="A39" s="822" t="s">
        <v>275</v>
      </c>
      <c r="B39" s="822"/>
      <c r="C39" s="822"/>
      <c r="D39" s="822"/>
      <c r="E39" s="822"/>
      <c r="F39" s="822"/>
      <c r="G39" s="822"/>
      <c r="H39" s="822"/>
      <c r="I39" s="822"/>
      <c r="J39" s="822"/>
      <c r="K39" s="822"/>
      <c r="L39" s="822"/>
      <c r="M39" s="822"/>
    </row>
    <row r="40" spans="1:13" x14ac:dyDescent="0.2">
      <c r="I40" s="846" t="s">
        <v>175</v>
      </c>
      <c r="J40" s="846"/>
      <c r="K40" s="846"/>
      <c r="L40" s="846"/>
      <c r="M40" s="846"/>
    </row>
    <row r="41" spans="1:13" ht="11.25" customHeight="1" x14ac:dyDescent="0.2">
      <c r="A41" s="839" t="s">
        <v>178</v>
      </c>
      <c r="B41" s="841" t="s">
        <v>173</v>
      </c>
      <c r="C41" s="841"/>
      <c r="D41" s="841"/>
      <c r="E41" s="842" t="s">
        <v>301</v>
      </c>
      <c r="F41" s="842"/>
      <c r="G41" s="842"/>
      <c r="H41" s="842" t="s">
        <v>172</v>
      </c>
      <c r="I41" s="842"/>
      <c r="J41" s="842"/>
      <c r="K41" s="843" t="s">
        <v>171</v>
      </c>
      <c r="L41" s="844"/>
      <c r="M41" s="845"/>
    </row>
    <row r="42" spans="1:13" s="289" customFormat="1" ht="29.25" x14ac:dyDescent="0.2">
      <c r="A42" s="840"/>
      <c r="B42" s="684" t="s">
        <v>821</v>
      </c>
      <c r="C42" s="684" t="s">
        <v>823</v>
      </c>
      <c r="D42" s="685" t="s">
        <v>822</v>
      </c>
      <c r="E42" s="684" t="s">
        <v>821</v>
      </c>
      <c r="F42" s="684" t="s">
        <v>823</v>
      </c>
      <c r="G42" s="685" t="s">
        <v>822</v>
      </c>
      <c r="H42" s="684" t="s">
        <v>821</v>
      </c>
      <c r="I42" s="684" t="s">
        <v>823</v>
      </c>
      <c r="J42" s="685" t="s">
        <v>822</v>
      </c>
      <c r="K42" s="684" t="s">
        <v>821</v>
      </c>
      <c r="L42" s="684" t="s">
        <v>823</v>
      </c>
      <c r="M42" s="685" t="s">
        <v>822</v>
      </c>
    </row>
    <row r="43" spans="1:13" x14ac:dyDescent="0.2">
      <c r="A43" s="228" t="s">
        <v>728</v>
      </c>
      <c r="B43" s="677">
        <v>364727</v>
      </c>
      <c r="C43" s="677">
        <v>482737</v>
      </c>
      <c r="D43" s="673">
        <v>68830</v>
      </c>
      <c r="E43" s="673"/>
      <c r="F43" s="673"/>
      <c r="G43" s="673"/>
      <c r="H43" s="673"/>
      <c r="I43" s="673"/>
      <c r="J43" s="673"/>
      <c r="K43" s="677">
        <f>SUM(B43,E43,H43)</f>
        <v>364727</v>
      </c>
      <c r="L43" s="677">
        <f t="shared" ref="L43" si="9">SUM(C43,F43,I43)</f>
        <v>482737</v>
      </c>
      <c r="M43" s="677">
        <f t="shared" ref="M43" si="10">SUM(D43,G43,J43)</f>
        <v>68830</v>
      </c>
    </row>
    <row r="44" spans="1:13" ht="12.75" customHeight="1" x14ac:dyDescent="0.2">
      <c r="A44" s="228" t="s">
        <v>729</v>
      </c>
      <c r="B44" s="677">
        <v>13345</v>
      </c>
      <c r="C44" s="677">
        <v>13345</v>
      </c>
      <c r="D44" s="673">
        <v>0</v>
      </c>
      <c r="E44" s="673"/>
      <c r="F44" s="673"/>
      <c r="G44" s="673"/>
      <c r="H44" s="673"/>
      <c r="I44" s="673"/>
      <c r="J44" s="673"/>
      <c r="K44" s="677">
        <f t="shared" ref="K44:K45" si="11">SUM(B44,E44,H44)</f>
        <v>13345</v>
      </c>
      <c r="L44" s="677">
        <f t="shared" ref="L44:L45" si="12">SUM(C44,F44,I44)</f>
        <v>13345</v>
      </c>
      <c r="M44" s="677">
        <f t="shared" ref="M44:M45" si="13">SUM(D44,G44,J44)</f>
        <v>0</v>
      </c>
    </row>
    <row r="45" spans="1:13" x14ac:dyDescent="0.2">
      <c r="A45" s="228" t="s">
        <v>730</v>
      </c>
      <c r="B45" s="677">
        <v>23929</v>
      </c>
      <c r="C45" s="677">
        <v>23929</v>
      </c>
      <c r="D45" s="673">
        <v>1517</v>
      </c>
      <c r="E45" s="673"/>
      <c r="F45" s="673"/>
      <c r="G45" s="673"/>
      <c r="H45" s="673"/>
      <c r="I45" s="673"/>
      <c r="J45" s="673"/>
      <c r="K45" s="677">
        <f t="shared" si="11"/>
        <v>23929</v>
      </c>
      <c r="L45" s="677">
        <f t="shared" si="12"/>
        <v>23929</v>
      </c>
      <c r="M45" s="677">
        <f t="shared" si="13"/>
        <v>1517</v>
      </c>
    </row>
    <row r="46" spans="1:13" x14ac:dyDescent="0.2">
      <c r="A46" s="292" t="s">
        <v>87</v>
      </c>
      <c r="B46" s="682">
        <f>SUM(B43:B45)</f>
        <v>402001</v>
      </c>
      <c r="C46" s="682">
        <f t="shared" ref="C46" si="14">SUM(C43:C45)</f>
        <v>520011</v>
      </c>
      <c r="D46" s="682">
        <f t="shared" ref="D46:M46" si="15">SUM(D43:D45)</f>
        <v>70347</v>
      </c>
      <c r="E46" s="682">
        <f t="shared" si="15"/>
        <v>0</v>
      </c>
      <c r="F46" s="682">
        <f t="shared" si="15"/>
        <v>0</v>
      </c>
      <c r="G46" s="682">
        <f t="shared" si="15"/>
        <v>0</v>
      </c>
      <c r="H46" s="682">
        <f t="shared" si="15"/>
        <v>0</v>
      </c>
      <c r="I46" s="682">
        <f t="shared" si="15"/>
        <v>0</v>
      </c>
      <c r="J46" s="682">
        <f t="shared" si="15"/>
        <v>0</v>
      </c>
      <c r="K46" s="682">
        <f t="shared" si="15"/>
        <v>402001</v>
      </c>
      <c r="L46" s="682">
        <f t="shared" si="15"/>
        <v>520011</v>
      </c>
      <c r="M46" s="682">
        <f t="shared" si="15"/>
        <v>70347</v>
      </c>
    </row>
    <row r="48" spans="1:13" x14ac:dyDescent="0.2">
      <c r="I48" s="838" t="s">
        <v>381</v>
      </c>
      <c r="J48" s="838"/>
      <c r="K48" s="838"/>
      <c r="L48" s="838"/>
      <c r="M48" s="838"/>
    </row>
    <row r="49" spans="1:13" x14ac:dyDescent="0.2">
      <c r="A49" s="822" t="s">
        <v>857</v>
      </c>
      <c r="B49" s="822"/>
      <c r="C49" s="822"/>
      <c r="D49" s="822"/>
      <c r="E49" s="822"/>
      <c r="F49" s="822"/>
      <c r="G49" s="822"/>
      <c r="H49" s="822"/>
      <c r="I49" s="822"/>
      <c r="J49" s="822"/>
      <c r="K49" s="822"/>
      <c r="L49" s="822"/>
      <c r="M49" s="822"/>
    </row>
    <row r="50" spans="1:13" x14ac:dyDescent="0.2">
      <c r="A50" s="293"/>
      <c r="B50" s="678"/>
      <c r="C50" s="678"/>
      <c r="D50" s="678"/>
      <c r="M50" s="678" t="s">
        <v>60</v>
      </c>
    </row>
    <row r="51" spans="1:13" ht="12.75" customHeight="1" x14ac:dyDescent="0.2">
      <c r="A51" s="839" t="s">
        <v>178</v>
      </c>
      <c r="B51" s="841" t="s">
        <v>173</v>
      </c>
      <c r="C51" s="841"/>
      <c r="D51" s="841"/>
      <c r="E51" s="842" t="s">
        <v>301</v>
      </c>
      <c r="F51" s="842"/>
      <c r="G51" s="842"/>
      <c r="H51" s="842" t="s">
        <v>172</v>
      </c>
      <c r="I51" s="842"/>
      <c r="J51" s="842"/>
      <c r="K51" s="843" t="s">
        <v>171</v>
      </c>
      <c r="L51" s="844"/>
      <c r="M51" s="845"/>
    </row>
    <row r="52" spans="1:13" s="289" customFormat="1" ht="29.25" x14ac:dyDescent="0.2">
      <c r="A52" s="840"/>
      <c r="B52" s="684" t="s">
        <v>821</v>
      </c>
      <c r="C52" s="684" t="s">
        <v>823</v>
      </c>
      <c r="D52" s="685" t="s">
        <v>822</v>
      </c>
      <c r="E52" s="684" t="s">
        <v>821</v>
      </c>
      <c r="F52" s="684" t="s">
        <v>823</v>
      </c>
      <c r="G52" s="685" t="s">
        <v>822</v>
      </c>
      <c r="H52" s="684" t="s">
        <v>821</v>
      </c>
      <c r="I52" s="684" t="s">
        <v>823</v>
      </c>
      <c r="J52" s="685" t="s">
        <v>822</v>
      </c>
      <c r="K52" s="684" t="s">
        <v>821</v>
      </c>
      <c r="L52" s="684" t="s">
        <v>823</v>
      </c>
      <c r="M52" s="685" t="s">
        <v>822</v>
      </c>
    </row>
    <row r="53" spans="1:13" ht="33.75" x14ac:dyDescent="0.2">
      <c r="A53" s="110" t="s">
        <v>759</v>
      </c>
      <c r="B53" s="677">
        <v>2275</v>
      </c>
      <c r="C53" s="677">
        <v>2275</v>
      </c>
      <c r="D53" s="677">
        <v>0</v>
      </c>
      <c r="E53" s="677"/>
      <c r="F53" s="677"/>
      <c r="G53" s="677"/>
      <c r="H53" s="677"/>
      <c r="I53" s="677"/>
      <c r="J53" s="677"/>
      <c r="K53" s="677">
        <f>SUM(B53,E53,H53)</f>
        <v>2275</v>
      </c>
      <c r="L53" s="677">
        <f t="shared" ref="L53" si="16">SUM(C53,F53,I53)</f>
        <v>2275</v>
      </c>
      <c r="M53" s="677">
        <f t="shared" ref="M53" si="17">SUM(D53,G53,J53)</f>
        <v>0</v>
      </c>
    </row>
    <row r="54" spans="1:13" x14ac:dyDescent="0.2">
      <c r="A54" s="294"/>
      <c r="B54" s="677"/>
      <c r="C54" s="677"/>
      <c r="D54" s="677"/>
      <c r="E54" s="677"/>
      <c r="F54" s="677"/>
      <c r="G54" s="677"/>
      <c r="H54" s="677"/>
      <c r="I54" s="677"/>
      <c r="J54" s="677"/>
      <c r="K54" s="677">
        <f>SUM(B54,E54,H54)</f>
        <v>0</v>
      </c>
      <c r="L54" s="677">
        <f t="shared" ref="L54" si="18">SUM(C54,F54,I54)</f>
        <v>0</v>
      </c>
      <c r="M54" s="677">
        <f t="shared" ref="M54" si="19">SUM(D54,G54,J54)</f>
        <v>0</v>
      </c>
    </row>
    <row r="55" spans="1:13" x14ac:dyDescent="0.2">
      <c r="A55" s="292" t="s">
        <v>87</v>
      </c>
      <c r="B55" s="682">
        <f>SUM(B53:B54)</f>
        <v>2275</v>
      </c>
      <c r="C55" s="682">
        <f>SUM(C53:C54)</f>
        <v>2275</v>
      </c>
      <c r="D55" s="682">
        <f t="shared" ref="D55:M55" si="20">SUM(D53:D54)</f>
        <v>0</v>
      </c>
      <c r="E55" s="682">
        <f t="shared" si="20"/>
        <v>0</v>
      </c>
      <c r="F55" s="682">
        <f t="shared" si="20"/>
        <v>0</v>
      </c>
      <c r="G55" s="682">
        <f t="shared" si="20"/>
        <v>0</v>
      </c>
      <c r="H55" s="682">
        <f t="shared" si="20"/>
        <v>0</v>
      </c>
      <c r="I55" s="682">
        <f t="shared" si="20"/>
        <v>0</v>
      </c>
      <c r="J55" s="682">
        <f t="shared" si="20"/>
        <v>0</v>
      </c>
      <c r="K55" s="682">
        <f t="shared" si="20"/>
        <v>2275</v>
      </c>
      <c r="L55" s="682">
        <f t="shared" si="20"/>
        <v>2275</v>
      </c>
      <c r="M55" s="682">
        <f t="shared" si="20"/>
        <v>0</v>
      </c>
    </row>
    <row r="57" spans="1:13" x14ac:dyDescent="0.2">
      <c r="I57" s="838" t="s">
        <v>731</v>
      </c>
      <c r="J57" s="838"/>
      <c r="K57" s="838"/>
      <c r="L57" s="838"/>
      <c r="M57" s="838"/>
    </row>
    <row r="58" spans="1:13" x14ac:dyDescent="0.2">
      <c r="A58" s="822" t="s">
        <v>858</v>
      </c>
      <c r="B58" s="822"/>
      <c r="C58" s="822"/>
      <c r="D58" s="822"/>
      <c r="E58" s="822"/>
      <c r="F58" s="822"/>
      <c r="G58" s="822"/>
      <c r="H58" s="822"/>
      <c r="I58" s="822"/>
      <c r="J58" s="822"/>
      <c r="K58" s="822"/>
      <c r="L58" s="822"/>
      <c r="M58" s="822"/>
    </row>
    <row r="59" spans="1:13" x14ac:dyDescent="0.2">
      <c r="A59" s="293"/>
      <c r="B59" s="678"/>
      <c r="C59" s="678"/>
      <c r="D59" s="678"/>
      <c r="M59" s="678" t="s">
        <v>60</v>
      </c>
    </row>
    <row r="60" spans="1:13" ht="12.75" customHeight="1" x14ac:dyDescent="0.2">
      <c r="A60" s="839" t="s">
        <v>178</v>
      </c>
      <c r="B60" s="841" t="s">
        <v>173</v>
      </c>
      <c r="C60" s="841"/>
      <c r="D60" s="841"/>
      <c r="E60" s="842" t="s">
        <v>301</v>
      </c>
      <c r="F60" s="842"/>
      <c r="G60" s="842"/>
      <c r="H60" s="842" t="s">
        <v>172</v>
      </c>
      <c r="I60" s="842"/>
      <c r="J60" s="842"/>
      <c r="K60" s="843" t="s">
        <v>171</v>
      </c>
      <c r="L60" s="844"/>
      <c r="M60" s="845"/>
    </row>
    <row r="61" spans="1:13" s="289" customFormat="1" ht="29.25" x14ac:dyDescent="0.2">
      <c r="A61" s="840"/>
      <c r="B61" s="684" t="s">
        <v>821</v>
      </c>
      <c r="C61" s="684" t="s">
        <v>823</v>
      </c>
      <c r="D61" s="685" t="s">
        <v>822</v>
      </c>
      <c r="E61" s="684" t="s">
        <v>821</v>
      </c>
      <c r="F61" s="684" t="s">
        <v>823</v>
      </c>
      <c r="G61" s="685" t="s">
        <v>822</v>
      </c>
      <c r="H61" s="684" t="s">
        <v>821</v>
      </c>
      <c r="I61" s="684" t="s">
        <v>823</v>
      </c>
      <c r="J61" s="685" t="s">
        <v>822</v>
      </c>
      <c r="K61" s="684" t="s">
        <v>821</v>
      </c>
      <c r="L61" s="684" t="s">
        <v>823</v>
      </c>
      <c r="M61" s="685" t="s">
        <v>822</v>
      </c>
    </row>
    <row r="62" spans="1:13" ht="22.5" customHeight="1" x14ac:dyDescent="0.2">
      <c r="A62" s="228" t="s">
        <v>315</v>
      </c>
      <c r="B62" s="677">
        <v>33000</v>
      </c>
      <c r="C62" s="677">
        <v>33000</v>
      </c>
      <c r="D62" s="677">
        <v>23740</v>
      </c>
      <c r="E62" s="677"/>
      <c r="F62" s="677"/>
      <c r="G62" s="677"/>
      <c r="H62" s="677"/>
      <c r="I62" s="677"/>
      <c r="J62" s="677"/>
      <c r="K62" s="677">
        <f>SUM(B62,E62,H62)</f>
        <v>33000</v>
      </c>
      <c r="L62" s="677">
        <f t="shared" ref="L62" si="21">SUM(C62,F62,I62)</f>
        <v>33000</v>
      </c>
      <c r="M62" s="677">
        <f t="shared" ref="M62" si="22">SUM(D62,G62,J62)</f>
        <v>23740</v>
      </c>
    </row>
    <row r="63" spans="1:13" ht="22.5" x14ac:dyDescent="0.2">
      <c r="A63" s="228" t="s">
        <v>317</v>
      </c>
      <c r="B63" s="677">
        <v>2000</v>
      </c>
      <c r="C63" s="677">
        <v>2000</v>
      </c>
      <c r="D63" s="677">
        <v>0</v>
      </c>
      <c r="E63" s="677"/>
      <c r="F63" s="677"/>
      <c r="G63" s="677"/>
      <c r="H63" s="677"/>
      <c r="I63" s="677"/>
      <c r="J63" s="677"/>
      <c r="K63" s="677">
        <f t="shared" ref="K63:K65" si="23">SUM(B63,E63,H63)</f>
        <v>2000</v>
      </c>
      <c r="L63" s="677">
        <f t="shared" ref="L63:L65" si="24">SUM(C63,F63,I63)</f>
        <v>2000</v>
      </c>
      <c r="M63" s="677">
        <f t="shared" ref="M63:M65" si="25">SUM(D63,G63,J63)</f>
        <v>0</v>
      </c>
    </row>
    <row r="64" spans="1:13" ht="22.5" x14ac:dyDescent="0.2">
      <c r="A64" s="228" t="s">
        <v>316</v>
      </c>
      <c r="B64" s="677">
        <v>380</v>
      </c>
      <c r="C64" s="677">
        <v>380</v>
      </c>
      <c r="D64" s="677">
        <v>875</v>
      </c>
      <c r="E64" s="677"/>
      <c r="F64" s="677"/>
      <c r="G64" s="677"/>
      <c r="H64" s="677"/>
      <c r="I64" s="677"/>
      <c r="J64" s="677"/>
      <c r="K64" s="677">
        <f t="shared" si="23"/>
        <v>380</v>
      </c>
      <c r="L64" s="677">
        <f t="shared" si="24"/>
        <v>380</v>
      </c>
      <c r="M64" s="677">
        <f t="shared" si="25"/>
        <v>875</v>
      </c>
    </row>
    <row r="65" spans="1:13" ht="33.75" x14ac:dyDescent="0.2">
      <c r="A65" s="110" t="s">
        <v>312</v>
      </c>
      <c r="B65" s="677">
        <v>1969</v>
      </c>
      <c r="C65" s="677">
        <v>1969</v>
      </c>
      <c r="D65" s="677"/>
      <c r="E65" s="677"/>
      <c r="F65" s="677"/>
      <c r="G65" s="677"/>
      <c r="H65" s="677"/>
      <c r="I65" s="677"/>
      <c r="J65" s="677"/>
      <c r="K65" s="677">
        <f t="shared" si="23"/>
        <v>1969</v>
      </c>
      <c r="L65" s="677">
        <f t="shared" si="24"/>
        <v>1969</v>
      </c>
      <c r="M65" s="677">
        <f t="shared" si="25"/>
        <v>0</v>
      </c>
    </row>
    <row r="66" spans="1:13" x14ac:dyDescent="0.2">
      <c r="A66" s="292" t="s">
        <v>87</v>
      </c>
      <c r="B66" s="682">
        <f>SUM(B62:B65)</f>
        <v>37349</v>
      </c>
      <c r="C66" s="682">
        <f t="shared" ref="C66" si="26">SUM(C62:C65)</f>
        <v>37349</v>
      </c>
      <c r="D66" s="682">
        <f t="shared" ref="D66:M66" si="27">SUM(D62:D65)</f>
        <v>24615</v>
      </c>
      <c r="E66" s="682">
        <f t="shared" si="27"/>
        <v>0</v>
      </c>
      <c r="F66" s="682">
        <f t="shared" si="27"/>
        <v>0</v>
      </c>
      <c r="G66" s="682">
        <f t="shared" si="27"/>
        <v>0</v>
      </c>
      <c r="H66" s="682">
        <f t="shared" si="27"/>
        <v>0</v>
      </c>
      <c r="I66" s="682">
        <f t="shared" si="27"/>
        <v>0</v>
      </c>
      <c r="J66" s="682">
        <f t="shared" si="27"/>
        <v>0</v>
      </c>
      <c r="K66" s="682">
        <f t="shared" si="27"/>
        <v>37349</v>
      </c>
      <c r="L66" s="682">
        <f t="shared" si="27"/>
        <v>37349</v>
      </c>
      <c r="M66" s="682">
        <f t="shared" si="27"/>
        <v>24615</v>
      </c>
    </row>
  </sheetData>
  <mergeCells count="44">
    <mergeCell ref="A58:M58"/>
    <mergeCell ref="B60:D60"/>
    <mergeCell ref="E60:G60"/>
    <mergeCell ref="H60:J60"/>
    <mergeCell ref="K60:M60"/>
    <mergeCell ref="A60:A61"/>
    <mergeCell ref="H31:J31"/>
    <mergeCell ref="K31:M31"/>
    <mergeCell ref="A29:M29"/>
    <mergeCell ref="A39:M39"/>
    <mergeCell ref="H22:J22"/>
    <mergeCell ref="K22:M22"/>
    <mergeCell ref="A22:A23"/>
    <mergeCell ref="B22:D22"/>
    <mergeCell ref="E22:G22"/>
    <mergeCell ref="A31:A32"/>
    <mergeCell ref="B31:D31"/>
    <mergeCell ref="E31:G31"/>
    <mergeCell ref="I38:M38"/>
    <mergeCell ref="A20:M20"/>
    <mergeCell ref="H13:J13"/>
    <mergeCell ref="K13:M13"/>
    <mergeCell ref="A10:M10"/>
    <mergeCell ref="A2:D2"/>
    <mergeCell ref="A11:M11"/>
    <mergeCell ref="A13:A14"/>
    <mergeCell ref="B4:D4"/>
    <mergeCell ref="A4:A5"/>
    <mergeCell ref="B13:D13"/>
    <mergeCell ref="E13:G13"/>
    <mergeCell ref="I40:M40"/>
    <mergeCell ref="A41:A42"/>
    <mergeCell ref="B41:D41"/>
    <mergeCell ref="E41:G41"/>
    <mergeCell ref="H41:J41"/>
    <mergeCell ref="K41:M41"/>
    <mergeCell ref="I48:M48"/>
    <mergeCell ref="A51:A52"/>
    <mergeCell ref="B51:D51"/>
    <mergeCell ref="E51:G51"/>
    <mergeCell ref="I57:M57"/>
    <mergeCell ref="H51:J51"/>
    <mergeCell ref="K51:M51"/>
    <mergeCell ref="A49:M49"/>
  </mergeCells>
  <printOptions horizontalCentered="1"/>
  <pageMargins left="0" right="0" top="0.55118110236220474" bottom="0" header="7.874015748031496E-2" footer="0"/>
  <pageSetup paperSize="9" scale="77" orientation="portrait" r:id="rId1"/>
  <headerFooter>
    <oddHeader>&amp;LVeresegyház Város Önkormányzata&amp;C&amp;"Arial CE,Félkövér"&amp;12ELŐIRÁNYZAT MÓDOSÍTÁS, TELJESÍTÉS 2015.06.30.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view="pageBreakPreview" zoomScaleSheetLayoutView="100" zoomScalePageLayoutView="115" workbookViewId="0">
      <selection activeCell="A65" sqref="A65:XFD65"/>
    </sheetView>
  </sheetViews>
  <sheetFormatPr defaultRowHeight="11.25" x14ac:dyDescent="0.2"/>
  <cols>
    <col min="1" max="1" width="42.85546875" style="99" customWidth="1"/>
    <col min="2" max="2" width="8.5703125" style="688" customWidth="1"/>
    <col min="3" max="3" width="8.85546875" style="688" customWidth="1"/>
    <col min="4" max="4" width="8" style="688" customWidth="1"/>
    <col min="5" max="5" width="7.42578125" style="688" customWidth="1"/>
    <col min="6" max="6" width="7.5703125" style="688" bestFit="1" customWidth="1"/>
    <col min="7" max="7" width="8" style="688" bestFit="1" customWidth="1"/>
    <col min="8" max="8" width="7.42578125" style="688" bestFit="1" customWidth="1"/>
    <col min="9" max="9" width="7.5703125" style="688" bestFit="1" customWidth="1"/>
    <col min="10" max="10" width="8" style="688" bestFit="1" customWidth="1"/>
    <col min="11" max="11" width="7.42578125" style="688" bestFit="1" customWidth="1"/>
    <col min="12" max="12" width="7.5703125" style="688" bestFit="1" customWidth="1"/>
    <col min="13" max="13" width="8" style="688" customWidth="1"/>
    <col min="14" max="16384" width="9.140625" style="99"/>
  </cols>
  <sheetData>
    <row r="1" spans="1:13" x14ac:dyDescent="0.2">
      <c r="M1" s="689" t="s">
        <v>382</v>
      </c>
    </row>
    <row r="2" spans="1:13" x14ac:dyDescent="0.2">
      <c r="A2" s="848" t="s">
        <v>210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</row>
    <row r="3" spans="1:13" x14ac:dyDescent="0.2">
      <c r="M3" s="690" t="s">
        <v>60</v>
      </c>
    </row>
    <row r="4" spans="1:13" ht="22.5" customHeight="1" x14ac:dyDescent="0.2">
      <c r="A4" s="849" t="s">
        <v>178</v>
      </c>
      <c r="B4" s="854" t="s">
        <v>173</v>
      </c>
      <c r="C4" s="854"/>
      <c r="D4" s="854"/>
      <c r="E4" s="855" t="s">
        <v>301</v>
      </c>
      <c r="F4" s="855"/>
      <c r="G4" s="855"/>
      <c r="H4" s="855" t="s">
        <v>172</v>
      </c>
      <c r="I4" s="855"/>
      <c r="J4" s="855"/>
      <c r="K4" s="859" t="s">
        <v>171</v>
      </c>
      <c r="L4" s="860"/>
      <c r="M4" s="861"/>
    </row>
    <row r="5" spans="1:13" s="687" customFormat="1" ht="64.5" customHeight="1" x14ac:dyDescent="0.2">
      <c r="A5" s="850"/>
      <c r="B5" s="691" t="s">
        <v>821</v>
      </c>
      <c r="C5" s="691" t="s">
        <v>823</v>
      </c>
      <c r="D5" s="692" t="s">
        <v>822</v>
      </c>
      <c r="E5" s="691" t="s">
        <v>821</v>
      </c>
      <c r="F5" s="691" t="s">
        <v>823</v>
      </c>
      <c r="G5" s="692" t="s">
        <v>822</v>
      </c>
      <c r="H5" s="691" t="s">
        <v>821</v>
      </c>
      <c r="I5" s="691" t="s">
        <v>823</v>
      </c>
      <c r="J5" s="692" t="s">
        <v>822</v>
      </c>
      <c r="K5" s="691" t="s">
        <v>821</v>
      </c>
      <c r="L5" s="691" t="s">
        <v>823</v>
      </c>
      <c r="M5" s="692" t="s">
        <v>822</v>
      </c>
    </row>
    <row r="6" spans="1:13" ht="33.75" x14ac:dyDescent="0.2">
      <c r="A6" s="238" t="s">
        <v>732</v>
      </c>
      <c r="B6" s="693">
        <v>12000</v>
      </c>
      <c r="C6" s="693">
        <v>12000</v>
      </c>
      <c r="D6" s="693">
        <v>4202</v>
      </c>
      <c r="E6" s="693"/>
      <c r="F6" s="693"/>
      <c r="G6" s="693"/>
      <c r="H6" s="693"/>
      <c r="I6" s="693"/>
      <c r="J6" s="693"/>
      <c r="K6" s="693">
        <f>SUM(B6,E6,H6)</f>
        <v>12000</v>
      </c>
      <c r="L6" s="693">
        <f t="shared" ref="L6:M6" si="0">SUM(C6,F6,I6)</f>
        <v>12000</v>
      </c>
      <c r="M6" s="693">
        <f t="shared" si="0"/>
        <v>4202</v>
      </c>
    </row>
    <row r="7" spans="1:13" ht="33.75" x14ac:dyDescent="0.2">
      <c r="A7" s="238" t="s">
        <v>322</v>
      </c>
      <c r="B7" s="693">
        <v>3000</v>
      </c>
      <c r="C7" s="693">
        <v>3000</v>
      </c>
      <c r="D7" s="693"/>
      <c r="E7" s="693"/>
      <c r="F7" s="693"/>
      <c r="G7" s="693"/>
      <c r="H7" s="693"/>
      <c r="I7" s="693"/>
      <c r="J7" s="693"/>
      <c r="K7" s="693">
        <f t="shared" ref="K7:K26" si="1">SUM(B7,E7,H7)</f>
        <v>3000</v>
      </c>
      <c r="L7" s="693">
        <f t="shared" ref="L7:L26" si="2">SUM(C7,F7,I7)</f>
        <v>3000</v>
      </c>
      <c r="M7" s="693">
        <f t="shared" ref="M7:M26" si="3">SUM(D7,G7,J7)</f>
        <v>0</v>
      </c>
    </row>
    <row r="8" spans="1:13" x14ac:dyDescent="0.2">
      <c r="A8" s="238" t="s">
        <v>319</v>
      </c>
      <c r="B8" s="693">
        <v>100</v>
      </c>
      <c r="C8" s="693">
        <v>100</v>
      </c>
      <c r="D8" s="693">
        <v>17</v>
      </c>
      <c r="E8" s="693"/>
      <c r="F8" s="693"/>
      <c r="G8" s="693"/>
      <c r="H8" s="693"/>
      <c r="I8" s="693"/>
      <c r="J8" s="693"/>
      <c r="K8" s="693">
        <f t="shared" si="1"/>
        <v>100</v>
      </c>
      <c r="L8" s="693">
        <f t="shared" si="2"/>
        <v>100</v>
      </c>
      <c r="M8" s="693">
        <f t="shared" si="3"/>
        <v>17</v>
      </c>
    </row>
    <row r="9" spans="1:13" x14ac:dyDescent="0.2">
      <c r="A9" s="238" t="s">
        <v>733</v>
      </c>
      <c r="B9" s="693">
        <v>8300</v>
      </c>
      <c r="C9" s="693">
        <v>9956</v>
      </c>
      <c r="D9" s="693">
        <v>4150</v>
      </c>
      <c r="E9" s="693"/>
      <c r="F9" s="693"/>
      <c r="G9" s="693"/>
      <c r="H9" s="693"/>
      <c r="I9" s="693"/>
      <c r="J9" s="693"/>
      <c r="K9" s="693">
        <f t="shared" si="1"/>
        <v>8300</v>
      </c>
      <c r="L9" s="693">
        <f t="shared" si="2"/>
        <v>9956</v>
      </c>
      <c r="M9" s="693">
        <f t="shared" si="3"/>
        <v>4150</v>
      </c>
    </row>
    <row r="10" spans="1:13" ht="22.5" x14ac:dyDescent="0.2">
      <c r="A10" s="238" t="s">
        <v>734</v>
      </c>
      <c r="B10" s="693">
        <v>1900</v>
      </c>
      <c r="C10" s="693">
        <v>1900</v>
      </c>
      <c r="D10" s="693"/>
      <c r="E10" s="693"/>
      <c r="F10" s="693"/>
      <c r="G10" s="693"/>
      <c r="H10" s="693"/>
      <c r="I10" s="693"/>
      <c r="J10" s="693"/>
      <c r="K10" s="693">
        <f t="shared" si="1"/>
        <v>1900</v>
      </c>
      <c r="L10" s="693">
        <f t="shared" si="2"/>
        <v>1900</v>
      </c>
      <c r="M10" s="693">
        <f t="shared" si="3"/>
        <v>0</v>
      </c>
    </row>
    <row r="11" spans="1:13" x14ac:dyDescent="0.2">
      <c r="A11" s="238" t="s">
        <v>320</v>
      </c>
      <c r="B11" s="693">
        <v>2000</v>
      </c>
      <c r="C11" s="693">
        <v>2000</v>
      </c>
      <c r="D11" s="693">
        <v>532</v>
      </c>
      <c r="E11" s="693"/>
      <c r="F11" s="693"/>
      <c r="G11" s="693"/>
      <c r="H11" s="693"/>
      <c r="I11" s="693"/>
      <c r="J11" s="693"/>
      <c r="K11" s="693">
        <f t="shared" si="1"/>
        <v>2000</v>
      </c>
      <c r="L11" s="693">
        <f t="shared" si="2"/>
        <v>2000</v>
      </c>
      <c r="M11" s="693">
        <f t="shared" si="3"/>
        <v>532</v>
      </c>
    </row>
    <row r="12" spans="1:13" x14ac:dyDescent="0.2">
      <c r="A12" s="238" t="s">
        <v>735</v>
      </c>
      <c r="B12" s="693">
        <v>1500</v>
      </c>
      <c r="C12" s="693">
        <v>1500</v>
      </c>
      <c r="D12" s="693"/>
      <c r="E12" s="693"/>
      <c r="F12" s="693"/>
      <c r="G12" s="693"/>
      <c r="H12" s="693"/>
      <c r="I12" s="693"/>
      <c r="J12" s="693"/>
      <c r="K12" s="693">
        <f t="shared" si="1"/>
        <v>1500</v>
      </c>
      <c r="L12" s="693">
        <f t="shared" si="2"/>
        <v>1500</v>
      </c>
      <c r="M12" s="693">
        <f t="shared" si="3"/>
        <v>0</v>
      </c>
    </row>
    <row r="13" spans="1:13" x14ac:dyDescent="0.2">
      <c r="A13" s="238" t="s">
        <v>736</v>
      </c>
      <c r="B13" s="693">
        <v>11800</v>
      </c>
      <c r="C13" s="693">
        <v>11800</v>
      </c>
      <c r="D13" s="693">
        <v>2078</v>
      </c>
      <c r="E13" s="693"/>
      <c r="F13" s="693"/>
      <c r="G13" s="693"/>
      <c r="H13" s="693"/>
      <c r="I13" s="693"/>
      <c r="J13" s="693"/>
      <c r="K13" s="693">
        <f t="shared" si="1"/>
        <v>11800</v>
      </c>
      <c r="L13" s="693">
        <f t="shared" si="2"/>
        <v>11800</v>
      </c>
      <c r="M13" s="693">
        <f t="shared" si="3"/>
        <v>2078</v>
      </c>
    </row>
    <row r="14" spans="1:13" x14ac:dyDescent="0.2">
      <c r="A14" s="238" t="s">
        <v>321</v>
      </c>
      <c r="B14" s="693">
        <v>400</v>
      </c>
      <c r="C14" s="693">
        <v>400</v>
      </c>
      <c r="D14" s="693">
        <v>82</v>
      </c>
      <c r="E14" s="693"/>
      <c r="F14" s="693"/>
      <c r="G14" s="693"/>
      <c r="H14" s="693"/>
      <c r="I14" s="693"/>
      <c r="J14" s="693"/>
      <c r="K14" s="693">
        <f t="shared" si="1"/>
        <v>400</v>
      </c>
      <c r="L14" s="693">
        <f t="shared" si="2"/>
        <v>400</v>
      </c>
      <c r="M14" s="693">
        <f t="shared" si="3"/>
        <v>82</v>
      </c>
    </row>
    <row r="15" spans="1:13" ht="22.5" x14ac:dyDescent="0.2">
      <c r="A15" s="238" t="s">
        <v>737</v>
      </c>
      <c r="B15" s="693">
        <v>4000</v>
      </c>
      <c r="C15" s="693">
        <v>4000</v>
      </c>
      <c r="D15" s="693">
        <v>110</v>
      </c>
      <c r="E15" s="693"/>
      <c r="F15" s="693"/>
      <c r="G15" s="693"/>
      <c r="H15" s="693"/>
      <c r="I15" s="693"/>
      <c r="J15" s="693"/>
      <c r="K15" s="693">
        <f t="shared" si="1"/>
        <v>4000</v>
      </c>
      <c r="L15" s="693">
        <f t="shared" si="2"/>
        <v>4000</v>
      </c>
      <c r="M15" s="693">
        <f t="shared" si="3"/>
        <v>110</v>
      </c>
    </row>
    <row r="16" spans="1:13" ht="22.5" x14ac:dyDescent="0.2">
      <c r="A16" s="238" t="s">
        <v>323</v>
      </c>
      <c r="B16" s="693">
        <v>3200</v>
      </c>
      <c r="C16" s="693">
        <v>3200</v>
      </c>
      <c r="D16" s="693"/>
      <c r="E16" s="693"/>
      <c r="F16" s="693"/>
      <c r="G16" s="693"/>
      <c r="H16" s="693"/>
      <c r="I16" s="693"/>
      <c r="J16" s="693"/>
      <c r="K16" s="693">
        <f t="shared" si="1"/>
        <v>3200</v>
      </c>
      <c r="L16" s="693">
        <f t="shared" si="2"/>
        <v>3200</v>
      </c>
      <c r="M16" s="693">
        <f t="shared" si="3"/>
        <v>0</v>
      </c>
    </row>
    <row r="17" spans="1:13" x14ac:dyDescent="0.2">
      <c r="A17" s="238" t="s">
        <v>360</v>
      </c>
      <c r="B17" s="693">
        <v>3500</v>
      </c>
      <c r="C17" s="693">
        <v>3500</v>
      </c>
      <c r="D17" s="693">
        <v>1599</v>
      </c>
      <c r="E17" s="693"/>
      <c r="F17" s="693"/>
      <c r="G17" s="693"/>
      <c r="H17" s="693"/>
      <c r="I17" s="693"/>
      <c r="J17" s="693"/>
      <c r="K17" s="693">
        <f t="shared" si="1"/>
        <v>3500</v>
      </c>
      <c r="L17" s="693">
        <f t="shared" si="2"/>
        <v>3500</v>
      </c>
      <c r="M17" s="693">
        <f t="shared" si="3"/>
        <v>1599</v>
      </c>
    </row>
    <row r="18" spans="1:13" x14ac:dyDescent="0.2">
      <c r="A18" s="238" t="s">
        <v>361</v>
      </c>
      <c r="B18" s="693">
        <v>1000</v>
      </c>
      <c r="C18" s="693">
        <v>1000</v>
      </c>
      <c r="D18" s="693">
        <v>996</v>
      </c>
      <c r="E18" s="693"/>
      <c r="F18" s="693"/>
      <c r="G18" s="693"/>
      <c r="H18" s="693"/>
      <c r="I18" s="693"/>
      <c r="J18" s="693"/>
      <c r="K18" s="693">
        <f t="shared" si="1"/>
        <v>1000</v>
      </c>
      <c r="L18" s="693">
        <f t="shared" si="2"/>
        <v>1000</v>
      </c>
      <c r="M18" s="693">
        <f t="shared" si="3"/>
        <v>996</v>
      </c>
    </row>
    <row r="19" spans="1:13" x14ac:dyDescent="0.2">
      <c r="A19" s="238" t="s">
        <v>362</v>
      </c>
      <c r="B19" s="693"/>
      <c r="C19" s="693"/>
      <c r="D19" s="693"/>
      <c r="E19" s="693"/>
      <c r="F19" s="693"/>
      <c r="G19" s="693"/>
      <c r="H19" s="693"/>
      <c r="I19" s="693"/>
      <c r="J19" s="693"/>
      <c r="K19" s="693">
        <f t="shared" si="1"/>
        <v>0</v>
      </c>
      <c r="L19" s="693">
        <f t="shared" si="2"/>
        <v>0</v>
      </c>
      <c r="M19" s="693">
        <f t="shared" si="3"/>
        <v>0</v>
      </c>
    </row>
    <row r="20" spans="1:13" x14ac:dyDescent="0.2">
      <c r="A20" s="238" t="s">
        <v>738</v>
      </c>
      <c r="B20" s="693">
        <v>600</v>
      </c>
      <c r="C20" s="693">
        <v>600</v>
      </c>
      <c r="D20" s="693">
        <v>211</v>
      </c>
      <c r="E20" s="693">
        <v>14350</v>
      </c>
      <c r="F20" s="693">
        <v>14350</v>
      </c>
      <c r="G20" s="693">
        <v>7225</v>
      </c>
      <c r="H20" s="693"/>
      <c r="I20" s="693"/>
      <c r="J20" s="693"/>
      <c r="K20" s="693">
        <f t="shared" si="1"/>
        <v>14950</v>
      </c>
      <c r="L20" s="693">
        <f t="shared" si="2"/>
        <v>14950</v>
      </c>
      <c r="M20" s="693">
        <f t="shared" si="3"/>
        <v>7436</v>
      </c>
    </row>
    <row r="21" spans="1:13" x14ac:dyDescent="0.2">
      <c r="A21" s="238" t="s">
        <v>739</v>
      </c>
      <c r="B21" s="693">
        <v>600</v>
      </c>
      <c r="C21" s="693">
        <v>600</v>
      </c>
      <c r="D21" s="693">
        <v>350</v>
      </c>
      <c r="E21" s="693">
        <v>20900</v>
      </c>
      <c r="F21" s="693">
        <v>20900</v>
      </c>
      <c r="G21" s="693">
        <v>10553</v>
      </c>
      <c r="H21" s="693"/>
      <c r="I21" s="693"/>
      <c r="J21" s="693"/>
      <c r="K21" s="693">
        <f t="shared" si="1"/>
        <v>21500</v>
      </c>
      <c r="L21" s="693">
        <f t="shared" si="2"/>
        <v>21500</v>
      </c>
      <c r="M21" s="693">
        <f t="shared" si="3"/>
        <v>10903</v>
      </c>
    </row>
    <row r="22" spans="1:13" ht="22.5" x14ac:dyDescent="0.2">
      <c r="A22" s="238" t="s">
        <v>740</v>
      </c>
      <c r="B22" s="693"/>
      <c r="C22" s="693"/>
      <c r="D22" s="693"/>
      <c r="E22" s="693">
        <v>1250</v>
      </c>
      <c r="F22" s="693">
        <v>1250</v>
      </c>
      <c r="G22" s="693">
        <v>706</v>
      </c>
      <c r="H22" s="693"/>
      <c r="I22" s="693"/>
      <c r="J22" s="693"/>
      <c r="K22" s="693">
        <f t="shared" si="1"/>
        <v>1250</v>
      </c>
      <c r="L22" s="693">
        <f t="shared" si="2"/>
        <v>1250</v>
      </c>
      <c r="M22" s="693">
        <f t="shared" si="3"/>
        <v>706</v>
      </c>
    </row>
    <row r="23" spans="1:13" ht="22.5" x14ac:dyDescent="0.2">
      <c r="A23" s="238" t="s">
        <v>363</v>
      </c>
      <c r="B23" s="693"/>
      <c r="C23" s="693"/>
      <c r="D23" s="693"/>
      <c r="E23" s="693">
        <v>5500</v>
      </c>
      <c r="F23" s="693">
        <v>5500</v>
      </c>
      <c r="G23" s="693">
        <v>4989</v>
      </c>
      <c r="H23" s="693"/>
      <c r="I23" s="693"/>
      <c r="J23" s="693"/>
      <c r="K23" s="693">
        <f t="shared" si="1"/>
        <v>5500</v>
      </c>
      <c r="L23" s="693">
        <f t="shared" si="2"/>
        <v>5500</v>
      </c>
      <c r="M23" s="693">
        <f t="shared" si="3"/>
        <v>4989</v>
      </c>
    </row>
    <row r="24" spans="1:13" x14ac:dyDescent="0.2">
      <c r="A24" s="238" t="s">
        <v>364</v>
      </c>
      <c r="B24" s="693"/>
      <c r="C24" s="693"/>
      <c r="D24" s="693"/>
      <c r="E24" s="693">
        <v>1700</v>
      </c>
      <c r="F24" s="693">
        <v>1800</v>
      </c>
      <c r="G24" s="693">
        <v>1743</v>
      </c>
      <c r="H24" s="693"/>
      <c r="I24" s="693"/>
      <c r="J24" s="693"/>
      <c r="K24" s="693">
        <f t="shared" si="1"/>
        <v>1700</v>
      </c>
      <c r="L24" s="693">
        <f t="shared" si="2"/>
        <v>1800</v>
      </c>
      <c r="M24" s="693">
        <f t="shared" si="3"/>
        <v>1743</v>
      </c>
    </row>
    <row r="25" spans="1:13" x14ac:dyDescent="0.2">
      <c r="A25" s="238" t="s">
        <v>365</v>
      </c>
      <c r="B25" s="693">
        <v>7400</v>
      </c>
      <c r="C25" s="693">
        <v>7400</v>
      </c>
      <c r="D25" s="693">
        <v>755</v>
      </c>
      <c r="E25" s="693">
        <v>1860</v>
      </c>
      <c r="F25" s="693">
        <v>3800</v>
      </c>
      <c r="G25" s="693">
        <v>3010</v>
      </c>
      <c r="H25" s="693"/>
      <c r="I25" s="693"/>
      <c r="J25" s="693"/>
      <c r="K25" s="693">
        <f t="shared" si="1"/>
        <v>9260</v>
      </c>
      <c r="L25" s="693">
        <f t="shared" si="2"/>
        <v>11200</v>
      </c>
      <c r="M25" s="693">
        <f t="shared" si="3"/>
        <v>3765</v>
      </c>
    </row>
    <row r="26" spans="1:13" x14ac:dyDescent="0.2">
      <c r="A26" s="238" t="s">
        <v>366</v>
      </c>
      <c r="B26" s="693"/>
      <c r="C26" s="693"/>
      <c r="D26" s="693"/>
      <c r="E26" s="693">
        <v>40</v>
      </c>
      <c r="F26" s="693"/>
      <c r="G26" s="693"/>
      <c r="H26" s="693"/>
      <c r="I26" s="693"/>
      <c r="J26" s="693"/>
      <c r="K26" s="693">
        <f t="shared" si="1"/>
        <v>40</v>
      </c>
      <c r="L26" s="693">
        <f t="shared" si="2"/>
        <v>0</v>
      </c>
      <c r="M26" s="693">
        <f t="shared" si="3"/>
        <v>0</v>
      </c>
    </row>
    <row r="27" spans="1:13" x14ac:dyDescent="0.2">
      <c r="A27" s="107" t="s">
        <v>64</v>
      </c>
      <c r="B27" s="694">
        <f>SUM(B6:B26)</f>
        <v>61300</v>
      </c>
      <c r="C27" s="694">
        <f>SUM(C6:C26)</f>
        <v>62956</v>
      </c>
      <c r="D27" s="694">
        <f>SUM(D6:D26)</f>
        <v>15082</v>
      </c>
      <c r="E27" s="694">
        <f t="shared" ref="E27:M27" si="4">SUM(E6:E26)</f>
        <v>45600</v>
      </c>
      <c r="F27" s="694">
        <f t="shared" si="4"/>
        <v>47600</v>
      </c>
      <c r="G27" s="694">
        <f t="shared" si="4"/>
        <v>28226</v>
      </c>
      <c r="H27" s="694">
        <f t="shared" si="4"/>
        <v>0</v>
      </c>
      <c r="I27" s="694">
        <f t="shared" si="4"/>
        <v>0</v>
      </c>
      <c r="J27" s="694">
        <f t="shared" si="4"/>
        <v>0</v>
      </c>
      <c r="K27" s="694">
        <f t="shared" si="4"/>
        <v>106900</v>
      </c>
      <c r="L27" s="694">
        <f t="shared" si="4"/>
        <v>110556</v>
      </c>
      <c r="M27" s="694">
        <f t="shared" si="4"/>
        <v>43308</v>
      </c>
    </row>
    <row r="28" spans="1:13" x14ac:dyDescent="0.2">
      <c r="A28" s="231"/>
      <c r="B28" s="695"/>
      <c r="C28" s="695"/>
      <c r="D28" s="695"/>
      <c r="E28" s="695"/>
    </row>
    <row r="29" spans="1:13" x14ac:dyDescent="0.2">
      <c r="I29" s="852" t="s">
        <v>383</v>
      </c>
      <c r="J29" s="852"/>
      <c r="K29" s="852"/>
      <c r="L29" s="852"/>
      <c r="M29" s="852"/>
    </row>
    <row r="30" spans="1:13" x14ac:dyDescent="0.2">
      <c r="A30" s="848" t="s">
        <v>1340</v>
      </c>
      <c r="B30" s="848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</row>
    <row r="31" spans="1:13" x14ac:dyDescent="0.2">
      <c r="C31" s="690"/>
      <c r="D31" s="690"/>
      <c r="M31" s="690" t="s">
        <v>60</v>
      </c>
    </row>
    <row r="32" spans="1:13" ht="11.25" customHeight="1" x14ac:dyDescent="0.2">
      <c r="A32" s="849" t="s">
        <v>178</v>
      </c>
      <c r="B32" s="854" t="s">
        <v>173</v>
      </c>
      <c r="C32" s="854"/>
      <c r="D32" s="854"/>
      <c r="E32" s="855" t="s">
        <v>301</v>
      </c>
      <c r="F32" s="855"/>
      <c r="G32" s="855"/>
      <c r="H32" s="855" t="s">
        <v>172</v>
      </c>
      <c r="I32" s="855"/>
      <c r="J32" s="855"/>
      <c r="K32" s="859" t="s">
        <v>171</v>
      </c>
      <c r="L32" s="860"/>
      <c r="M32" s="861"/>
    </row>
    <row r="33" spans="1:13" s="687" customFormat="1" ht="29.25" x14ac:dyDescent="0.2">
      <c r="A33" s="850"/>
      <c r="B33" s="691" t="s">
        <v>821</v>
      </c>
      <c r="C33" s="691" t="s">
        <v>823</v>
      </c>
      <c r="D33" s="692" t="s">
        <v>822</v>
      </c>
      <c r="E33" s="691" t="s">
        <v>821</v>
      </c>
      <c r="F33" s="691" t="s">
        <v>823</v>
      </c>
      <c r="G33" s="692" t="s">
        <v>822</v>
      </c>
      <c r="H33" s="691" t="s">
        <v>821</v>
      </c>
      <c r="I33" s="691" t="s">
        <v>823</v>
      </c>
      <c r="J33" s="692" t="s">
        <v>822</v>
      </c>
      <c r="K33" s="691" t="s">
        <v>821</v>
      </c>
      <c r="L33" s="691" t="s">
        <v>823</v>
      </c>
      <c r="M33" s="692" t="s">
        <v>822</v>
      </c>
    </row>
    <row r="34" spans="1:13" x14ac:dyDescent="0.2">
      <c r="A34" s="230" t="s">
        <v>834</v>
      </c>
      <c r="B34" s="693"/>
      <c r="C34" s="693"/>
      <c r="D34" s="693"/>
      <c r="E34" s="693"/>
      <c r="F34" s="693"/>
      <c r="G34" s="693"/>
      <c r="H34" s="693"/>
      <c r="I34" s="693">
        <v>20935</v>
      </c>
      <c r="J34" s="693"/>
      <c r="K34" s="693">
        <f>SUM(B34,E34,H34)</f>
        <v>0</v>
      </c>
      <c r="L34" s="693">
        <f t="shared" ref="L34" si="5">SUM(C34,F34,I34)</f>
        <v>20935</v>
      </c>
      <c r="M34" s="693">
        <f t="shared" ref="M34" si="6">SUM(D34,G34,J34)</f>
        <v>0</v>
      </c>
    </row>
    <row r="35" spans="1:13" x14ac:dyDescent="0.2">
      <c r="A35" s="230" t="s">
        <v>1341</v>
      </c>
      <c r="B35" s="693"/>
      <c r="C35" s="693"/>
      <c r="D35" s="693"/>
      <c r="E35" s="693"/>
      <c r="F35" s="693"/>
      <c r="G35" s="693"/>
      <c r="H35" s="693"/>
      <c r="I35" s="693">
        <v>205</v>
      </c>
      <c r="J35" s="693">
        <v>205</v>
      </c>
      <c r="K35" s="693">
        <f t="shared" ref="K35:K38" si="7">SUM(B35,E35,H35)</f>
        <v>0</v>
      </c>
      <c r="L35" s="693">
        <f t="shared" ref="L35:L38" si="8">SUM(C35,F35,I35)</f>
        <v>205</v>
      </c>
      <c r="M35" s="693">
        <f t="shared" ref="M35:M38" si="9">SUM(D35,G35,J35)</f>
        <v>205</v>
      </c>
    </row>
    <row r="36" spans="1:13" x14ac:dyDescent="0.2">
      <c r="A36" s="230" t="s">
        <v>336</v>
      </c>
      <c r="B36" s="693"/>
      <c r="C36" s="693"/>
      <c r="D36" s="693"/>
      <c r="E36" s="693"/>
      <c r="F36" s="693"/>
      <c r="G36" s="693"/>
      <c r="H36" s="693"/>
      <c r="I36" s="693">
        <v>199</v>
      </c>
      <c r="J36" s="693">
        <v>199</v>
      </c>
      <c r="K36" s="693">
        <f t="shared" si="7"/>
        <v>0</v>
      </c>
      <c r="L36" s="693">
        <f t="shared" si="8"/>
        <v>199</v>
      </c>
      <c r="M36" s="693">
        <f t="shared" si="9"/>
        <v>199</v>
      </c>
    </row>
    <row r="37" spans="1:13" x14ac:dyDescent="0.2">
      <c r="A37" s="230" t="s">
        <v>394</v>
      </c>
      <c r="B37" s="693"/>
      <c r="C37" s="693"/>
      <c r="D37" s="693"/>
      <c r="E37" s="693"/>
      <c r="F37" s="693"/>
      <c r="G37" s="693"/>
      <c r="H37" s="693"/>
      <c r="I37" s="693">
        <v>83</v>
      </c>
      <c r="J37" s="693">
        <v>83</v>
      </c>
      <c r="K37" s="693">
        <f t="shared" si="7"/>
        <v>0</v>
      </c>
      <c r="L37" s="693">
        <f t="shared" si="8"/>
        <v>83</v>
      </c>
      <c r="M37" s="693">
        <f t="shared" si="9"/>
        <v>83</v>
      </c>
    </row>
    <row r="38" spans="1:13" x14ac:dyDescent="0.2">
      <c r="A38" s="230" t="s">
        <v>390</v>
      </c>
      <c r="B38" s="693"/>
      <c r="C38" s="693"/>
      <c r="D38" s="693"/>
      <c r="E38" s="693"/>
      <c r="F38" s="693"/>
      <c r="G38" s="693"/>
      <c r="H38" s="693"/>
      <c r="I38" s="693">
        <v>453</v>
      </c>
      <c r="J38" s="693">
        <v>453</v>
      </c>
      <c r="K38" s="693">
        <f t="shared" si="7"/>
        <v>0</v>
      </c>
      <c r="L38" s="693">
        <f t="shared" si="8"/>
        <v>453</v>
      </c>
      <c r="M38" s="693">
        <f t="shared" si="9"/>
        <v>453</v>
      </c>
    </row>
    <row r="39" spans="1:13" x14ac:dyDescent="0.2">
      <c r="A39" s="107" t="s">
        <v>87</v>
      </c>
      <c r="B39" s="694">
        <f>SUM(B34:B38)</f>
        <v>0</v>
      </c>
      <c r="C39" s="694">
        <f t="shared" ref="C39:M39" si="10">SUM(C34:C38)</f>
        <v>0</v>
      </c>
      <c r="D39" s="694">
        <f t="shared" si="10"/>
        <v>0</v>
      </c>
      <c r="E39" s="694">
        <f t="shared" si="10"/>
        <v>0</v>
      </c>
      <c r="F39" s="694">
        <f t="shared" si="10"/>
        <v>0</v>
      </c>
      <c r="G39" s="694">
        <f t="shared" si="10"/>
        <v>0</v>
      </c>
      <c r="H39" s="694">
        <f t="shared" si="10"/>
        <v>0</v>
      </c>
      <c r="I39" s="694">
        <f t="shared" si="10"/>
        <v>21875</v>
      </c>
      <c r="J39" s="694">
        <f t="shared" si="10"/>
        <v>940</v>
      </c>
      <c r="K39" s="694">
        <f t="shared" si="10"/>
        <v>0</v>
      </c>
      <c r="L39" s="694">
        <f t="shared" si="10"/>
        <v>21875</v>
      </c>
      <c r="M39" s="694">
        <f t="shared" si="10"/>
        <v>940</v>
      </c>
    </row>
    <row r="40" spans="1:13" x14ac:dyDescent="0.2">
      <c r="A40" s="231"/>
      <c r="B40" s="695"/>
      <c r="C40" s="695"/>
      <c r="D40" s="695"/>
      <c r="E40" s="695"/>
    </row>
    <row r="41" spans="1:13" x14ac:dyDescent="0.2">
      <c r="A41" s="231"/>
      <c r="B41" s="695"/>
      <c r="C41" s="695"/>
      <c r="D41" s="695"/>
      <c r="E41" s="695"/>
    </row>
    <row r="42" spans="1:13" x14ac:dyDescent="0.2">
      <c r="A42" s="231"/>
      <c r="B42" s="696"/>
      <c r="C42" s="696"/>
      <c r="D42" s="696"/>
      <c r="E42" s="696"/>
    </row>
    <row r="43" spans="1:13" x14ac:dyDescent="0.2">
      <c r="I43" s="852" t="s">
        <v>384</v>
      </c>
      <c r="J43" s="852"/>
      <c r="K43" s="852"/>
      <c r="L43" s="852"/>
      <c r="M43" s="852"/>
    </row>
    <row r="44" spans="1:13" x14ac:dyDescent="0.2">
      <c r="A44" s="848" t="s">
        <v>209</v>
      </c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</row>
    <row r="45" spans="1:13" x14ac:dyDescent="0.2">
      <c r="C45" s="690"/>
      <c r="D45" s="690"/>
      <c r="M45" s="690" t="s">
        <v>60</v>
      </c>
    </row>
    <row r="46" spans="1:13" ht="11.25" customHeight="1" x14ac:dyDescent="0.2">
      <c r="A46" s="849" t="s">
        <v>178</v>
      </c>
      <c r="B46" s="854" t="s">
        <v>173</v>
      </c>
      <c r="C46" s="854"/>
      <c r="D46" s="854"/>
      <c r="E46" s="855" t="s">
        <v>301</v>
      </c>
      <c r="F46" s="855"/>
      <c r="G46" s="855"/>
      <c r="H46" s="855" t="s">
        <v>172</v>
      </c>
      <c r="I46" s="855"/>
      <c r="J46" s="855"/>
      <c r="K46" s="859" t="s">
        <v>171</v>
      </c>
      <c r="L46" s="860"/>
      <c r="M46" s="861"/>
    </row>
    <row r="47" spans="1:13" s="687" customFormat="1" ht="29.25" x14ac:dyDescent="0.2">
      <c r="A47" s="850"/>
      <c r="B47" s="691" t="s">
        <v>821</v>
      </c>
      <c r="C47" s="691" t="s">
        <v>823</v>
      </c>
      <c r="D47" s="692" t="s">
        <v>822</v>
      </c>
      <c r="E47" s="691" t="s">
        <v>821</v>
      </c>
      <c r="F47" s="691" t="s">
        <v>823</v>
      </c>
      <c r="G47" s="692" t="s">
        <v>822</v>
      </c>
      <c r="H47" s="691" t="s">
        <v>821</v>
      </c>
      <c r="I47" s="691" t="s">
        <v>823</v>
      </c>
      <c r="J47" s="692" t="s">
        <v>822</v>
      </c>
      <c r="K47" s="691" t="s">
        <v>821</v>
      </c>
      <c r="L47" s="691" t="s">
        <v>823</v>
      </c>
      <c r="M47" s="692" t="s">
        <v>822</v>
      </c>
    </row>
    <row r="48" spans="1:13" x14ac:dyDescent="0.2">
      <c r="A48" s="230"/>
      <c r="B48" s="693"/>
      <c r="C48" s="693"/>
      <c r="D48" s="693"/>
      <c r="E48" s="693"/>
      <c r="F48" s="693"/>
      <c r="G48" s="693"/>
      <c r="H48" s="693"/>
      <c r="I48" s="693"/>
      <c r="J48" s="693"/>
      <c r="K48" s="693">
        <f>SUM(B48,E48,H48)</f>
        <v>0</v>
      </c>
      <c r="L48" s="693">
        <f t="shared" ref="L48:L50" si="11">SUM(C48,F48,I48)</f>
        <v>0</v>
      </c>
      <c r="M48" s="693">
        <f t="shared" ref="M48:M50" si="12">SUM(D48,G48,J48)</f>
        <v>0</v>
      </c>
    </row>
    <row r="49" spans="1:13" x14ac:dyDescent="0.2">
      <c r="A49" s="230"/>
      <c r="B49" s="693"/>
      <c r="C49" s="693"/>
      <c r="D49" s="693"/>
      <c r="E49" s="693"/>
      <c r="F49" s="693"/>
      <c r="G49" s="693"/>
      <c r="H49" s="693"/>
      <c r="I49" s="693"/>
      <c r="J49" s="693"/>
      <c r="K49" s="693">
        <f t="shared" ref="K49:K50" si="13">SUM(B49,E49,H49)</f>
        <v>0</v>
      </c>
      <c r="L49" s="693">
        <f t="shared" si="11"/>
        <v>0</v>
      </c>
      <c r="M49" s="693">
        <f t="shared" si="12"/>
        <v>0</v>
      </c>
    </row>
    <row r="50" spans="1:13" x14ac:dyDescent="0.2">
      <c r="A50" s="230"/>
      <c r="B50" s="693"/>
      <c r="C50" s="693"/>
      <c r="D50" s="693"/>
      <c r="E50" s="693"/>
      <c r="F50" s="693"/>
      <c r="G50" s="693"/>
      <c r="H50" s="693"/>
      <c r="I50" s="693"/>
      <c r="J50" s="693"/>
      <c r="K50" s="693">
        <f t="shared" si="13"/>
        <v>0</v>
      </c>
      <c r="L50" s="693">
        <f t="shared" si="11"/>
        <v>0</v>
      </c>
      <c r="M50" s="693">
        <f t="shared" si="12"/>
        <v>0</v>
      </c>
    </row>
    <row r="51" spans="1:13" x14ac:dyDescent="0.2">
      <c r="A51" s="107" t="s">
        <v>87</v>
      </c>
      <c r="B51" s="694">
        <f>SUM(B48:B50)</f>
        <v>0</v>
      </c>
      <c r="C51" s="694">
        <f t="shared" ref="C51" si="14">SUM(C48:C50)</f>
        <v>0</v>
      </c>
      <c r="D51" s="694">
        <f t="shared" ref="D51" si="15">SUM(D48:D50)</f>
        <v>0</v>
      </c>
      <c r="E51" s="694">
        <f t="shared" ref="E51" si="16">SUM(E48:E50)</f>
        <v>0</v>
      </c>
      <c r="F51" s="694">
        <f t="shared" ref="F51" si="17">SUM(F48:F50)</f>
        <v>0</v>
      </c>
      <c r="G51" s="694">
        <f t="shared" ref="G51" si="18">SUM(G48:G50)</f>
        <v>0</v>
      </c>
      <c r="H51" s="694">
        <f t="shared" ref="H51" si="19">SUM(H48:H50)</f>
        <v>0</v>
      </c>
      <c r="I51" s="694">
        <f t="shared" ref="I51" si="20">SUM(I48:I50)</f>
        <v>0</v>
      </c>
      <c r="J51" s="694">
        <f t="shared" ref="J51" si="21">SUM(J48:J50)</f>
        <v>0</v>
      </c>
      <c r="K51" s="694">
        <f>SUM(K48:K50)</f>
        <v>0</v>
      </c>
      <c r="L51" s="694">
        <f>SUM(L48:L50)</f>
        <v>0</v>
      </c>
      <c r="M51" s="694">
        <f>SUM(M48:M50)</f>
        <v>0</v>
      </c>
    </row>
    <row r="54" spans="1:13" x14ac:dyDescent="0.2">
      <c r="I54" s="852" t="s">
        <v>385</v>
      </c>
      <c r="J54" s="852"/>
      <c r="K54" s="852"/>
      <c r="L54" s="852"/>
      <c r="M54" s="852"/>
    </row>
    <row r="55" spans="1:13" x14ac:dyDescent="0.2">
      <c r="A55" s="848" t="s">
        <v>208</v>
      </c>
      <c r="B55" s="848"/>
      <c r="C55" s="848"/>
      <c r="D55" s="848"/>
      <c r="E55" s="848"/>
      <c r="F55" s="848"/>
      <c r="G55" s="848"/>
      <c r="H55" s="848"/>
      <c r="I55" s="848"/>
      <c r="J55" s="848"/>
      <c r="K55" s="848"/>
      <c r="L55" s="848"/>
      <c r="M55" s="848"/>
    </row>
    <row r="56" spans="1:13" x14ac:dyDescent="0.2">
      <c r="I56" s="853" t="s">
        <v>60</v>
      </c>
      <c r="J56" s="853"/>
      <c r="K56" s="853"/>
      <c r="L56" s="853"/>
      <c r="M56" s="853"/>
    </row>
    <row r="57" spans="1:13" x14ac:dyDescent="0.2">
      <c r="A57" s="849" t="s">
        <v>178</v>
      </c>
      <c r="B57" s="854" t="s">
        <v>173</v>
      </c>
      <c r="C57" s="854"/>
      <c r="D57" s="854"/>
      <c r="E57" s="855" t="s">
        <v>301</v>
      </c>
      <c r="F57" s="855"/>
      <c r="G57" s="855"/>
      <c r="H57" s="855" t="s">
        <v>172</v>
      </c>
      <c r="I57" s="855"/>
      <c r="J57" s="855"/>
      <c r="K57" s="859" t="s">
        <v>171</v>
      </c>
      <c r="L57" s="860"/>
      <c r="M57" s="861"/>
    </row>
    <row r="58" spans="1:13" s="687" customFormat="1" ht="29.25" x14ac:dyDescent="0.2">
      <c r="A58" s="850"/>
      <c r="B58" s="691" t="s">
        <v>821</v>
      </c>
      <c r="C58" s="691" t="s">
        <v>823</v>
      </c>
      <c r="D58" s="692" t="s">
        <v>822</v>
      </c>
      <c r="E58" s="691" t="s">
        <v>821</v>
      </c>
      <c r="F58" s="691" t="s">
        <v>823</v>
      </c>
      <c r="G58" s="692" t="s">
        <v>822</v>
      </c>
      <c r="H58" s="691" t="s">
        <v>821</v>
      </c>
      <c r="I58" s="691" t="s">
        <v>823</v>
      </c>
      <c r="J58" s="692" t="s">
        <v>822</v>
      </c>
      <c r="K58" s="691" t="s">
        <v>821</v>
      </c>
      <c r="L58" s="691" t="s">
        <v>823</v>
      </c>
      <c r="M58" s="692" t="s">
        <v>822</v>
      </c>
    </row>
    <row r="59" spans="1:13" x14ac:dyDescent="0.2">
      <c r="A59" s="230"/>
      <c r="B59" s="693"/>
      <c r="C59" s="693"/>
      <c r="D59" s="693"/>
      <c r="E59" s="693"/>
      <c r="F59" s="693"/>
      <c r="G59" s="693"/>
      <c r="H59" s="693"/>
      <c r="I59" s="693"/>
      <c r="J59" s="693"/>
      <c r="K59" s="693">
        <f>SUM(B59,E59,H59)</f>
        <v>0</v>
      </c>
      <c r="L59" s="693">
        <f t="shared" ref="L59:L61" si="22">SUM(C59,F59,I59)</f>
        <v>0</v>
      </c>
      <c r="M59" s="693">
        <f t="shared" ref="M59:M61" si="23">SUM(D59,G59,J59)</f>
        <v>0</v>
      </c>
    </row>
    <row r="60" spans="1:13" x14ac:dyDescent="0.2">
      <c r="A60" s="230"/>
      <c r="B60" s="693"/>
      <c r="C60" s="693"/>
      <c r="D60" s="693"/>
      <c r="E60" s="693"/>
      <c r="F60" s="693"/>
      <c r="G60" s="693"/>
      <c r="H60" s="693"/>
      <c r="I60" s="693"/>
      <c r="J60" s="693"/>
      <c r="K60" s="693">
        <f t="shared" ref="K60:K61" si="24">SUM(B60,E60,H60)</f>
        <v>0</v>
      </c>
      <c r="L60" s="693">
        <f t="shared" si="22"/>
        <v>0</v>
      </c>
      <c r="M60" s="693">
        <f t="shared" si="23"/>
        <v>0</v>
      </c>
    </row>
    <row r="61" spans="1:13" x14ac:dyDescent="0.2">
      <c r="A61" s="230"/>
      <c r="B61" s="693"/>
      <c r="C61" s="693"/>
      <c r="D61" s="693"/>
      <c r="E61" s="693"/>
      <c r="F61" s="693"/>
      <c r="G61" s="693"/>
      <c r="H61" s="693"/>
      <c r="I61" s="693"/>
      <c r="J61" s="693"/>
      <c r="K61" s="693">
        <f t="shared" si="24"/>
        <v>0</v>
      </c>
      <c r="L61" s="693">
        <f t="shared" si="22"/>
        <v>0</v>
      </c>
      <c r="M61" s="693">
        <f t="shared" si="23"/>
        <v>0</v>
      </c>
    </row>
    <row r="62" spans="1:13" x14ac:dyDescent="0.2">
      <c r="A62" s="107" t="s">
        <v>87</v>
      </c>
      <c r="B62" s="694">
        <f>SUM(B59:B61)</f>
        <v>0</v>
      </c>
      <c r="C62" s="694">
        <f t="shared" ref="C62:J62" si="25">SUM(C59:C61)</f>
        <v>0</v>
      </c>
      <c r="D62" s="694">
        <f t="shared" si="25"/>
        <v>0</v>
      </c>
      <c r="E62" s="694">
        <f t="shared" si="25"/>
        <v>0</v>
      </c>
      <c r="F62" s="694">
        <f t="shared" si="25"/>
        <v>0</v>
      </c>
      <c r="G62" s="694">
        <f t="shared" si="25"/>
        <v>0</v>
      </c>
      <c r="H62" s="694">
        <f t="shared" si="25"/>
        <v>0</v>
      </c>
      <c r="I62" s="694">
        <f t="shared" si="25"/>
        <v>0</v>
      </c>
      <c r="J62" s="694">
        <f t="shared" si="25"/>
        <v>0</v>
      </c>
      <c r="K62" s="694">
        <f>SUM(K59:K61)</f>
        <v>0</v>
      </c>
      <c r="L62" s="694">
        <f>SUM(L59:L61)</f>
        <v>0</v>
      </c>
      <c r="M62" s="694">
        <f>SUM(M59:M61)</f>
        <v>0</v>
      </c>
    </row>
    <row r="63" spans="1:13" x14ac:dyDescent="0.2">
      <c r="A63" s="231"/>
      <c r="B63" s="695"/>
      <c r="C63" s="696"/>
      <c r="D63" s="696"/>
      <c r="E63" s="696"/>
    </row>
    <row r="64" spans="1:13" x14ac:dyDescent="0.2">
      <c r="A64" s="231"/>
      <c r="B64" s="695"/>
      <c r="C64" s="696"/>
      <c r="D64" s="696"/>
      <c r="E64" s="696"/>
    </row>
    <row r="65" spans="1:13" x14ac:dyDescent="0.2">
      <c r="I65" s="852" t="s">
        <v>386</v>
      </c>
      <c r="J65" s="852"/>
      <c r="K65" s="852"/>
      <c r="L65" s="852"/>
      <c r="M65" s="852"/>
    </row>
    <row r="66" spans="1:13" x14ac:dyDescent="0.2">
      <c r="A66" s="848" t="s">
        <v>207</v>
      </c>
      <c r="B66" s="848"/>
      <c r="C66" s="848"/>
      <c r="D66" s="848"/>
      <c r="E66" s="848"/>
      <c r="F66" s="848"/>
      <c r="G66" s="848"/>
      <c r="H66" s="848"/>
      <c r="I66" s="848"/>
      <c r="J66" s="848"/>
      <c r="K66" s="848"/>
      <c r="L66" s="848"/>
      <c r="M66" s="848"/>
    </row>
    <row r="67" spans="1:13" x14ac:dyDescent="0.2">
      <c r="I67" s="853" t="s">
        <v>60</v>
      </c>
      <c r="J67" s="853"/>
      <c r="K67" s="853"/>
      <c r="L67" s="853"/>
      <c r="M67" s="853"/>
    </row>
    <row r="68" spans="1:13" x14ac:dyDescent="0.2">
      <c r="A68" s="849" t="s">
        <v>178</v>
      </c>
      <c r="B68" s="854" t="s">
        <v>173</v>
      </c>
      <c r="C68" s="854"/>
      <c r="D68" s="854"/>
      <c r="E68" s="855" t="s">
        <v>301</v>
      </c>
      <c r="F68" s="855"/>
      <c r="G68" s="855"/>
      <c r="H68" s="855" t="s">
        <v>172</v>
      </c>
      <c r="I68" s="855"/>
      <c r="J68" s="855"/>
      <c r="K68" s="859" t="s">
        <v>171</v>
      </c>
      <c r="L68" s="860"/>
      <c r="M68" s="861"/>
    </row>
    <row r="69" spans="1:13" s="687" customFormat="1" ht="29.25" x14ac:dyDescent="0.2">
      <c r="A69" s="850"/>
      <c r="B69" s="691" t="s">
        <v>821</v>
      </c>
      <c r="C69" s="691" t="s">
        <v>823</v>
      </c>
      <c r="D69" s="692" t="s">
        <v>822</v>
      </c>
      <c r="E69" s="691" t="s">
        <v>821</v>
      </c>
      <c r="F69" s="691" t="s">
        <v>823</v>
      </c>
      <c r="G69" s="692" t="s">
        <v>822</v>
      </c>
      <c r="H69" s="691" t="s">
        <v>821</v>
      </c>
      <c r="I69" s="691" t="s">
        <v>823</v>
      </c>
      <c r="J69" s="692" t="s">
        <v>822</v>
      </c>
      <c r="K69" s="691" t="s">
        <v>821</v>
      </c>
      <c r="L69" s="691" t="s">
        <v>823</v>
      </c>
      <c r="M69" s="692" t="s">
        <v>822</v>
      </c>
    </row>
    <row r="70" spans="1:13" ht="22.5" x14ac:dyDescent="0.2">
      <c r="A70" s="232" t="s">
        <v>367</v>
      </c>
      <c r="B70" s="693">
        <v>90693</v>
      </c>
      <c r="C70" s="693">
        <v>90693</v>
      </c>
      <c r="D70" s="693">
        <v>66349</v>
      </c>
      <c r="E70" s="693"/>
      <c r="F70" s="693"/>
      <c r="G70" s="693"/>
      <c r="H70" s="693"/>
      <c r="I70" s="693"/>
      <c r="J70" s="693"/>
      <c r="K70" s="693">
        <f>SUM(B70,E70,H70)</f>
        <v>90693</v>
      </c>
      <c r="L70" s="693">
        <f t="shared" ref="L70:M70" si="26">SUM(C70,F70,I70)</f>
        <v>90693</v>
      </c>
      <c r="M70" s="693">
        <f t="shared" si="26"/>
        <v>66349</v>
      </c>
    </row>
    <row r="71" spans="1:13" ht="22.5" x14ac:dyDescent="0.2">
      <c r="A71" s="232" t="s">
        <v>370</v>
      </c>
      <c r="B71" s="693">
        <v>70000</v>
      </c>
      <c r="C71" s="693">
        <v>70000</v>
      </c>
      <c r="D71" s="693">
        <v>3000</v>
      </c>
      <c r="E71" s="693"/>
      <c r="F71" s="693"/>
      <c r="G71" s="693"/>
      <c r="H71" s="693"/>
      <c r="I71" s="693"/>
      <c r="J71" s="693"/>
      <c r="K71" s="693">
        <f t="shared" ref="K71:K72" si="27">SUM(B71,E71,H71)</f>
        <v>70000</v>
      </c>
      <c r="L71" s="693">
        <f t="shared" ref="L71:L72" si="28">SUM(C71,F71,I71)</f>
        <v>70000</v>
      </c>
      <c r="M71" s="693">
        <f t="shared" ref="M71:M72" si="29">SUM(D71,G71,J71)</f>
        <v>3000</v>
      </c>
    </row>
    <row r="72" spans="1:13" x14ac:dyDescent="0.2">
      <c r="A72" s="230"/>
      <c r="B72" s="693"/>
      <c r="C72" s="693"/>
      <c r="D72" s="693"/>
      <c r="E72" s="693"/>
      <c r="F72" s="693"/>
      <c r="G72" s="693"/>
      <c r="H72" s="693"/>
      <c r="I72" s="693"/>
      <c r="J72" s="693"/>
      <c r="K72" s="693">
        <f t="shared" si="27"/>
        <v>0</v>
      </c>
      <c r="L72" s="693">
        <f t="shared" si="28"/>
        <v>0</v>
      </c>
      <c r="M72" s="693">
        <f t="shared" si="29"/>
        <v>0</v>
      </c>
    </row>
    <row r="73" spans="1:13" x14ac:dyDescent="0.2">
      <c r="A73" s="107" t="s">
        <v>87</v>
      </c>
      <c r="B73" s="694">
        <f t="shared" ref="B73:M73" si="30">SUM(B70:B72)</f>
        <v>160693</v>
      </c>
      <c r="C73" s="694">
        <f t="shared" si="30"/>
        <v>160693</v>
      </c>
      <c r="D73" s="694">
        <f t="shared" si="30"/>
        <v>69349</v>
      </c>
      <c r="E73" s="694">
        <f t="shared" si="30"/>
        <v>0</v>
      </c>
      <c r="F73" s="694">
        <f t="shared" si="30"/>
        <v>0</v>
      </c>
      <c r="G73" s="694">
        <f t="shared" si="30"/>
        <v>0</v>
      </c>
      <c r="H73" s="694">
        <f t="shared" si="30"/>
        <v>0</v>
      </c>
      <c r="I73" s="694">
        <f t="shared" si="30"/>
        <v>0</v>
      </c>
      <c r="J73" s="694">
        <f t="shared" si="30"/>
        <v>0</v>
      </c>
      <c r="K73" s="694">
        <f t="shared" si="30"/>
        <v>160693</v>
      </c>
      <c r="L73" s="694">
        <f t="shared" si="30"/>
        <v>160693</v>
      </c>
      <c r="M73" s="694">
        <f t="shared" si="30"/>
        <v>69349</v>
      </c>
    </row>
    <row r="75" spans="1:13" x14ac:dyDescent="0.2">
      <c r="I75" s="852" t="s">
        <v>387</v>
      </c>
      <c r="J75" s="852"/>
      <c r="K75" s="852"/>
      <c r="L75" s="852"/>
      <c r="M75" s="852"/>
    </row>
    <row r="76" spans="1:13" x14ac:dyDescent="0.2">
      <c r="A76" s="848" t="s">
        <v>206</v>
      </c>
      <c r="B76" s="848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</row>
    <row r="77" spans="1:13" x14ac:dyDescent="0.2">
      <c r="I77" s="853" t="s">
        <v>60</v>
      </c>
      <c r="J77" s="853"/>
      <c r="K77" s="853"/>
      <c r="L77" s="853"/>
      <c r="M77" s="853"/>
    </row>
    <row r="78" spans="1:13" ht="11.25" customHeight="1" x14ac:dyDescent="0.2">
      <c r="A78" s="849" t="s">
        <v>178</v>
      </c>
      <c r="B78" s="854" t="s">
        <v>173</v>
      </c>
      <c r="C78" s="854"/>
      <c r="D78" s="854"/>
      <c r="E78" s="855" t="s">
        <v>301</v>
      </c>
      <c r="F78" s="855"/>
      <c r="G78" s="855"/>
      <c r="H78" s="855" t="s">
        <v>172</v>
      </c>
      <c r="I78" s="855"/>
      <c r="J78" s="855"/>
      <c r="K78" s="859" t="s">
        <v>171</v>
      </c>
      <c r="L78" s="860"/>
      <c r="M78" s="861"/>
    </row>
    <row r="79" spans="1:13" s="687" customFormat="1" ht="29.25" x14ac:dyDescent="0.2">
      <c r="A79" s="850"/>
      <c r="B79" s="691" t="s">
        <v>821</v>
      </c>
      <c r="C79" s="691" t="s">
        <v>823</v>
      </c>
      <c r="D79" s="692" t="s">
        <v>822</v>
      </c>
      <c r="E79" s="691" t="s">
        <v>821</v>
      </c>
      <c r="F79" s="691" t="s">
        <v>823</v>
      </c>
      <c r="G79" s="692" t="s">
        <v>822</v>
      </c>
      <c r="H79" s="691" t="s">
        <v>821</v>
      </c>
      <c r="I79" s="691" t="s">
        <v>823</v>
      </c>
      <c r="J79" s="692" t="s">
        <v>822</v>
      </c>
      <c r="K79" s="691" t="s">
        <v>821</v>
      </c>
      <c r="L79" s="691" t="s">
        <v>823</v>
      </c>
      <c r="M79" s="692" t="s">
        <v>822</v>
      </c>
    </row>
    <row r="80" spans="1:13" x14ac:dyDescent="0.2">
      <c r="A80" s="230"/>
      <c r="B80" s="693"/>
      <c r="C80" s="693"/>
      <c r="D80" s="693"/>
      <c r="E80" s="693"/>
      <c r="F80" s="693"/>
      <c r="G80" s="693"/>
      <c r="H80" s="693"/>
      <c r="I80" s="693"/>
      <c r="J80" s="693"/>
      <c r="K80" s="693">
        <f>SUM(B80,E80,H80)</f>
        <v>0</v>
      </c>
      <c r="L80" s="693">
        <f t="shared" ref="L80:L82" si="31">SUM(C80,F80,I80)</f>
        <v>0</v>
      </c>
      <c r="M80" s="693">
        <f t="shared" ref="M80:M82" si="32">SUM(D80,G80,J80)</f>
        <v>0</v>
      </c>
    </row>
    <row r="81" spans="1:13" x14ac:dyDescent="0.2">
      <c r="A81" s="230"/>
      <c r="B81" s="693"/>
      <c r="C81" s="693"/>
      <c r="D81" s="693"/>
      <c r="E81" s="693"/>
      <c r="F81" s="693"/>
      <c r="G81" s="693"/>
      <c r="H81" s="693"/>
      <c r="I81" s="693"/>
      <c r="J81" s="693"/>
      <c r="K81" s="693">
        <f t="shared" ref="K81:K82" si="33">SUM(B81,E81,H81)</f>
        <v>0</v>
      </c>
      <c r="L81" s="693">
        <f t="shared" si="31"/>
        <v>0</v>
      </c>
      <c r="M81" s="693">
        <f t="shared" si="32"/>
        <v>0</v>
      </c>
    </row>
    <row r="82" spans="1:13" x14ac:dyDescent="0.2">
      <c r="A82" s="230"/>
      <c r="B82" s="693"/>
      <c r="C82" s="693"/>
      <c r="D82" s="693"/>
      <c r="E82" s="693"/>
      <c r="F82" s="693"/>
      <c r="G82" s="693"/>
      <c r="H82" s="693"/>
      <c r="I82" s="693"/>
      <c r="J82" s="693"/>
      <c r="K82" s="693">
        <f t="shared" si="33"/>
        <v>0</v>
      </c>
      <c r="L82" s="693">
        <f t="shared" si="31"/>
        <v>0</v>
      </c>
      <c r="M82" s="693">
        <f t="shared" si="32"/>
        <v>0</v>
      </c>
    </row>
    <row r="83" spans="1:13" x14ac:dyDescent="0.2">
      <c r="A83" s="107" t="s">
        <v>87</v>
      </c>
      <c r="B83" s="694">
        <f>SUM(B80:B82)</f>
        <v>0</v>
      </c>
      <c r="C83" s="694">
        <f t="shared" ref="C83" si="34">SUM(C80:C82)</f>
        <v>0</v>
      </c>
      <c r="D83" s="694">
        <f t="shared" ref="D83" si="35">SUM(D80:D82)</f>
        <v>0</v>
      </c>
      <c r="E83" s="694">
        <f t="shared" ref="E83" si="36">SUM(E80:E82)</f>
        <v>0</v>
      </c>
      <c r="F83" s="694">
        <f t="shared" ref="F83" si="37">SUM(F80:F82)</f>
        <v>0</v>
      </c>
      <c r="G83" s="694">
        <f t="shared" ref="G83" si="38">SUM(G80:G82)</f>
        <v>0</v>
      </c>
      <c r="H83" s="694">
        <f t="shared" ref="H83" si="39">SUM(H80:H82)</f>
        <v>0</v>
      </c>
      <c r="I83" s="694">
        <f t="shared" ref="I83" si="40">SUM(I80:I82)</f>
        <v>0</v>
      </c>
      <c r="J83" s="694">
        <f t="shared" ref="J83" si="41">SUM(J80:J82)</f>
        <v>0</v>
      </c>
      <c r="K83" s="694">
        <f>SUM(K80:K82)</f>
        <v>0</v>
      </c>
      <c r="L83" s="694">
        <f>SUM(L80:L82)</f>
        <v>0</v>
      </c>
      <c r="M83" s="694">
        <f>SUM(M80:M82)</f>
        <v>0</v>
      </c>
    </row>
    <row r="84" spans="1:13" x14ac:dyDescent="0.2">
      <c r="I84" s="852"/>
      <c r="J84" s="852"/>
      <c r="K84" s="852"/>
      <c r="L84" s="852"/>
      <c r="M84" s="852"/>
    </row>
    <row r="85" spans="1:13" x14ac:dyDescent="0.2">
      <c r="I85" s="852"/>
      <c r="J85" s="852"/>
      <c r="K85" s="852"/>
      <c r="L85" s="852"/>
      <c r="M85" s="852"/>
    </row>
    <row r="86" spans="1:13" x14ac:dyDescent="0.2">
      <c r="A86" s="236"/>
      <c r="B86" s="689"/>
      <c r="C86" s="689"/>
      <c r="D86" s="689"/>
      <c r="E86" s="689"/>
      <c r="I86" s="852" t="s">
        <v>388</v>
      </c>
      <c r="J86" s="852"/>
      <c r="K86" s="852"/>
      <c r="L86" s="852"/>
      <c r="M86" s="852"/>
    </row>
    <row r="87" spans="1:13" x14ac:dyDescent="0.2">
      <c r="A87" s="848" t="s">
        <v>859</v>
      </c>
      <c r="B87" s="848"/>
      <c r="C87" s="848"/>
      <c r="D87" s="848"/>
      <c r="E87" s="848"/>
      <c r="F87" s="848"/>
      <c r="G87" s="848"/>
      <c r="H87" s="848"/>
      <c r="I87" s="848"/>
      <c r="J87" s="848"/>
      <c r="K87" s="848"/>
      <c r="L87" s="848"/>
      <c r="M87" s="848"/>
    </row>
    <row r="88" spans="1:13" x14ac:dyDescent="0.2">
      <c r="I88" s="853" t="s">
        <v>60</v>
      </c>
      <c r="J88" s="853"/>
      <c r="K88" s="853"/>
      <c r="L88" s="853"/>
      <c r="M88" s="853"/>
    </row>
    <row r="89" spans="1:13" x14ac:dyDescent="0.2">
      <c r="A89" s="235"/>
      <c r="B89" s="690"/>
      <c r="C89" s="690"/>
      <c r="D89" s="690"/>
      <c r="E89" s="690"/>
    </row>
    <row r="90" spans="1:13" x14ac:dyDescent="0.2">
      <c r="A90" s="235"/>
      <c r="B90" s="690"/>
      <c r="C90" s="690"/>
      <c r="D90" s="690"/>
      <c r="E90" s="690"/>
    </row>
    <row r="91" spans="1:13" x14ac:dyDescent="0.2">
      <c r="A91" s="849" t="s">
        <v>178</v>
      </c>
      <c r="B91" s="854" t="s">
        <v>173</v>
      </c>
      <c r="C91" s="854"/>
      <c r="D91" s="854"/>
      <c r="E91" s="855" t="s">
        <v>301</v>
      </c>
      <c r="F91" s="855"/>
      <c r="G91" s="855"/>
      <c r="H91" s="855" t="s">
        <v>172</v>
      </c>
      <c r="I91" s="855"/>
      <c r="J91" s="855"/>
      <c r="K91" s="859" t="s">
        <v>171</v>
      </c>
      <c r="L91" s="860"/>
      <c r="M91" s="861"/>
    </row>
    <row r="92" spans="1:13" s="687" customFormat="1" ht="29.25" x14ac:dyDescent="0.2">
      <c r="A92" s="850"/>
      <c r="B92" s="691" t="s">
        <v>821</v>
      </c>
      <c r="C92" s="691" t="s">
        <v>823</v>
      </c>
      <c r="D92" s="692" t="s">
        <v>822</v>
      </c>
      <c r="E92" s="691" t="s">
        <v>821</v>
      </c>
      <c r="F92" s="691" t="s">
        <v>823</v>
      </c>
      <c r="G92" s="692" t="s">
        <v>822</v>
      </c>
      <c r="H92" s="691" t="s">
        <v>821</v>
      </c>
      <c r="I92" s="691" t="s">
        <v>823</v>
      </c>
      <c r="J92" s="692" t="s">
        <v>822</v>
      </c>
      <c r="K92" s="691" t="s">
        <v>821</v>
      </c>
      <c r="L92" s="691" t="s">
        <v>823</v>
      </c>
      <c r="M92" s="692" t="s">
        <v>822</v>
      </c>
    </row>
    <row r="93" spans="1:13" x14ac:dyDescent="0.2">
      <c r="A93" s="230" t="s">
        <v>324</v>
      </c>
      <c r="B93" s="693">
        <v>1500</v>
      </c>
      <c r="C93" s="693">
        <v>1500</v>
      </c>
      <c r="D93" s="693">
        <v>750</v>
      </c>
      <c r="E93" s="693"/>
      <c r="F93" s="693"/>
      <c r="G93" s="693"/>
      <c r="H93" s="693"/>
      <c r="I93" s="693"/>
      <c r="J93" s="693"/>
      <c r="K93" s="693">
        <f>SUM(B93,E93,H93)</f>
        <v>1500</v>
      </c>
      <c r="L93" s="693">
        <f t="shared" ref="L93" si="42">SUM(C93,F93,I93)</f>
        <v>1500</v>
      </c>
      <c r="M93" s="693">
        <f t="shared" ref="M93" si="43">SUM(D93,G93,J93)</f>
        <v>750</v>
      </c>
    </row>
    <row r="94" spans="1:13" x14ac:dyDescent="0.2">
      <c r="A94" s="230" t="s">
        <v>325</v>
      </c>
      <c r="B94" s="693">
        <v>2500</v>
      </c>
      <c r="C94" s="693">
        <v>2500</v>
      </c>
      <c r="D94" s="693">
        <v>1250</v>
      </c>
      <c r="E94" s="693"/>
      <c r="F94" s="693"/>
      <c r="G94" s="693"/>
      <c r="H94" s="693"/>
      <c r="I94" s="693"/>
      <c r="J94" s="693"/>
      <c r="K94" s="693">
        <f t="shared" ref="K94:K117" si="44">SUM(B94,E94,H94)</f>
        <v>2500</v>
      </c>
      <c r="L94" s="693">
        <f t="shared" ref="L94:L117" si="45">SUM(C94,F94,I94)</f>
        <v>2500</v>
      </c>
      <c r="M94" s="693">
        <f t="shared" ref="M94:M117" si="46">SUM(D94,G94,J94)</f>
        <v>1250</v>
      </c>
    </row>
    <row r="95" spans="1:13" x14ac:dyDescent="0.2">
      <c r="A95" s="230" t="s">
        <v>327</v>
      </c>
      <c r="B95" s="693">
        <v>45000</v>
      </c>
      <c r="C95" s="693">
        <v>45000</v>
      </c>
      <c r="D95" s="693">
        <v>32800</v>
      </c>
      <c r="E95" s="693"/>
      <c r="F95" s="693"/>
      <c r="G95" s="693"/>
      <c r="H95" s="693"/>
      <c r="I95" s="693"/>
      <c r="J95" s="693"/>
      <c r="K95" s="693">
        <f t="shared" si="44"/>
        <v>45000</v>
      </c>
      <c r="L95" s="693">
        <f t="shared" si="45"/>
        <v>45000</v>
      </c>
      <c r="M95" s="693">
        <f t="shared" si="46"/>
        <v>32800</v>
      </c>
    </row>
    <row r="96" spans="1:13" x14ac:dyDescent="0.2">
      <c r="A96" s="230" t="s">
        <v>328</v>
      </c>
      <c r="B96" s="693">
        <v>5000</v>
      </c>
      <c r="C96" s="693">
        <v>5000</v>
      </c>
      <c r="D96" s="693">
        <v>3405</v>
      </c>
      <c r="E96" s="693"/>
      <c r="F96" s="693"/>
      <c r="G96" s="693"/>
      <c r="H96" s="693"/>
      <c r="I96" s="693"/>
      <c r="J96" s="693"/>
      <c r="K96" s="693">
        <f t="shared" si="44"/>
        <v>5000</v>
      </c>
      <c r="L96" s="693">
        <f t="shared" si="45"/>
        <v>5000</v>
      </c>
      <c r="M96" s="693">
        <f t="shared" si="46"/>
        <v>3405</v>
      </c>
    </row>
    <row r="97" spans="1:13" x14ac:dyDescent="0.2">
      <c r="A97" s="230" t="s">
        <v>741</v>
      </c>
      <c r="B97" s="693">
        <v>2000</v>
      </c>
      <c r="C97" s="693">
        <v>2000</v>
      </c>
      <c r="D97" s="693">
        <v>0</v>
      </c>
      <c r="E97" s="693"/>
      <c r="F97" s="693"/>
      <c r="G97" s="693"/>
      <c r="H97" s="693"/>
      <c r="I97" s="693"/>
      <c r="J97" s="693"/>
      <c r="K97" s="693">
        <f t="shared" si="44"/>
        <v>2000</v>
      </c>
      <c r="L97" s="693">
        <f t="shared" si="45"/>
        <v>2000</v>
      </c>
      <c r="M97" s="693">
        <f t="shared" si="46"/>
        <v>0</v>
      </c>
    </row>
    <row r="98" spans="1:13" x14ac:dyDescent="0.2">
      <c r="A98" s="230" t="s">
        <v>329</v>
      </c>
      <c r="B98" s="693">
        <v>11300</v>
      </c>
      <c r="C98" s="693">
        <v>11300</v>
      </c>
      <c r="D98" s="693">
        <v>9520</v>
      </c>
      <c r="E98" s="693"/>
      <c r="F98" s="693"/>
      <c r="G98" s="693"/>
      <c r="H98" s="693"/>
      <c r="I98" s="693"/>
      <c r="J98" s="693"/>
      <c r="K98" s="693">
        <f t="shared" si="44"/>
        <v>11300</v>
      </c>
      <c r="L98" s="693">
        <f t="shared" si="45"/>
        <v>11300</v>
      </c>
      <c r="M98" s="693">
        <f t="shared" si="46"/>
        <v>9520</v>
      </c>
    </row>
    <row r="99" spans="1:13" x14ac:dyDescent="0.2">
      <c r="A99" s="230" t="s">
        <v>742</v>
      </c>
      <c r="B99" s="693">
        <v>1500</v>
      </c>
      <c r="C99" s="693">
        <v>1500</v>
      </c>
      <c r="D99" s="693">
        <v>300</v>
      </c>
      <c r="E99" s="693"/>
      <c r="F99" s="693"/>
      <c r="G99" s="693"/>
      <c r="H99" s="693"/>
      <c r="I99" s="693"/>
      <c r="J99" s="693"/>
      <c r="K99" s="693">
        <f t="shared" si="44"/>
        <v>1500</v>
      </c>
      <c r="L99" s="693">
        <f t="shared" si="45"/>
        <v>1500</v>
      </c>
      <c r="M99" s="693">
        <f t="shared" si="46"/>
        <v>300</v>
      </c>
    </row>
    <row r="100" spans="1:13" x14ac:dyDescent="0.2">
      <c r="A100" s="230" t="s">
        <v>330</v>
      </c>
      <c r="B100" s="693">
        <v>3500</v>
      </c>
      <c r="C100" s="693">
        <v>3500</v>
      </c>
      <c r="D100" s="693">
        <v>980</v>
      </c>
      <c r="E100" s="693"/>
      <c r="F100" s="693"/>
      <c r="G100" s="693"/>
      <c r="H100" s="693"/>
      <c r="I100" s="693"/>
      <c r="J100" s="693"/>
      <c r="K100" s="693">
        <f t="shared" si="44"/>
        <v>3500</v>
      </c>
      <c r="L100" s="693">
        <f t="shared" si="45"/>
        <v>3500</v>
      </c>
      <c r="M100" s="693">
        <f t="shared" si="46"/>
        <v>980</v>
      </c>
    </row>
    <row r="101" spans="1:13" x14ac:dyDescent="0.2">
      <c r="A101" s="230" t="s">
        <v>743</v>
      </c>
      <c r="B101" s="693">
        <v>7000</v>
      </c>
      <c r="C101" s="693">
        <v>7000</v>
      </c>
      <c r="D101" s="693">
        <v>2096</v>
      </c>
      <c r="E101" s="693"/>
      <c r="F101" s="693"/>
      <c r="G101" s="693"/>
      <c r="H101" s="693"/>
      <c r="I101" s="693"/>
      <c r="J101" s="693"/>
      <c r="K101" s="693">
        <f t="shared" si="44"/>
        <v>7000</v>
      </c>
      <c r="L101" s="693">
        <f t="shared" si="45"/>
        <v>7000</v>
      </c>
      <c r="M101" s="693">
        <f t="shared" si="46"/>
        <v>2096</v>
      </c>
    </row>
    <row r="102" spans="1:13" x14ac:dyDescent="0.2">
      <c r="A102" s="230" t="s">
        <v>744</v>
      </c>
      <c r="B102" s="693">
        <v>14500</v>
      </c>
      <c r="C102" s="693">
        <v>14500</v>
      </c>
      <c r="D102" s="693">
        <v>8700</v>
      </c>
      <c r="E102" s="693"/>
      <c r="F102" s="693"/>
      <c r="G102" s="693"/>
      <c r="H102" s="693"/>
      <c r="I102" s="693"/>
      <c r="J102" s="693"/>
      <c r="K102" s="693">
        <f t="shared" si="44"/>
        <v>14500</v>
      </c>
      <c r="L102" s="693">
        <f t="shared" si="45"/>
        <v>14500</v>
      </c>
      <c r="M102" s="693">
        <f t="shared" si="46"/>
        <v>8700</v>
      </c>
    </row>
    <row r="103" spans="1:13" x14ac:dyDescent="0.2">
      <c r="A103" s="230" t="s">
        <v>745</v>
      </c>
      <c r="B103" s="693">
        <v>1500</v>
      </c>
      <c r="C103" s="693">
        <v>1500</v>
      </c>
      <c r="D103" s="693">
        <v>750</v>
      </c>
      <c r="E103" s="693"/>
      <c r="F103" s="693"/>
      <c r="G103" s="693"/>
      <c r="H103" s="693"/>
      <c r="I103" s="693"/>
      <c r="J103" s="693"/>
      <c r="K103" s="693">
        <f t="shared" si="44"/>
        <v>1500</v>
      </c>
      <c r="L103" s="693">
        <f t="shared" si="45"/>
        <v>1500</v>
      </c>
      <c r="M103" s="693">
        <f t="shared" si="46"/>
        <v>750</v>
      </c>
    </row>
    <row r="104" spans="1:13" x14ac:dyDescent="0.2">
      <c r="A104" s="230" t="s">
        <v>746</v>
      </c>
      <c r="B104" s="693">
        <v>3000</v>
      </c>
      <c r="C104" s="693">
        <v>3000</v>
      </c>
      <c r="D104" s="693">
        <v>1900</v>
      </c>
      <c r="E104" s="693"/>
      <c r="F104" s="693"/>
      <c r="G104" s="693"/>
      <c r="H104" s="693"/>
      <c r="I104" s="693"/>
      <c r="J104" s="693"/>
      <c r="K104" s="693">
        <f t="shared" si="44"/>
        <v>3000</v>
      </c>
      <c r="L104" s="693">
        <f t="shared" si="45"/>
        <v>3000</v>
      </c>
      <c r="M104" s="693">
        <f t="shared" si="46"/>
        <v>1900</v>
      </c>
    </row>
    <row r="105" spans="1:13" x14ac:dyDescent="0.2">
      <c r="A105" s="230" t="s">
        <v>332</v>
      </c>
      <c r="B105" s="693">
        <v>530</v>
      </c>
      <c r="C105" s="693">
        <v>530</v>
      </c>
      <c r="D105" s="693">
        <v>120</v>
      </c>
      <c r="E105" s="693"/>
      <c r="F105" s="693"/>
      <c r="G105" s="693"/>
      <c r="H105" s="693"/>
      <c r="I105" s="693"/>
      <c r="J105" s="693"/>
      <c r="K105" s="693">
        <f t="shared" si="44"/>
        <v>530</v>
      </c>
      <c r="L105" s="693">
        <f t="shared" si="45"/>
        <v>530</v>
      </c>
      <c r="M105" s="693">
        <f t="shared" si="46"/>
        <v>120</v>
      </c>
    </row>
    <row r="106" spans="1:13" x14ac:dyDescent="0.2">
      <c r="A106" s="230" t="s">
        <v>331</v>
      </c>
      <c r="B106" s="693">
        <v>1400</v>
      </c>
      <c r="C106" s="693">
        <v>1400</v>
      </c>
      <c r="D106" s="693">
        <v>530</v>
      </c>
      <c r="E106" s="693"/>
      <c r="F106" s="693"/>
      <c r="G106" s="693"/>
      <c r="H106" s="693"/>
      <c r="I106" s="693"/>
      <c r="J106" s="693"/>
      <c r="K106" s="693">
        <f t="shared" si="44"/>
        <v>1400</v>
      </c>
      <c r="L106" s="693">
        <f t="shared" si="45"/>
        <v>1400</v>
      </c>
      <c r="M106" s="693">
        <f t="shared" si="46"/>
        <v>530</v>
      </c>
    </row>
    <row r="107" spans="1:13" x14ac:dyDescent="0.2">
      <c r="A107" s="230" t="s">
        <v>368</v>
      </c>
      <c r="B107" s="693">
        <v>3000</v>
      </c>
      <c r="C107" s="693">
        <v>3000</v>
      </c>
      <c r="D107" s="693">
        <v>0</v>
      </c>
      <c r="E107" s="693"/>
      <c r="F107" s="693"/>
      <c r="G107" s="693"/>
      <c r="H107" s="693"/>
      <c r="I107" s="693"/>
      <c r="J107" s="693"/>
      <c r="K107" s="693">
        <f t="shared" si="44"/>
        <v>3000</v>
      </c>
      <c r="L107" s="693">
        <f t="shared" si="45"/>
        <v>3000</v>
      </c>
      <c r="M107" s="693">
        <f t="shared" si="46"/>
        <v>0</v>
      </c>
    </row>
    <row r="108" spans="1:13" x14ac:dyDescent="0.2">
      <c r="A108" s="230" t="s">
        <v>369</v>
      </c>
      <c r="B108" s="693">
        <v>2000</v>
      </c>
      <c r="C108" s="693">
        <v>2000</v>
      </c>
      <c r="D108" s="693">
        <v>0</v>
      </c>
      <c r="E108" s="693"/>
      <c r="F108" s="693"/>
      <c r="G108" s="693"/>
      <c r="H108" s="693"/>
      <c r="I108" s="693"/>
      <c r="J108" s="693"/>
      <c r="K108" s="693">
        <f t="shared" si="44"/>
        <v>2000</v>
      </c>
      <c r="L108" s="693">
        <f t="shared" si="45"/>
        <v>2000</v>
      </c>
      <c r="M108" s="693">
        <f t="shared" si="46"/>
        <v>0</v>
      </c>
    </row>
    <row r="109" spans="1:13" x14ac:dyDescent="0.2">
      <c r="A109" s="230" t="s">
        <v>326</v>
      </c>
      <c r="B109" s="693">
        <v>1000</v>
      </c>
      <c r="C109" s="693">
        <v>1000</v>
      </c>
      <c r="D109" s="693">
        <v>618</v>
      </c>
      <c r="E109" s="693"/>
      <c r="F109" s="693"/>
      <c r="G109" s="693"/>
      <c r="H109" s="693"/>
      <c r="I109" s="693"/>
      <c r="J109" s="693"/>
      <c r="K109" s="693">
        <f t="shared" si="44"/>
        <v>1000</v>
      </c>
      <c r="L109" s="693">
        <f t="shared" si="45"/>
        <v>1000</v>
      </c>
      <c r="M109" s="693">
        <f t="shared" si="46"/>
        <v>618</v>
      </c>
    </row>
    <row r="110" spans="1:13" x14ac:dyDescent="0.2">
      <c r="A110" s="230" t="s">
        <v>747</v>
      </c>
      <c r="B110" s="693">
        <v>6100</v>
      </c>
      <c r="C110" s="693">
        <v>6100</v>
      </c>
      <c r="D110" s="693">
        <v>1334</v>
      </c>
      <c r="E110" s="693"/>
      <c r="F110" s="693"/>
      <c r="G110" s="693"/>
      <c r="H110" s="693"/>
      <c r="I110" s="693"/>
      <c r="J110" s="693"/>
      <c r="K110" s="693">
        <f t="shared" si="44"/>
        <v>6100</v>
      </c>
      <c r="L110" s="693">
        <f t="shared" si="45"/>
        <v>6100</v>
      </c>
      <c r="M110" s="693">
        <f t="shared" si="46"/>
        <v>1334</v>
      </c>
    </row>
    <row r="111" spans="1:13" x14ac:dyDescent="0.2">
      <c r="A111" s="230" t="s">
        <v>333</v>
      </c>
      <c r="B111" s="693">
        <v>5000</v>
      </c>
      <c r="C111" s="693">
        <v>5000</v>
      </c>
      <c r="D111" s="693">
        <v>0</v>
      </c>
      <c r="E111" s="693"/>
      <c r="F111" s="693"/>
      <c r="G111" s="693"/>
      <c r="H111" s="693"/>
      <c r="I111" s="693"/>
      <c r="J111" s="693"/>
      <c r="K111" s="693">
        <f t="shared" si="44"/>
        <v>5000</v>
      </c>
      <c r="L111" s="693">
        <f t="shared" si="45"/>
        <v>5000</v>
      </c>
      <c r="M111" s="693">
        <f t="shared" si="46"/>
        <v>0</v>
      </c>
    </row>
    <row r="112" spans="1:13" x14ac:dyDescent="0.2">
      <c r="A112" s="230" t="s">
        <v>837</v>
      </c>
      <c r="B112" s="693">
        <v>0</v>
      </c>
      <c r="C112" s="693">
        <v>0</v>
      </c>
      <c r="D112" s="693">
        <v>445</v>
      </c>
      <c r="E112" s="693"/>
      <c r="F112" s="693"/>
      <c r="G112" s="693"/>
      <c r="H112" s="693"/>
      <c r="I112" s="693"/>
      <c r="J112" s="693"/>
      <c r="K112" s="693">
        <f t="shared" si="44"/>
        <v>0</v>
      </c>
      <c r="L112" s="693">
        <f t="shared" si="45"/>
        <v>0</v>
      </c>
      <c r="M112" s="693">
        <f t="shared" si="46"/>
        <v>445</v>
      </c>
    </row>
    <row r="113" spans="1:13" x14ac:dyDescent="0.2">
      <c r="A113" s="230"/>
      <c r="B113" s="693"/>
      <c r="C113" s="693"/>
      <c r="D113" s="693"/>
      <c r="E113" s="693"/>
      <c r="F113" s="693"/>
      <c r="G113" s="693"/>
      <c r="H113" s="693"/>
      <c r="I113" s="693"/>
      <c r="J113" s="693"/>
      <c r="K113" s="693"/>
      <c r="L113" s="693"/>
      <c r="M113" s="693"/>
    </row>
    <row r="114" spans="1:13" x14ac:dyDescent="0.2">
      <c r="A114" s="230"/>
      <c r="B114" s="693"/>
      <c r="C114" s="693"/>
      <c r="D114" s="693"/>
      <c r="E114" s="693"/>
      <c r="F114" s="693"/>
      <c r="G114" s="693"/>
      <c r="H114" s="693"/>
      <c r="I114" s="693"/>
      <c r="J114" s="693"/>
      <c r="K114" s="693"/>
      <c r="L114" s="693"/>
      <c r="M114" s="693"/>
    </row>
    <row r="115" spans="1:13" x14ac:dyDescent="0.2">
      <c r="A115" s="230"/>
      <c r="B115" s="693"/>
      <c r="C115" s="693"/>
      <c r="D115" s="693"/>
      <c r="E115" s="693"/>
      <c r="F115" s="693"/>
      <c r="G115" s="693"/>
      <c r="H115" s="693"/>
      <c r="I115" s="693"/>
      <c r="J115" s="693"/>
      <c r="K115" s="693"/>
      <c r="L115" s="693"/>
      <c r="M115" s="693"/>
    </row>
    <row r="116" spans="1:13" x14ac:dyDescent="0.2">
      <c r="A116" s="230"/>
      <c r="B116" s="693"/>
      <c r="C116" s="693"/>
      <c r="D116" s="693"/>
      <c r="E116" s="693"/>
      <c r="F116" s="693"/>
      <c r="G116" s="693"/>
      <c r="H116" s="693"/>
      <c r="I116" s="693"/>
      <c r="J116" s="693"/>
      <c r="K116" s="693"/>
      <c r="L116" s="693"/>
      <c r="M116" s="693"/>
    </row>
    <row r="117" spans="1:13" x14ac:dyDescent="0.2">
      <c r="A117" s="230"/>
      <c r="B117" s="693"/>
      <c r="C117" s="693"/>
      <c r="D117" s="693"/>
      <c r="E117" s="693"/>
      <c r="F117" s="693"/>
      <c r="G117" s="693"/>
      <c r="H117" s="693"/>
      <c r="I117" s="693"/>
      <c r="J117" s="693"/>
      <c r="K117" s="693">
        <f t="shared" si="44"/>
        <v>0</v>
      </c>
      <c r="L117" s="693">
        <f t="shared" si="45"/>
        <v>0</v>
      </c>
      <c r="M117" s="693">
        <f t="shared" si="46"/>
        <v>0</v>
      </c>
    </row>
    <row r="118" spans="1:13" x14ac:dyDescent="0.2">
      <c r="A118" s="107" t="s">
        <v>87</v>
      </c>
      <c r="B118" s="694">
        <f>SUM(B93:B117)</f>
        <v>117330</v>
      </c>
      <c r="C118" s="694">
        <f>SUM(C93:C112)</f>
        <v>117330</v>
      </c>
      <c r="D118" s="694">
        <f>SUM(D93:D112)</f>
        <v>65498</v>
      </c>
      <c r="E118" s="694">
        <f t="shared" ref="E118:L118" si="47">SUM(E93:E111)</f>
        <v>0</v>
      </c>
      <c r="F118" s="694">
        <f t="shared" si="47"/>
        <v>0</v>
      </c>
      <c r="G118" s="694">
        <f t="shared" si="47"/>
        <v>0</v>
      </c>
      <c r="H118" s="694">
        <f t="shared" si="47"/>
        <v>0</v>
      </c>
      <c r="I118" s="694">
        <f t="shared" si="47"/>
        <v>0</v>
      </c>
      <c r="J118" s="694">
        <f t="shared" si="47"/>
        <v>0</v>
      </c>
      <c r="K118" s="694">
        <f t="shared" si="47"/>
        <v>117330</v>
      </c>
      <c r="L118" s="694">
        <f t="shared" si="47"/>
        <v>117330</v>
      </c>
      <c r="M118" s="694">
        <f>SUM(M93:M116)</f>
        <v>65498</v>
      </c>
    </row>
    <row r="122" spans="1:13" x14ac:dyDescent="0.2">
      <c r="A122" s="236"/>
      <c r="B122" s="689"/>
      <c r="C122" s="689"/>
      <c r="E122" s="689"/>
    </row>
    <row r="123" spans="1:13" x14ac:dyDescent="0.2">
      <c r="A123" s="236"/>
      <c r="B123" s="689"/>
      <c r="C123" s="689"/>
      <c r="D123" s="689" t="s">
        <v>396</v>
      </c>
      <c r="E123" s="689"/>
    </row>
    <row r="124" spans="1:13" x14ac:dyDescent="0.2">
      <c r="A124" s="848" t="s">
        <v>395</v>
      </c>
      <c r="B124" s="848"/>
      <c r="C124" s="848"/>
      <c r="D124" s="848"/>
      <c r="E124" s="848"/>
    </row>
    <row r="125" spans="1:13" x14ac:dyDescent="0.2">
      <c r="A125" s="851"/>
      <c r="B125" s="851"/>
      <c r="C125" s="851"/>
      <c r="D125" s="851"/>
      <c r="E125" s="851"/>
    </row>
    <row r="126" spans="1:13" x14ac:dyDescent="0.2">
      <c r="A126" s="848"/>
      <c r="B126" s="848"/>
      <c r="C126" s="848"/>
      <c r="D126" s="848"/>
      <c r="E126" s="848"/>
    </row>
    <row r="127" spans="1:13" x14ac:dyDescent="0.2">
      <c r="A127" s="235"/>
      <c r="B127" s="690"/>
      <c r="D127" s="690"/>
    </row>
    <row r="128" spans="1:13" x14ac:dyDescent="0.2">
      <c r="D128" s="690" t="s">
        <v>60</v>
      </c>
    </row>
    <row r="129" spans="1:13" x14ac:dyDescent="0.2">
      <c r="A129" s="856" t="s">
        <v>389</v>
      </c>
      <c r="B129" s="858" t="s">
        <v>173</v>
      </c>
      <c r="C129" s="858"/>
      <c r="D129" s="858"/>
    </row>
    <row r="130" spans="1:13" s="687" customFormat="1" ht="29.25" x14ac:dyDescent="0.2">
      <c r="A130" s="857"/>
      <c r="B130" s="691" t="s">
        <v>821</v>
      </c>
      <c r="C130" s="691" t="s">
        <v>823</v>
      </c>
      <c r="D130" s="692" t="s">
        <v>822</v>
      </c>
      <c r="E130" s="697"/>
      <c r="F130" s="697"/>
      <c r="G130" s="697"/>
      <c r="H130" s="697"/>
      <c r="I130" s="697"/>
      <c r="J130" s="697"/>
      <c r="K130" s="697"/>
      <c r="L130" s="697"/>
      <c r="M130" s="697"/>
    </row>
    <row r="131" spans="1:13" x14ac:dyDescent="0.2">
      <c r="A131" s="233" t="s">
        <v>390</v>
      </c>
      <c r="B131" s="693">
        <v>453603</v>
      </c>
      <c r="C131" s="693">
        <v>492587</v>
      </c>
      <c r="D131" s="693">
        <v>230873</v>
      </c>
    </row>
    <row r="132" spans="1:13" x14ac:dyDescent="0.2">
      <c r="A132" s="233" t="s">
        <v>318</v>
      </c>
      <c r="B132" s="693">
        <v>390901</v>
      </c>
      <c r="C132" s="693">
        <v>404581</v>
      </c>
      <c r="D132" s="693">
        <v>204539</v>
      </c>
    </row>
    <row r="133" spans="1:13" x14ac:dyDescent="0.2">
      <c r="A133" s="233" t="s">
        <v>391</v>
      </c>
      <c r="B133" s="693">
        <v>95210</v>
      </c>
      <c r="C133" s="693">
        <v>98070</v>
      </c>
      <c r="D133" s="693">
        <v>50227</v>
      </c>
    </row>
    <row r="134" spans="1:13" x14ac:dyDescent="0.2">
      <c r="A134" s="233" t="s">
        <v>392</v>
      </c>
      <c r="B134" s="693">
        <v>568560</v>
      </c>
      <c r="C134" s="693">
        <v>586831</v>
      </c>
      <c r="D134" s="693">
        <v>290393</v>
      </c>
    </row>
    <row r="135" spans="1:13" x14ac:dyDescent="0.2">
      <c r="A135" s="233" t="s">
        <v>393</v>
      </c>
      <c r="B135" s="693">
        <v>16815</v>
      </c>
      <c r="C135" s="693">
        <v>17263</v>
      </c>
      <c r="D135" s="693">
        <v>8042</v>
      </c>
    </row>
    <row r="136" spans="1:13" x14ac:dyDescent="0.2">
      <c r="A136" s="233" t="s">
        <v>394</v>
      </c>
      <c r="B136" s="693">
        <v>82052</v>
      </c>
      <c r="C136" s="693">
        <v>84031</v>
      </c>
      <c r="D136" s="693">
        <v>40268</v>
      </c>
    </row>
    <row r="137" spans="1:13" x14ac:dyDescent="0.2">
      <c r="A137" s="233" t="s">
        <v>834</v>
      </c>
      <c r="B137" s="693"/>
      <c r="C137" s="693"/>
      <c r="D137" s="693">
        <v>2345</v>
      </c>
    </row>
    <row r="138" spans="1:13" x14ac:dyDescent="0.2">
      <c r="A138" s="233" t="s">
        <v>339</v>
      </c>
      <c r="B138" s="693">
        <v>75152</v>
      </c>
      <c r="C138" s="693">
        <v>78542</v>
      </c>
      <c r="D138" s="693">
        <v>53386</v>
      </c>
    </row>
    <row r="139" spans="1:13" x14ac:dyDescent="0.2">
      <c r="A139" s="107" t="s">
        <v>64</v>
      </c>
      <c r="B139" s="694">
        <f>SUM(B131:B138)</f>
        <v>1682293</v>
      </c>
      <c r="C139" s="694">
        <f t="shared" ref="C139:D139" si="48">SUM(C131:C138)</f>
        <v>1761905</v>
      </c>
      <c r="D139" s="694">
        <f t="shared" si="48"/>
        <v>880073</v>
      </c>
    </row>
    <row r="142" spans="1:13" x14ac:dyDescent="0.2">
      <c r="A142" s="236"/>
      <c r="B142" s="689"/>
      <c r="D142" s="689" t="s">
        <v>1342</v>
      </c>
      <c r="E142" s="689"/>
    </row>
    <row r="143" spans="1:13" x14ac:dyDescent="0.2">
      <c r="A143" s="236"/>
      <c r="B143" s="689"/>
      <c r="C143" s="689"/>
      <c r="D143" s="689"/>
      <c r="E143" s="689"/>
    </row>
    <row r="144" spans="1:13" x14ac:dyDescent="0.2">
      <c r="A144" s="848" t="s">
        <v>397</v>
      </c>
      <c r="B144" s="848"/>
      <c r="C144" s="848"/>
      <c r="D144" s="848"/>
      <c r="E144" s="848"/>
    </row>
    <row r="145" spans="1:13" x14ac:dyDescent="0.2">
      <c r="A145" s="851"/>
      <c r="B145" s="851"/>
      <c r="C145" s="851"/>
      <c r="D145" s="851"/>
      <c r="E145" s="851"/>
    </row>
    <row r="146" spans="1:13" x14ac:dyDescent="0.2">
      <c r="A146" s="848"/>
      <c r="B146" s="848"/>
      <c r="C146" s="848"/>
      <c r="D146" s="848"/>
      <c r="E146" s="848"/>
    </row>
    <row r="147" spans="1:13" x14ac:dyDescent="0.2">
      <c r="A147" s="235"/>
      <c r="B147" s="690"/>
    </row>
    <row r="148" spans="1:13" x14ac:dyDescent="0.2">
      <c r="D148" s="690" t="s">
        <v>60</v>
      </c>
    </row>
    <row r="149" spans="1:13" x14ac:dyDescent="0.2">
      <c r="A149" s="856" t="s">
        <v>389</v>
      </c>
      <c r="B149" s="858" t="s">
        <v>173</v>
      </c>
      <c r="C149" s="858"/>
      <c r="D149" s="858"/>
    </row>
    <row r="150" spans="1:13" s="687" customFormat="1" ht="27" x14ac:dyDescent="0.2">
      <c r="A150" s="857"/>
      <c r="B150" s="698" t="s">
        <v>821</v>
      </c>
      <c r="C150" s="698" t="s">
        <v>823</v>
      </c>
      <c r="D150" s="699" t="s">
        <v>822</v>
      </c>
      <c r="E150" s="697"/>
      <c r="F150" s="697"/>
      <c r="G150" s="697"/>
      <c r="H150" s="697"/>
      <c r="I150" s="697"/>
      <c r="J150" s="697"/>
      <c r="K150" s="697"/>
      <c r="L150" s="697"/>
      <c r="M150" s="697"/>
    </row>
    <row r="151" spans="1:13" x14ac:dyDescent="0.2">
      <c r="A151" s="233" t="s">
        <v>390</v>
      </c>
      <c r="B151" s="693">
        <v>52027</v>
      </c>
      <c r="C151" s="693">
        <v>61427</v>
      </c>
      <c r="D151" s="693">
        <v>47845</v>
      </c>
    </row>
    <row r="152" spans="1:13" x14ac:dyDescent="0.2">
      <c r="A152" s="233" t="s">
        <v>318</v>
      </c>
      <c r="B152" s="693">
        <v>16609</v>
      </c>
      <c r="C152" s="693">
        <v>16609</v>
      </c>
      <c r="D152" s="693">
        <v>0</v>
      </c>
    </row>
    <row r="153" spans="1:13" x14ac:dyDescent="0.2">
      <c r="A153" s="233" t="s">
        <v>391</v>
      </c>
      <c r="B153" s="693">
        <v>1264</v>
      </c>
      <c r="C153" s="693">
        <v>1264</v>
      </c>
      <c r="D153" s="693">
        <v>611</v>
      </c>
    </row>
    <row r="154" spans="1:13" x14ac:dyDescent="0.2">
      <c r="A154" s="233" t="s">
        <v>392</v>
      </c>
      <c r="B154" s="693">
        <v>2831</v>
      </c>
      <c r="C154" s="693">
        <v>2831</v>
      </c>
      <c r="D154" s="693">
        <v>910</v>
      </c>
    </row>
    <row r="155" spans="1:13" x14ac:dyDescent="0.2">
      <c r="A155" s="233" t="s">
        <v>393</v>
      </c>
      <c r="B155" s="693">
        <v>3235</v>
      </c>
      <c r="C155" s="693">
        <v>3899</v>
      </c>
      <c r="D155" s="693">
        <v>1432</v>
      </c>
    </row>
    <row r="156" spans="1:13" x14ac:dyDescent="0.2">
      <c r="A156" s="233" t="s">
        <v>394</v>
      </c>
      <c r="B156" s="693">
        <v>3119</v>
      </c>
      <c r="C156" s="693">
        <v>3119</v>
      </c>
      <c r="D156" s="693">
        <v>1362</v>
      </c>
    </row>
    <row r="157" spans="1:13" x14ac:dyDescent="0.2">
      <c r="A157" s="233" t="s">
        <v>834</v>
      </c>
      <c r="B157" s="693"/>
      <c r="C157" s="693"/>
      <c r="D157" s="693"/>
    </row>
    <row r="158" spans="1:13" x14ac:dyDescent="0.2">
      <c r="A158" s="233" t="s">
        <v>339</v>
      </c>
      <c r="B158" s="693">
        <v>0</v>
      </c>
      <c r="C158" s="693">
        <v>0</v>
      </c>
      <c r="D158" s="693">
        <v>0</v>
      </c>
    </row>
    <row r="159" spans="1:13" x14ac:dyDescent="0.2">
      <c r="A159" s="107" t="s">
        <v>64</v>
      </c>
      <c r="B159" s="694">
        <f>SUM(B151:B158)</f>
        <v>79085</v>
      </c>
      <c r="C159" s="694">
        <f t="shared" ref="C159:D159" si="49">SUM(C151:C158)</f>
        <v>89149</v>
      </c>
      <c r="D159" s="694">
        <f t="shared" si="49"/>
        <v>52160</v>
      </c>
    </row>
  </sheetData>
  <mergeCells count="64">
    <mergeCell ref="A149:A150"/>
    <mergeCell ref="B149:D149"/>
    <mergeCell ref="H91:J91"/>
    <mergeCell ref="K91:M91"/>
    <mergeCell ref="A87:M87"/>
    <mergeCell ref="A68:A69"/>
    <mergeCell ref="B68:D68"/>
    <mergeCell ref="E68:G68"/>
    <mergeCell ref="H68:J68"/>
    <mergeCell ref="K68:M68"/>
    <mergeCell ref="A78:A79"/>
    <mergeCell ref="B78:D78"/>
    <mergeCell ref="E78:G78"/>
    <mergeCell ref="H78:J78"/>
    <mergeCell ref="K78:M78"/>
    <mergeCell ref="I85:M85"/>
    <mergeCell ref="I86:M86"/>
    <mergeCell ref="E46:G46"/>
    <mergeCell ref="H46:J46"/>
    <mergeCell ref="K46:M46"/>
    <mergeCell ref="K4:M4"/>
    <mergeCell ref="A4:A5"/>
    <mergeCell ref="B4:D4"/>
    <mergeCell ref="E4:G4"/>
    <mergeCell ref="A44:M44"/>
    <mergeCell ref="I29:M29"/>
    <mergeCell ref="A30:M30"/>
    <mergeCell ref="A32:A33"/>
    <mergeCell ref="B32:D32"/>
    <mergeCell ref="E32:G32"/>
    <mergeCell ref="H32:J32"/>
    <mergeCell ref="K32:M32"/>
    <mergeCell ref="B46:D46"/>
    <mergeCell ref="I77:M77"/>
    <mergeCell ref="I43:M43"/>
    <mergeCell ref="I54:M54"/>
    <mergeCell ref="I56:M56"/>
    <mergeCell ref="I65:M65"/>
    <mergeCell ref="I67:M67"/>
    <mergeCell ref="I75:M75"/>
    <mergeCell ref="A55:M55"/>
    <mergeCell ref="A66:M66"/>
    <mergeCell ref="A76:M76"/>
    <mergeCell ref="A57:A58"/>
    <mergeCell ref="B57:D57"/>
    <mergeCell ref="E57:G57"/>
    <mergeCell ref="H57:J57"/>
    <mergeCell ref="K57:M57"/>
    <mergeCell ref="A2:M2"/>
    <mergeCell ref="A46:A47"/>
    <mergeCell ref="A144:E144"/>
    <mergeCell ref="A145:E145"/>
    <mergeCell ref="A146:E146"/>
    <mergeCell ref="I84:M84"/>
    <mergeCell ref="I88:M88"/>
    <mergeCell ref="A124:E124"/>
    <mergeCell ref="A125:E125"/>
    <mergeCell ref="A126:E126"/>
    <mergeCell ref="A91:A92"/>
    <mergeCell ref="B91:D91"/>
    <mergeCell ref="E91:G91"/>
    <mergeCell ref="A129:A130"/>
    <mergeCell ref="B129:D129"/>
    <mergeCell ref="H4:J4"/>
  </mergeCells>
  <printOptions horizontalCentered="1"/>
  <pageMargins left="0" right="0" top="0.39370078740157483" bottom="0" header="7.874015748031496E-2" footer="0"/>
  <pageSetup paperSize="9" scale="75" orientation="portrait" r:id="rId1"/>
  <headerFooter>
    <oddHeader>&amp;LVeresegyház Város Önkormányzata&amp;C&amp;"Arial CE,Félkövér"&amp;12ELŐIRÁNYZAT MÓDOSÍTÁS, TELJESÍTÉS 2015.06.30.</oddHeader>
  </headerFooter>
  <rowBreaks count="1" manualBreakCount="1"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R271"/>
  <sheetViews>
    <sheetView view="pageBreakPreview" topLeftCell="A214" zoomScale="85" zoomScaleSheetLayoutView="85" zoomScalePageLayoutView="130" workbookViewId="0">
      <selection activeCell="O258" sqref="O258"/>
    </sheetView>
  </sheetViews>
  <sheetFormatPr defaultColWidth="10" defaultRowHeight="12.75" outlineLevelCol="1" x14ac:dyDescent="0.2"/>
  <cols>
    <col min="1" max="1" width="14.5703125" style="395" customWidth="1"/>
    <col min="2" max="2" width="10" style="385" customWidth="1"/>
    <col min="3" max="3" width="10" style="385" customWidth="1" outlineLevel="1"/>
    <col min="4" max="4" width="10" style="396" customWidth="1" outlineLevel="1"/>
    <col min="5" max="5" width="4.85546875" style="323" bestFit="1" customWidth="1"/>
    <col min="6" max="6" width="12.7109375" style="397" customWidth="1"/>
    <col min="7" max="7" width="42.5703125" style="389" customWidth="1"/>
    <col min="8" max="8" width="10.42578125" style="323" customWidth="1"/>
    <col min="9" max="9" width="11.85546875" style="323" customWidth="1"/>
    <col min="10" max="10" width="9.7109375" style="323" customWidth="1"/>
    <col min="11" max="11" width="11" style="323" customWidth="1"/>
    <col min="12" max="12" width="10" style="391"/>
    <col min="13" max="13" width="12.5703125" style="392" customWidth="1"/>
    <col min="14" max="14" width="10.5703125" style="392" customWidth="1"/>
    <col min="15" max="15" width="11.42578125" style="392" customWidth="1"/>
    <col min="16" max="16" width="11.42578125" style="391" customWidth="1" collapsed="1"/>
    <col min="17" max="17" width="8.85546875" style="391" bestFit="1" customWidth="1"/>
    <col min="18" max="18" width="12.5703125" style="391" customWidth="1" collapsed="1"/>
    <col min="19" max="16384" width="10" style="323"/>
  </cols>
  <sheetData>
    <row r="1" spans="1:18" ht="37.5" customHeight="1" x14ac:dyDescent="0.2">
      <c r="A1" s="875" t="s">
        <v>459</v>
      </c>
      <c r="B1" s="876" t="s">
        <v>860</v>
      </c>
      <c r="C1" s="876" t="s">
        <v>861</v>
      </c>
      <c r="D1" s="875" t="s">
        <v>862</v>
      </c>
      <c r="E1" s="875" t="s">
        <v>863</v>
      </c>
      <c r="F1" s="865" t="s">
        <v>476</v>
      </c>
      <c r="G1" s="874" t="s">
        <v>477</v>
      </c>
      <c r="H1" s="321" t="s">
        <v>864</v>
      </c>
      <c r="I1" s="322" t="s">
        <v>865</v>
      </c>
      <c r="J1" s="321" t="s">
        <v>864</v>
      </c>
      <c r="K1" s="322" t="s">
        <v>865</v>
      </c>
      <c r="L1" s="874" t="s">
        <v>866</v>
      </c>
      <c r="M1" s="874" t="s">
        <v>867</v>
      </c>
      <c r="N1" s="874" t="s">
        <v>868</v>
      </c>
      <c r="O1" s="874" t="s">
        <v>869</v>
      </c>
      <c r="P1" s="874" t="s">
        <v>398</v>
      </c>
      <c r="Q1" s="862" t="s">
        <v>870</v>
      </c>
      <c r="R1" s="862" t="s">
        <v>871</v>
      </c>
    </row>
    <row r="2" spans="1:18" ht="33" customHeight="1" x14ac:dyDescent="0.2">
      <c r="A2" s="875"/>
      <c r="B2" s="876"/>
      <c r="C2" s="876"/>
      <c r="D2" s="875"/>
      <c r="E2" s="875"/>
      <c r="F2" s="867"/>
      <c r="G2" s="874"/>
      <c r="H2" s="322" t="s">
        <v>872</v>
      </c>
      <c r="I2" s="324" t="s">
        <v>872</v>
      </c>
      <c r="J2" s="322" t="s">
        <v>873</v>
      </c>
      <c r="K2" s="322" t="s">
        <v>873</v>
      </c>
      <c r="L2" s="874"/>
      <c r="M2" s="874"/>
      <c r="N2" s="874"/>
      <c r="O2" s="874"/>
      <c r="P2" s="874"/>
      <c r="Q2" s="863"/>
      <c r="R2" s="863"/>
    </row>
    <row r="3" spans="1:18" ht="21" customHeight="1" x14ac:dyDescent="0.2">
      <c r="A3" s="875"/>
      <c r="B3" s="876"/>
      <c r="C3" s="876"/>
      <c r="D3" s="875"/>
      <c r="E3" s="875"/>
      <c r="F3" s="877"/>
      <c r="G3" s="874"/>
      <c r="H3" s="322" t="s">
        <v>399</v>
      </c>
      <c r="I3" s="322" t="s">
        <v>399</v>
      </c>
      <c r="J3" s="322" t="s">
        <v>399</v>
      </c>
      <c r="K3" s="322" t="s">
        <v>399</v>
      </c>
      <c r="L3" s="874"/>
      <c r="M3" s="874"/>
      <c r="N3" s="874"/>
      <c r="O3" s="874"/>
      <c r="P3" s="874"/>
      <c r="Q3" s="864"/>
      <c r="R3" s="864"/>
    </row>
    <row r="4" spans="1:18" ht="19.5" customHeight="1" x14ac:dyDescent="0.2">
      <c r="A4" s="865" t="s">
        <v>478</v>
      </c>
      <c r="B4" s="325" t="s">
        <v>874</v>
      </c>
      <c r="C4" s="325" t="s">
        <v>875</v>
      </c>
      <c r="D4" s="326" t="s">
        <v>876</v>
      </c>
      <c r="E4" s="327">
        <v>0.27</v>
      </c>
      <c r="F4" s="868" t="s">
        <v>877</v>
      </c>
      <c r="G4" s="328" t="s">
        <v>479</v>
      </c>
      <c r="H4" s="329"/>
      <c r="I4" s="330"/>
      <c r="J4" s="329">
        <v>164</v>
      </c>
      <c r="K4" s="331">
        <v>0</v>
      </c>
      <c r="L4" s="871">
        <f>SUM(H4:H8)</f>
        <v>0</v>
      </c>
      <c r="M4" s="871">
        <f>SUM(I4:I8)</f>
        <v>10000</v>
      </c>
      <c r="N4" s="871">
        <f>SUM(J4:J8)</f>
        <v>164</v>
      </c>
      <c r="O4" s="871">
        <f>SUM(K4:K8)</f>
        <v>892</v>
      </c>
      <c r="P4" s="871">
        <f>SUM(M4,O4)</f>
        <v>10892</v>
      </c>
      <c r="Q4" s="332">
        <v>0</v>
      </c>
      <c r="R4" s="871">
        <f>SUBTOTAL(9,Q4:Q8)</f>
        <v>740</v>
      </c>
    </row>
    <row r="5" spans="1:18" ht="24" x14ac:dyDescent="0.2">
      <c r="A5" s="866"/>
      <c r="B5" s="325" t="s">
        <v>874</v>
      </c>
      <c r="C5" s="325" t="s">
        <v>875</v>
      </c>
      <c r="D5" s="326" t="s">
        <v>878</v>
      </c>
      <c r="E5" s="333" t="s">
        <v>879</v>
      </c>
      <c r="F5" s="869"/>
      <c r="G5" s="334" t="s">
        <v>880</v>
      </c>
      <c r="H5" s="329"/>
      <c r="I5" s="330"/>
      <c r="J5" s="329"/>
      <c r="K5" s="329">
        <v>130</v>
      </c>
      <c r="L5" s="872"/>
      <c r="M5" s="872"/>
      <c r="N5" s="872"/>
      <c r="O5" s="872"/>
      <c r="P5" s="872"/>
      <c r="Q5" s="332">
        <v>130</v>
      </c>
      <c r="R5" s="872"/>
    </row>
    <row r="6" spans="1:18" ht="24" x14ac:dyDescent="0.2">
      <c r="A6" s="867"/>
      <c r="B6" s="325" t="s">
        <v>874</v>
      </c>
      <c r="C6" s="325" t="s">
        <v>881</v>
      </c>
      <c r="D6" s="326" t="s">
        <v>882</v>
      </c>
      <c r="E6" s="327">
        <v>0.27</v>
      </c>
      <c r="F6" s="869"/>
      <c r="G6" s="334" t="s">
        <v>883</v>
      </c>
      <c r="H6" s="329"/>
      <c r="I6" s="329">
        <v>10000</v>
      </c>
      <c r="J6" s="329"/>
      <c r="K6" s="329"/>
      <c r="L6" s="872"/>
      <c r="M6" s="872"/>
      <c r="N6" s="872"/>
      <c r="O6" s="872"/>
      <c r="P6" s="872"/>
      <c r="Q6" s="332">
        <v>0</v>
      </c>
      <c r="R6" s="872"/>
    </row>
    <row r="7" spans="1:18" ht="18" customHeight="1" x14ac:dyDescent="0.2">
      <c r="A7" s="867"/>
      <c r="B7" s="325"/>
      <c r="C7" s="325"/>
      <c r="D7" s="326"/>
      <c r="E7" s="327"/>
      <c r="F7" s="870"/>
      <c r="G7" s="334" t="s">
        <v>884</v>
      </c>
      <c r="H7" s="329"/>
      <c r="I7" s="329"/>
      <c r="J7" s="329"/>
      <c r="K7" s="329">
        <v>152</v>
      </c>
      <c r="L7" s="872"/>
      <c r="M7" s="872"/>
      <c r="N7" s="872"/>
      <c r="O7" s="872"/>
      <c r="P7" s="872"/>
      <c r="Q7" s="332">
        <v>0</v>
      </c>
      <c r="R7" s="872"/>
    </row>
    <row r="8" spans="1:18" ht="24.75" customHeight="1" x14ac:dyDescent="0.2">
      <c r="A8" s="867"/>
      <c r="B8" s="325" t="s">
        <v>885</v>
      </c>
      <c r="C8" s="325" t="s">
        <v>886</v>
      </c>
      <c r="D8" s="326" t="s">
        <v>887</v>
      </c>
      <c r="E8" s="327">
        <v>0.27</v>
      </c>
      <c r="F8" s="335" t="s">
        <v>888</v>
      </c>
      <c r="G8" s="334" t="s">
        <v>889</v>
      </c>
      <c r="H8" s="329"/>
      <c r="I8" s="330"/>
      <c r="J8" s="329"/>
      <c r="K8" s="329">
        <v>610</v>
      </c>
      <c r="L8" s="872"/>
      <c r="M8" s="872"/>
      <c r="N8" s="872"/>
      <c r="O8" s="872"/>
      <c r="P8" s="872"/>
      <c r="Q8" s="332">
        <v>610</v>
      </c>
      <c r="R8" s="873"/>
    </row>
    <row r="9" spans="1:18" ht="39.75" customHeight="1" x14ac:dyDescent="0.2">
      <c r="A9" s="336" t="s">
        <v>480</v>
      </c>
      <c r="B9" s="325" t="s">
        <v>890</v>
      </c>
      <c r="C9" s="325"/>
      <c r="D9" s="326" t="s">
        <v>876</v>
      </c>
      <c r="E9" s="327">
        <v>0.27</v>
      </c>
      <c r="F9" s="337" t="s">
        <v>891</v>
      </c>
      <c r="G9" s="326" t="s">
        <v>481</v>
      </c>
      <c r="H9" s="329"/>
      <c r="I9" s="330"/>
      <c r="J9" s="329">
        <v>10160</v>
      </c>
      <c r="K9" s="329">
        <v>10160</v>
      </c>
      <c r="L9" s="332">
        <f>SUM(H9:H9)</f>
        <v>0</v>
      </c>
      <c r="M9" s="332">
        <f>SUM(I9:I9)</f>
        <v>0</v>
      </c>
      <c r="N9" s="332">
        <f>SUM(J9)</f>
        <v>10160</v>
      </c>
      <c r="O9" s="331">
        <f>SUM(K9)</f>
        <v>10160</v>
      </c>
      <c r="P9" s="332">
        <f>SUM(M9,O9)</f>
        <v>10160</v>
      </c>
      <c r="Q9" s="332">
        <v>0</v>
      </c>
      <c r="R9" s="806">
        <f>SUBTOTAL(9,Q9)</f>
        <v>0</v>
      </c>
    </row>
    <row r="10" spans="1:18" ht="24" customHeight="1" x14ac:dyDescent="0.2">
      <c r="A10" s="875" t="s">
        <v>400</v>
      </c>
      <c r="B10" s="325" t="s">
        <v>890</v>
      </c>
      <c r="C10" s="325" t="s">
        <v>892</v>
      </c>
      <c r="D10" s="326" t="s">
        <v>893</v>
      </c>
      <c r="E10" s="338" t="s">
        <v>894</v>
      </c>
      <c r="F10" s="868" t="s">
        <v>620</v>
      </c>
      <c r="G10" s="339" t="s">
        <v>482</v>
      </c>
      <c r="H10" s="329"/>
      <c r="I10" s="330"/>
      <c r="J10" s="329">
        <v>866</v>
      </c>
      <c r="K10" s="329">
        <v>866</v>
      </c>
      <c r="L10" s="878">
        <f>SUM(H10:H83)</f>
        <v>10036</v>
      </c>
      <c r="M10" s="878">
        <f>SUM(I10:I83)</f>
        <v>423053</v>
      </c>
      <c r="N10" s="878">
        <f>SUM(J10:J83)</f>
        <v>338088</v>
      </c>
      <c r="O10" s="878">
        <f>SUM(K10:K83)</f>
        <v>511249</v>
      </c>
      <c r="P10" s="878">
        <f>SUM(M10,O10)</f>
        <v>934302</v>
      </c>
      <c r="Q10" s="332">
        <v>0</v>
      </c>
      <c r="R10" s="871">
        <f>SUBTOTAL(9,Q10:Q83)</f>
        <v>556547</v>
      </c>
    </row>
    <row r="11" spans="1:18" ht="24" x14ac:dyDescent="0.2">
      <c r="A11" s="875"/>
      <c r="B11" s="325" t="s">
        <v>890</v>
      </c>
      <c r="C11" s="325" t="s">
        <v>892</v>
      </c>
      <c r="D11" s="326" t="s">
        <v>895</v>
      </c>
      <c r="E11" s="338" t="s">
        <v>896</v>
      </c>
      <c r="F11" s="869"/>
      <c r="G11" s="334" t="s">
        <v>483</v>
      </c>
      <c r="H11" s="340"/>
      <c r="I11" s="330"/>
      <c r="J11" s="340">
        <v>89</v>
      </c>
      <c r="K11" s="340">
        <v>89</v>
      </c>
      <c r="L11" s="878"/>
      <c r="M11" s="878"/>
      <c r="N11" s="878"/>
      <c r="O11" s="878"/>
      <c r="P11" s="878"/>
      <c r="Q11" s="332">
        <v>89</v>
      </c>
      <c r="R11" s="872"/>
    </row>
    <row r="12" spans="1:18" ht="24" x14ac:dyDescent="0.2">
      <c r="A12" s="875"/>
      <c r="B12" s="325" t="s">
        <v>890</v>
      </c>
      <c r="C12" s="325" t="s">
        <v>892</v>
      </c>
      <c r="D12" s="326" t="s">
        <v>897</v>
      </c>
      <c r="E12" s="338" t="s">
        <v>896</v>
      </c>
      <c r="F12" s="869"/>
      <c r="G12" s="334" t="s">
        <v>484</v>
      </c>
      <c r="H12" s="340"/>
      <c r="I12" s="330"/>
      <c r="J12" s="340">
        <v>89</v>
      </c>
      <c r="K12" s="340">
        <v>89</v>
      </c>
      <c r="L12" s="878"/>
      <c r="M12" s="878"/>
      <c r="N12" s="878"/>
      <c r="O12" s="878"/>
      <c r="P12" s="878"/>
      <c r="Q12" s="332">
        <v>89</v>
      </c>
      <c r="R12" s="872"/>
    </row>
    <row r="13" spans="1:18" ht="24" x14ac:dyDescent="0.2">
      <c r="A13" s="875"/>
      <c r="B13" s="325" t="s">
        <v>890</v>
      </c>
      <c r="C13" s="325" t="s">
        <v>892</v>
      </c>
      <c r="D13" s="326" t="s">
        <v>898</v>
      </c>
      <c r="E13" s="338" t="s">
        <v>896</v>
      </c>
      <c r="F13" s="869"/>
      <c r="G13" s="334" t="s">
        <v>485</v>
      </c>
      <c r="H13" s="340"/>
      <c r="I13" s="330"/>
      <c r="J13" s="340">
        <v>177</v>
      </c>
      <c r="K13" s="340">
        <v>177</v>
      </c>
      <c r="L13" s="878"/>
      <c r="M13" s="878"/>
      <c r="N13" s="878"/>
      <c r="O13" s="878"/>
      <c r="P13" s="878"/>
      <c r="Q13" s="332">
        <v>177</v>
      </c>
      <c r="R13" s="872"/>
    </row>
    <row r="14" spans="1:18" ht="24" x14ac:dyDescent="0.2">
      <c r="A14" s="875"/>
      <c r="B14" s="325" t="s">
        <v>890</v>
      </c>
      <c r="C14" s="325" t="s">
        <v>892</v>
      </c>
      <c r="D14" s="326" t="s">
        <v>899</v>
      </c>
      <c r="E14" s="338" t="s">
        <v>896</v>
      </c>
      <c r="F14" s="869"/>
      <c r="G14" s="334" t="s">
        <v>486</v>
      </c>
      <c r="H14" s="340"/>
      <c r="I14" s="330"/>
      <c r="J14" s="340">
        <v>264</v>
      </c>
      <c r="K14" s="340">
        <v>264</v>
      </c>
      <c r="L14" s="878"/>
      <c r="M14" s="878"/>
      <c r="N14" s="878"/>
      <c r="O14" s="878"/>
      <c r="P14" s="878"/>
      <c r="Q14" s="332">
        <v>263</v>
      </c>
      <c r="R14" s="872"/>
    </row>
    <row r="15" spans="1:18" ht="24" x14ac:dyDescent="0.2">
      <c r="A15" s="875"/>
      <c r="B15" s="325" t="s">
        <v>890</v>
      </c>
      <c r="C15" s="325" t="s">
        <v>892</v>
      </c>
      <c r="D15" s="326" t="s">
        <v>900</v>
      </c>
      <c r="E15" s="338" t="s">
        <v>896</v>
      </c>
      <c r="F15" s="869"/>
      <c r="G15" s="334" t="s">
        <v>487</v>
      </c>
      <c r="H15" s="340"/>
      <c r="I15" s="330"/>
      <c r="J15" s="340">
        <v>177</v>
      </c>
      <c r="K15" s="340">
        <v>177</v>
      </c>
      <c r="L15" s="878"/>
      <c r="M15" s="878"/>
      <c r="N15" s="878"/>
      <c r="O15" s="878"/>
      <c r="P15" s="878"/>
      <c r="Q15" s="332">
        <v>177</v>
      </c>
      <c r="R15" s="872"/>
    </row>
    <row r="16" spans="1:18" x14ac:dyDescent="0.2">
      <c r="A16" s="875"/>
      <c r="B16" s="325" t="s">
        <v>890</v>
      </c>
      <c r="C16" s="325" t="s">
        <v>892</v>
      </c>
      <c r="D16" s="326" t="s">
        <v>901</v>
      </c>
      <c r="E16" s="338" t="s">
        <v>896</v>
      </c>
      <c r="F16" s="869"/>
      <c r="G16" s="334" t="s">
        <v>488</v>
      </c>
      <c r="H16" s="340"/>
      <c r="I16" s="330"/>
      <c r="J16" s="340">
        <v>115</v>
      </c>
      <c r="K16" s="340">
        <v>115</v>
      </c>
      <c r="L16" s="878"/>
      <c r="M16" s="878"/>
      <c r="N16" s="878"/>
      <c r="O16" s="878"/>
      <c r="P16" s="878"/>
      <c r="Q16" s="332">
        <v>115</v>
      </c>
      <c r="R16" s="872"/>
    </row>
    <row r="17" spans="1:18" ht="24" x14ac:dyDescent="0.2">
      <c r="A17" s="875"/>
      <c r="B17" s="325" t="s">
        <v>890</v>
      </c>
      <c r="C17" s="325" t="s">
        <v>892</v>
      </c>
      <c r="D17" s="326" t="s">
        <v>902</v>
      </c>
      <c r="E17" s="338" t="s">
        <v>896</v>
      </c>
      <c r="F17" s="869"/>
      <c r="G17" s="334" t="s">
        <v>489</v>
      </c>
      <c r="H17" s="340"/>
      <c r="I17" s="330"/>
      <c r="J17" s="340">
        <v>70</v>
      </c>
      <c r="K17" s="340">
        <v>70</v>
      </c>
      <c r="L17" s="878"/>
      <c r="M17" s="878"/>
      <c r="N17" s="878"/>
      <c r="O17" s="878"/>
      <c r="P17" s="878"/>
      <c r="Q17" s="332">
        <v>69</v>
      </c>
      <c r="R17" s="872"/>
    </row>
    <row r="18" spans="1:18" ht="24" x14ac:dyDescent="0.2">
      <c r="A18" s="875"/>
      <c r="B18" s="325" t="s">
        <v>890</v>
      </c>
      <c r="C18" s="325" t="s">
        <v>892</v>
      </c>
      <c r="D18" s="326" t="s">
        <v>876</v>
      </c>
      <c r="E18" s="338" t="s">
        <v>896</v>
      </c>
      <c r="F18" s="869"/>
      <c r="G18" s="334" t="s">
        <v>490</v>
      </c>
      <c r="H18" s="340"/>
      <c r="I18" s="330"/>
      <c r="J18" s="340">
        <v>48337</v>
      </c>
      <c r="K18" s="329">
        <v>48337</v>
      </c>
      <c r="L18" s="878"/>
      <c r="M18" s="878"/>
      <c r="N18" s="878"/>
      <c r="O18" s="878"/>
      <c r="P18" s="878"/>
      <c r="Q18" s="332">
        <v>0</v>
      </c>
      <c r="R18" s="872"/>
    </row>
    <row r="19" spans="1:18" ht="24" x14ac:dyDescent="0.2">
      <c r="A19" s="875"/>
      <c r="B19" s="325" t="s">
        <v>890</v>
      </c>
      <c r="C19" s="325" t="s">
        <v>892</v>
      </c>
      <c r="D19" s="326" t="s">
        <v>876</v>
      </c>
      <c r="E19" s="338" t="s">
        <v>896</v>
      </c>
      <c r="F19" s="869"/>
      <c r="G19" s="334" t="s">
        <v>491</v>
      </c>
      <c r="H19" s="340"/>
      <c r="I19" s="330"/>
      <c r="J19" s="340">
        <v>10000</v>
      </c>
      <c r="K19" s="331">
        <v>0</v>
      </c>
      <c r="L19" s="878"/>
      <c r="M19" s="878"/>
      <c r="N19" s="878"/>
      <c r="O19" s="878"/>
      <c r="P19" s="878"/>
      <c r="Q19" s="332">
        <v>0</v>
      </c>
      <c r="R19" s="872"/>
    </row>
    <row r="20" spans="1:18" ht="24" x14ac:dyDescent="0.2">
      <c r="A20" s="875"/>
      <c r="B20" s="325" t="s">
        <v>890</v>
      </c>
      <c r="C20" s="325" t="s">
        <v>892</v>
      </c>
      <c r="D20" s="326" t="s">
        <v>903</v>
      </c>
      <c r="E20" s="338" t="s">
        <v>896</v>
      </c>
      <c r="F20" s="869"/>
      <c r="G20" s="334" t="s">
        <v>904</v>
      </c>
      <c r="H20" s="340"/>
      <c r="I20" s="330"/>
      <c r="J20" s="340"/>
      <c r="K20" s="329">
        <v>1029</v>
      </c>
      <c r="L20" s="878"/>
      <c r="M20" s="878"/>
      <c r="N20" s="878"/>
      <c r="O20" s="878"/>
      <c r="P20" s="878"/>
      <c r="Q20" s="332">
        <v>1029</v>
      </c>
      <c r="R20" s="872"/>
    </row>
    <row r="21" spans="1:18" ht="24" x14ac:dyDescent="0.2">
      <c r="A21" s="875"/>
      <c r="B21" s="325" t="s">
        <v>890</v>
      </c>
      <c r="C21" s="325" t="s">
        <v>892</v>
      </c>
      <c r="D21" s="326" t="s">
        <v>905</v>
      </c>
      <c r="E21" s="338" t="s">
        <v>896</v>
      </c>
      <c r="F21" s="869"/>
      <c r="G21" s="334" t="s">
        <v>906</v>
      </c>
      <c r="H21" s="340"/>
      <c r="I21" s="330"/>
      <c r="J21" s="340"/>
      <c r="K21" s="329">
        <v>69</v>
      </c>
      <c r="L21" s="878"/>
      <c r="M21" s="878"/>
      <c r="N21" s="878"/>
      <c r="O21" s="878"/>
      <c r="P21" s="878"/>
      <c r="Q21" s="332">
        <v>69</v>
      </c>
      <c r="R21" s="872"/>
    </row>
    <row r="22" spans="1:18" ht="24" x14ac:dyDescent="0.2">
      <c r="A22" s="875"/>
      <c r="B22" s="325" t="s">
        <v>890</v>
      </c>
      <c r="C22" s="325" t="s">
        <v>892</v>
      </c>
      <c r="D22" s="326" t="s">
        <v>907</v>
      </c>
      <c r="E22" s="338" t="s">
        <v>896</v>
      </c>
      <c r="F22" s="869"/>
      <c r="G22" s="334" t="s">
        <v>908</v>
      </c>
      <c r="H22" s="340"/>
      <c r="I22" s="330"/>
      <c r="J22" s="340"/>
      <c r="K22" s="329">
        <v>114</v>
      </c>
      <c r="L22" s="878"/>
      <c r="M22" s="878"/>
      <c r="N22" s="878"/>
      <c r="O22" s="878"/>
      <c r="P22" s="878"/>
      <c r="Q22" s="332">
        <v>114</v>
      </c>
      <c r="R22" s="872"/>
    </row>
    <row r="23" spans="1:18" ht="24" x14ac:dyDescent="0.2">
      <c r="A23" s="875"/>
      <c r="B23" s="325" t="s">
        <v>890</v>
      </c>
      <c r="C23" s="325" t="s">
        <v>892</v>
      </c>
      <c r="D23" s="326" t="s">
        <v>909</v>
      </c>
      <c r="E23" s="338" t="s">
        <v>896</v>
      </c>
      <c r="F23" s="869"/>
      <c r="G23" s="334" t="s">
        <v>910</v>
      </c>
      <c r="H23" s="340"/>
      <c r="I23" s="330"/>
      <c r="J23" s="340"/>
      <c r="K23" s="329">
        <v>88</v>
      </c>
      <c r="L23" s="878"/>
      <c r="M23" s="878"/>
      <c r="N23" s="878"/>
      <c r="O23" s="878"/>
      <c r="P23" s="878"/>
      <c r="Q23" s="332">
        <v>89</v>
      </c>
      <c r="R23" s="872"/>
    </row>
    <row r="24" spans="1:18" ht="24" x14ac:dyDescent="0.2">
      <c r="A24" s="875"/>
      <c r="B24" s="325" t="s">
        <v>890</v>
      </c>
      <c r="C24" s="325" t="s">
        <v>892</v>
      </c>
      <c r="D24" s="326" t="s">
        <v>911</v>
      </c>
      <c r="E24" s="338" t="s">
        <v>896</v>
      </c>
      <c r="F24" s="869"/>
      <c r="G24" s="334" t="s">
        <v>912</v>
      </c>
      <c r="H24" s="340"/>
      <c r="I24" s="330"/>
      <c r="J24" s="340"/>
      <c r="K24" s="329">
        <v>89</v>
      </c>
      <c r="L24" s="878"/>
      <c r="M24" s="878"/>
      <c r="N24" s="878"/>
      <c r="O24" s="878"/>
      <c r="P24" s="878"/>
      <c r="Q24" s="332">
        <v>89</v>
      </c>
      <c r="R24" s="872"/>
    </row>
    <row r="25" spans="1:18" ht="24" x14ac:dyDescent="0.2">
      <c r="A25" s="875"/>
      <c r="B25" s="325" t="s">
        <v>890</v>
      </c>
      <c r="C25" s="325" t="s">
        <v>892</v>
      </c>
      <c r="D25" s="326" t="s">
        <v>913</v>
      </c>
      <c r="E25" s="338" t="s">
        <v>896</v>
      </c>
      <c r="F25" s="869"/>
      <c r="G25" s="334" t="s">
        <v>914</v>
      </c>
      <c r="H25" s="340"/>
      <c r="I25" s="330"/>
      <c r="J25" s="340"/>
      <c r="K25" s="329">
        <v>179</v>
      </c>
      <c r="L25" s="878"/>
      <c r="M25" s="878"/>
      <c r="N25" s="878"/>
      <c r="O25" s="878"/>
      <c r="P25" s="878"/>
      <c r="Q25" s="332">
        <v>179</v>
      </c>
      <c r="R25" s="872"/>
    </row>
    <row r="26" spans="1:18" ht="24" x14ac:dyDescent="0.2">
      <c r="A26" s="875"/>
      <c r="B26" s="325" t="s">
        <v>890</v>
      </c>
      <c r="C26" s="325" t="s">
        <v>892</v>
      </c>
      <c r="D26" s="326" t="s">
        <v>915</v>
      </c>
      <c r="E26" s="338" t="s">
        <v>896</v>
      </c>
      <c r="F26" s="869"/>
      <c r="G26" s="334" t="s">
        <v>916</v>
      </c>
      <c r="H26" s="340"/>
      <c r="I26" s="330"/>
      <c r="J26" s="340"/>
      <c r="K26" s="329">
        <v>90</v>
      </c>
      <c r="L26" s="878"/>
      <c r="M26" s="878"/>
      <c r="N26" s="878"/>
      <c r="O26" s="878"/>
      <c r="P26" s="878"/>
      <c r="Q26" s="332">
        <v>90</v>
      </c>
      <c r="R26" s="872"/>
    </row>
    <row r="27" spans="1:18" ht="24" x14ac:dyDescent="0.2">
      <c r="A27" s="875"/>
      <c r="B27" s="325" t="s">
        <v>890</v>
      </c>
      <c r="C27" s="325" t="s">
        <v>892</v>
      </c>
      <c r="D27" s="326" t="s">
        <v>917</v>
      </c>
      <c r="E27" s="338" t="s">
        <v>896</v>
      </c>
      <c r="F27" s="869"/>
      <c r="G27" s="334" t="s">
        <v>918</v>
      </c>
      <c r="H27" s="340"/>
      <c r="I27" s="330"/>
      <c r="J27" s="340"/>
      <c r="K27" s="329">
        <v>556</v>
      </c>
      <c r="L27" s="878"/>
      <c r="M27" s="878"/>
      <c r="N27" s="878"/>
      <c r="O27" s="878"/>
      <c r="P27" s="878"/>
      <c r="Q27" s="332">
        <v>556</v>
      </c>
      <c r="R27" s="872"/>
    </row>
    <row r="28" spans="1:18" ht="24" x14ac:dyDescent="0.2">
      <c r="A28" s="875"/>
      <c r="B28" s="325" t="s">
        <v>890</v>
      </c>
      <c r="C28" s="325" t="s">
        <v>892</v>
      </c>
      <c r="D28" s="326" t="s">
        <v>919</v>
      </c>
      <c r="E28" s="338" t="s">
        <v>896</v>
      </c>
      <c r="F28" s="869"/>
      <c r="G28" s="334" t="s">
        <v>920</v>
      </c>
      <c r="H28" s="340"/>
      <c r="I28" s="330"/>
      <c r="J28" s="340"/>
      <c r="K28" s="329">
        <v>964</v>
      </c>
      <c r="L28" s="878"/>
      <c r="M28" s="878"/>
      <c r="N28" s="878"/>
      <c r="O28" s="878"/>
      <c r="P28" s="878"/>
      <c r="Q28" s="332">
        <v>964</v>
      </c>
      <c r="R28" s="872"/>
    </row>
    <row r="29" spans="1:18" ht="24" x14ac:dyDescent="0.2">
      <c r="A29" s="875"/>
      <c r="B29" s="325" t="s">
        <v>890</v>
      </c>
      <c r="C29" s="325" t="s">
        <v>892</v>
      </c>
      <c r="D29" s="326" t="s">
        <v>921</v>
      </c>
      <c r="E29" s="338" t="s">
        <v>896</v>
      </c>
      <c r="F29" s="869"/>
      <c r="G29" s="334" t="s">
        <v>922</v>
      </c>
      <c r="H29" s="340"/>
      <c r="I29" s="330"/>
      <c r="J29" s="340"/>
      <c r="K29" s="329">
        <v>89</v>
      </c>
      <c r="L29" s="878"/>
      <c r="M29" s="878"/>
      <c r="N29" s="878"/>
      <c r="O29" s="878"/>
      <c r="P29" s="878"/>
      <c r="Q29" s="332">
        <v>89</v>
      </c>
      <c r="R29" s="872"/>
    </row>
    <row r="30" spans="1:18" ht="24" x14ac:dyDescent="0.2">
      <c r="A30" s="875"/>
      <c r="B30" s="325" t="s">
        <v>890</v>
      </c>
      <c r="C30" s="325" t="s">
        <v>892</v>
      </c>
      <c r="D30" s="326" t="s">
        <v>923</v>
      </c>
      <c r="E30" s="338" t="s">
        <v>896</v>
      </c>
      <c r="F30" s="869"/>
      <c r="G30" s="334" t="s">
        <v>924</v>
      </c>
      <c r="H30" s="340"/>
      <c r="I30" s="330"/>
      <c r="J30" s="340"/>
      <c r="K30" s="329">
        <v>436</v>
      </c>
      <c r="L30" s="878"/>
      <c r="M30" s="878"/>
      <c r="N30" s="878"/>
      <c r="O30" s="878"/>
      <c r="P30" s="878"/>
      <c r="Q30" s="332">
        <v>436</v>
      </c>
      <c r="R30" s="872"/>
    </row>
    <row r="31" spans="1:18" ht="24" x14ac:dyDescent="0.2">
      <c r="A31" s="875"/>
      <c r="B31" s="325" t="s">
        <v>890</v>
      </c>
      <c r="C31" s="325" t="s">
        <v>892</v>
      </c>
      <c r="D31" s="326" t="s">
        <v>925</v>
      </c>
      <c r="E31" s="338" t="s">
        <v>896</v>
      </c>
      <c r="F31" s="869"/>
      <c r="G31" s="334" t="s">
        <v>926</v>
      </c>
      <c r="H31" s="340"/>
      <c r="I31" s="330"/>
      <c r="J31" s="340"/>
      <c r="K31" s="329">
        <v>101</v>
      </c>
      <c r="L31" s="878"/>
      <c r="M31" s="878"/>
      <c r="N31" s="878"/>
      <c r="O31" s="878"/>
      <c r="P31" s="878"/>
      <c r="Q31" s="332">
        <v>101</v>
      </c>
      <c r="R31" s="872"/>
    </row>
    <row r="32" spans="1:18" ht="24" x14ac:dyDescent="0.2">
      <c r="A32" s="875"/>
      <c r="B32" s="325" t="s">
        <v>890</v>
      </c>
      <c r="C32" s="325" t="s">
        <v>892</v>
      </c>
      <c r="D32" s="326" t="s">
        <v>927</v>
      </c>
      <c r="E32" s="338" t="s">
        <v>896</v>
      </c>
      <c r="F32" s="869"/>
      <c r="G32" s="334" t="s">
        <v>928</v>
      </c>
      <c r="H32" s="340"/>
      <c r="I32" s="330"/>
      <c r="J32" s="340"/>
      <c r="K32" s="329">
        <v>89</v>
      </c>
      <c r="L32" s="878"/>
      <c r="M32" s="878"/>
      <c r="N32" s="878"/>
      <c r="O32" s="878"/>
      <c r="P32" s="878"/>
      <c r="Q32" s="332">
        <v>89</v>
      </c>
      <c r="R32" s="872"/>
    </row>
    <row r="33" spans="1:18" ht="24" x14ac:dyDescent="0.2">
      <c r="A33" s="875"/>
      <c r="B33" s="325" t="s">
        <v>890</v>
      </c>
      <c r="C33" s="325" t="s">
        <v>892</v>
      </c>
      <c r="D33" s="326" t="s">
        <v>929</v>
      </c>
      <c r="E33" s="338" t="s">
        <v>896</v>
      </c>
      <c r="F33" s="869"/>
      <c r="G33" s="334" t="s">
        <v>930</v>
      </c>
      <c r="H33" s="340"/>
      <c r="I33" s="330"/>
      <c r="J33" s="340"/>
      <c r="K33" s="329">
        <v>115</v>
      </c>
      <c r="L33" s="878"/>
      <c r="M33" s="878"/>
      <c r="N33" s="878"/>
      <c r="O33" s="878"/>
      <c r="P33" s="878"/>
      <c r="Q33" s="332">
        <v>115</v>
      </c>
      <c r="R33" s="872"/>
    </row>
    <row r="34" spans="1:18" ht="24" x14ac:dyDescent="0.2">
      <c r="A34" s="875"/>
      <c r="B34" s="325" t="s">
        <v>890</v>
      </c>
      <c r="C34" s="325" t="s">
        <v>892</v>
      </c>
      <c r="D34" s="326" t="s">
        <v>931</v>
      </c>
      <c r="E34" s="338" t="s">
        <v>896</v>
      </c>
      <c r="F34" s="869"/>
      <c r="G34" s="334" t="s">
        <v>932</v>
      </c>
      <c r="H34" s="340"/>
      <c r="I34" s="330"/>
      <c r="J34" s="340"/>
      <c r="K34" s="329">
        <v>265</v>
      </c>
      <c r="L34" s="878"/>
      <c r="M34" s="878"/>
      <c r="N34" s="878"/>
      <c r="O34" s="878"/>
      <c r="P34" s="878"/>
      <c r="Q34" s="332">
        <v>265</v>
      </c>
      <c r="R34" s="872"/>
    </row>
    <row r="35" spans="1:18" ht="24" x14ac:dyDescent="0.2">
      <c r="A35" s="875"/>
      <c r="B35" s="325" t="s">
        <v>890</v>
      </c>
      <c r="C35" s="325" t="s">
        <v>892</v>
      </c>
      <c r="D35" s="326" t="s">
        <v>933</v>
      </c>
      <c r="E35" s="338" t="s">
        <v>896</v>
      </c>
      <c r="F35" s="869"/>
      <c r="G35" s="334" t="s">
        <v>934</v>
      </c>
      <c r="H35" s="340"/>
      <c r="I35" s="330"/>
      <c r="J35" s="340"/>
      <c r="K35" s="329">
        <v>176</v>
      </c>
      <c r="L35" s="878"/>
      <c r="M35" s="878"/>
      <c r="N35" s="878"/>
      <c r="O35" s="878"/>
      <c r="P35" s="878"/>
      <c r="Q35" s="332">
        <v>176</v>
      </c>
      <c r="R35" s="872"/>
    </row>
    <row r="36" spans="1:18" ht="24" x14ac:dyDescent="0.2">
      <c r="A36" s="875"/>
      <c r="B36" s="325" t="s">
        <v>890</v>
      </c>
      <c r="C36" s="325" t="s">
        <v>892</v>
      </c>
      <c r="D36" s="326" t="s">
        <v>935</v>
      </c>
      <c r="E36" s="338" t="s">
        <v>896</v>
      </c>
      <c r="F36" s="869"/>
      <c r="G36" s="334" t="s">
        <v>936</v>
      </c>
      <c r="H36" s="340"/>
      <c r="I36" s="330"/>
      <c r="J36" s="340"/>
      <c r="K36" s="329">
        <v>474</v>
      </c>
      <c r="L36" s="878"/>
      <c r="M36" s="878"/>
      <c r="N36" s="878"/>
      <c r="O36" s="878"/>
      <c r="P36" s="878"/>
      <c r="Q36" s="332">
        <v>474</v>
      </c>
      <c r="R36" s="872"/>
    </row>
    <row r="37" spans="1:18" ht="24" x14ac:dyDescent="0.2">
      <c r="A37" s="875"/>
      <c r="B37" s="325" t="s">
        <v>890</v>
      </c>
      <c r="C37" s="325" t="s">
        <v>892</v>
      </c>
      <c r="D37" s="326" t="s">
        <v>937</v>
      </c>
      <c r="E37" s="338" t="s">
        <v>896</v>
      </c>
      <c r="F37" s="869"/>
      <c r="G37" s="334" t="s">
        <v>938</v>
      </c>
      <c r="H37" s="340"/>
      <c r="I37" s="330"/>
      <c r="J37" s="340"/>
      <c r="K37" s="329">
        <v>89</v>
      </c>
      <c r="L37" s="878"/>
      <c r="M37" s="878"/>
      <c r="N37" s="878"/>
      <c r="O37" s="878"/>
      <c r="P37" s="878"/>
      <c r="Q37" s="332">
        <v>89</v>
      </c>
      <c r="R37" s="872"/>
    </row>
    <row r="38" spans="1:18" ht="24" x14ac:dyDescent="0.2">
      <c r="A38" s="875"/>
      <c r="B38" s="325" t="s">
        <v>890</v>
      </c>
      <c r="C38" s="325" t="s">
        <v>892</v>
      </c>
      <c r="D38" s="326" t="s">
        <v>939</v>
      </c>
      <c r="E38" s="338" t="s">
        <v>896</v>
      </c>
      <c r="F38" s="869"/>
      <c r="G38" s="334" t="s">
        <v>940</v>
      </c>
      <c r="H38" s="340"/>
      <c r="I38" s="330"/>
      <c r="J38" s="340"/>
      <c r="K38" s="329">
        <v>90</v>
      </c>
      <c r="L38" s="878"/>
      <c r="M38" s="878"/>
      <c r="N38" s="878"/>
      <c r="O38" s="878"/>
      <c r="P38" s="878"/>
      <c r="Q38" s="332">
        <v>89</v>
      </c>
      <c r="R38" s="872"/>
    </row>
    <row r="39" spans="1:18" ht="24" x14ac:dyDescent="0.2">
      <c r="A39" s="875"/>
      <c r="B39" s="325" t="s">
        <v>890</v>
      </c>
      <c r="C39" s="325" t="s">
        <v>892</v>
      </c>
      <c r="D39" s="326" t="s">
        <v>941</v>
      </c>
      <c r="E39" s="338" t="s">
        <v>896</v>
      </c>
      <c r="F39" s="869"/>
      <c r="G39" s="334" t="s">
        <v>942</v>
      </c>
      <c r="H39" s="340"/>
      <c r="I39" s="330"/>
      <c r="J39" s="340"/>
      <c r="K39" s="329">
        <v>225</v>
      </c>
      <c r="L39" s="878"/>
      <c r="M39" s="878"/>
      <c r="N39" s="878"/>
      <c r="O39" s="878"/>
      <c r="P39" s="878"/>
      <c r="Q39" s="332">
        <v>225</v>
      </c>
      <c r="R39" s="872"/>
    </row>
    <row r="40" spans="1:18" ht="24" x14ac:dyDescent="0.2">
      <c r="A40" s="875"/>
      <c r="B40" s="325" t="s">
        <v>890</v>
      </c>
      <c r="C40" s="325" t="s">
        <v>892</v>
      </c>
      <c r="D40" s="326" t="s">
        <v>943</v>
      </c>
      <c r="E40" s="338" t="s">
        <v>896</v>
      </c>
      <c r="F40" s="869"/>
      <c r="G40" s="334" t="s">
        <v>944</v>
      </c>
      <c r="H40" s="340"/>
      <c r="I40" s="330"/>
      <c r="J40" s="340"/>
      <c r="K40" s="329">
        <v>176</v>
      </c>
      <c r="L40" s="878"/>
      <c r="M40" s="878"/>
      <c r="N40" s="878"/>
      <c r="O40" s="878"/>
      <c r="P40" s="878"/>
      <c r="Q40" s="332">
        <v>176</v>
      </c>
      <c r="R40" s="872"/>
    </row>
    <row r="41" spans="1:18" ht="24" x14ac:dyDescent="0.2">
      <c r="A41" s="875"/>
      <c r="B41" s="325" t="s">
        <v>890</v>
      </c>
      <c r="C41" s="325" t="s">
        <v>892</v>
      </c>
      <c r="D41" s="326" t="s">
        <v>945</v>
      </c>
      <c r="E41" s="338" t="s">
        <v>896</v>
      </c>
      <c r="F41" s="869"/>
      <c r="G41" s="334" t="s">
        <v>946</v>
      </c>
      <c r="H41" s="340"/>
      <c r="I41" s="330"/>
      <c r="J41" s="340"/>
      <c r="K41" s="329">
        <v>561</v>
      </c>
      <c r="L41" s="878"/>
      <c r="M41" s="878"/>
      <c r="N41" s="878"/>
      <c r="O41" s="878"/>
      <c r="P41" s="878"/>
      <c r="Q41" s="332">
        <v>561</v>
      </c>
      <c r="R41" s="872"/>
    </row>
    <row r="42" spans="1:18" ht="24" x14ac:dyDescent="0.2">
      <c r="A42" s="875"/>
      <c r="B42" s="325" t="s">
        <v>890</v>
      </c>
      <c r="C42" s="325" t="s">
        <v>892</v>
      </c>
      <c r="D42" s="326" t="s">
        <v>947</v>
      </c>
      <c r="E42" s="338" t="s">
        <v>896</v>
      </c>
      <c r="F42" s="869"/>
      <c r="G42" s="334" t="s">
        <v>948</v>
      </c>
      <c r="H42" s="340"/>
      <c r="I42" s="330"/>
      <c r="J42" s="340"/>
      <c r="K42" s="329">
        <v>86</v>
      </c>
      <c r="L42" s="878"/>
      <c r="M42" s="878"/>
      <c r="N42" s="878"/>
      <c r="O42" s="878"/>
      <c r="P42" s="878"/>
      <c r="Q42" s="332">
        <v>86</v>
      </c>
      <c r="R42" s="872"/>
    </row>
    <row r="43" spans="1:18" ht="24" x14ac:dyDescent="0.2">
      <c r="A43" s="875"/>
      <c r="B43" s="325" t="s">
        <v>890</v>
      </c>
      <c r="C43" s="325" t="s">
        <v>892</v>
      </c>
      <c r="D43" s="326" t="s">
        <v>949</v>
      </c>
      <c r="E43" s="338" t="s">
        <v>896</v>
      </c>
      <c r="F43" s="869"/>
      <c r="G43" s="334" t="s">
        <v>950</v>
      </c>
      <c r="H43" s="340"/>
      <c r="I43" s="330"/>
      <c r="J43" s="340"/>
      <c r="K43" s="329">
        <v>336</v>
      </c>
      <c r="L43" s="878"/>
      <c r="M43" s="878"/>
      <c r="N43" s="878"/>
      <c r="O43" s="878"/>
      <c r="P43" s="878"/>
      <c r="Q43" s="332">
        <v>336</v>
      </c>
      <c r="R43" s="872"/>
    </row>
    <row r="44" spans="1:18" ht="24" x14ac:dyDescent="0.2">
      <c r="A44" s="875"/>
      <c r="B44" s="325" t="s">
        <v>890</v>
      </c>
      <c r="C44" s="325" t="s">
        <v>892</v>
      </c>
      <c r="D44" s="326" t="s">
        <v>951</v>
      </c>
      <c r="E44" s="338" t="s">
        <v>896</v>
      </c>
      <c r="F44" s="869"/>
      <c r="G44" s="334" t="s">
        <v>952</v>
      </c>
      <c r="H44" s="340"/>
      <c r="I44" s="330"/>
      <c r="J44" s="340"/>
      <c r="K44" s="329">
        <v>270</v>
      </c>
      <c r="L44" s="878"/>
      <c r="M44" s="878"/>
      <c r="N44" s="878"/>
      <c r="O44" s="878"/>
      <c r="P44" s="878"/>
      <c r="Q44" s="332">
        <v>271</v>
      </c>
      <c r="R44" s="872"/>
    </row>
    <row r="45" spans="1:18" ht="24" x14ac:dyDescent="0.2">
      <c r="A45" s="875"/>
      <c r="B45" s="325" t="s">
        <v>890</v>
      </c>
      <c r="C45" s="325" t="s">
        <v>892</v>
      </c>
      <c r="D45" s="326" t="s">
        <v>953</v>
      </c>
      <c r="E45" s="338" t="s">
        <v>896</v>
      </c>
      <c r="F45" s="869"/>
      <c r="G45" s="334" t="s">
        <v>954</v>
      </c>
      <c r="H45" s="340"/>
      <c r="I45" s="330"/>
      <c r="J45" s="340"/>
      <c r="K45" s="329">
        <v>90</v>
      </c>
      <c r="L45" s="878"/>
      <c r="M45" s="878"/>
      <c r="N45" s="878"/>
      <c r="O45" s="878"/>
      <c r="P45" s="878"/>
      <c r="Q45" s="332">
        <v>90</v>
      </c>
      <c r="R45" s="872"/>
    </row>
    <row r="46" spans="1:18" ht="24" x14ac:dyDescent="0.2">
      <c r="A46" s="875"/>
      <c r="B46" s="325" t="s">
        <v>890</v>
      </c>
      <c r="C46" s="325" t="s">
        <v>892</v>
      </c>
      <c r="D46" s="326" t="s">
        <v>955</v>
      </c>
      <c r="E46" s="338" t="s">
        <v>896</v>
      </c>
      <c r="F46" s="869"/>
      <c r="G46" s="334" t="s">
        <v>956</v>
      </c>
      <c r="H46" s="340"/>
      <c r="I46" s="330"/>
      <c r="J46" s="340"/>
      <c r="K46" s="329">
        <v>2108</v>
      </c>
      <c r="L46" s="878"/>
      <c r="M46" s="878"/>
      <c r="N46" s="878"/>
      <c r="O46" s="878"/>
      <c r="P46" s="878"/>
      <c r="Q46" s="332">
        <v>2108</v>
      </c>
      <c r="R46" s="872"/>
    </row>
    <row r="47" spans="1:18" ht="24" x14ac:dyDescent="0.2">
      <c r="A47" s="875"/>
      <c r="B47" s="325" t="s">
        <v>890</v>
      </c>
      <c r="C47" s="325" t="s">
        <v>892</v>
      </c>
      <c r="D47" s="326" t="s">
        <v>957</v>
      </c>
      <c r="E47" s="338" t="s">
        <v>896</v>
      </c>
      <c r="F47" s="869"/>
      <c r="G47" s="334" t="s">
        <v>958</v>
      </c>
      <c r="H47" s="340"/>
      <c r="I47" s="330"/>
      <c r="J47" s="340"/>
      <c r="K47" s="329">
        <v>2825</v>
      </c>
      <c r="L47" s="878"/>
      <c r="M47" s="878"/>
      <c r="N47" s="878"/>
      <c r="O47" s="878"/>
      <c r="P47" s="878"/>
      <c r="Q47" s="332">
        <v>2825</v>
      </c>
      <c r="R47" s="872"/>
    </row>
    <row r="48" spans="1:18" ht="24" x14ac:dyDescent="0.2">
      <c r="A48" s="875"/>
      <c r="B48" s="325" t="s">
        <v>890</v>
      </c>
      <c r="C48" s="325" t="s">
        <v>892</v>
      </c>
      <c r="D48" s="326" t="s">
        <v>959</v>
      </c>
      <c r="E48" s="338" t="s">
        <v>896</v>
      </c>
      <c r="F48" s="869"/>
      <c r="G48" s="334" t="s">
        <v>960</v>
      </c>
      <c r="H48" s="340"/>
      <c r="I48" s="330"/>
      <c r="J48" s="340"/>
      <c r="K48" s="329">
        <v>4505</v>
      </c>
      <c r="L48" s="878"/>
      <c r="M48" s="878"/>
      <c r="N48" s="878"/>
      <c r="O48" s="878"/>
      <c r="P48" s="878"/>
      <c r="Q48" s="332">
        <v>4505</v>
      </c>
      <c r="R48" s="872"/>
    </row>
    <row r="49" spans="1:18" ht="24" x14ac:dyDescent="0.2">
      <c r="A49" s="875"/>
      <c r="B49" s="325" t="s">
        <v>890</v>
      </c>
      <c r="C49" s="325" t="s">
        <v>892</v>
      </c>
      <c r="D49" s="326" t="s">
        <v>961</v>
      </c>
      <c r="E49" s="338" t="s">
        <v>896</v>
      </c>
      <c r="F49" s="869"/>
      <c r="G49" s="334" t="s">
        <v>962</v>
      </c>
      <c r="H49" s="340"/>
      <c r="I49" s="330"/>
      <c r="J49" s="340"/>
      <c r="K49" s="329">
        <v>5026</v>
      </c>
      <c r="L49" s="878"/>
      <c r="M49" s="878"/>
      <c r="N49" s="878"/>
      <c r="O49" s="878"/>
      <c r="P49" s="878"/>
      <c r="Q49" s="332">
        <v>5026</v>
      </c>
      <c r="R49" s="872"/>
    </row>
    <row r="50" spans="1:18" ht="24" x14ac:dyDescent="0.2">
      <c r="A50" s="875"/>
      <c r="B50" s="325" t="s">
        <v>890</v>
      </c>
      <c r="C50" s="325" t="s">
        <v>892</v>
      </c>
      <c r="D50" s="326" t="s">
        <v>963</v>
      </c>
      <c r="E50" s="338" t="s">
        <v>896</v>
      </c>
      <c r="F50" s="869"/>
      <c r="G50" s="334" t="s">
        <v>964</v>
      </c>
      <c r="H50" s="340"/>
      <c r="I50" s="330"/>
      <c r="J50" s="340"/>
      <c r="K50" s="329">
        <v>115</v>
      </c>
      <c r="L50" s="878"/>
      <c r="M50" s="878"/>
      <c r="N50" s="878"/>
      <c r="O50" s="878"/>
      <c r="P50" s="878"/>
      <c r="Q50" s="332">
        <v>115</v>
      </c>
      <c r="R50" s="872"/>
    </row>
    <row r="51" spans="1:18" ht="24" x14ac:dyDescent="0.2">
      <c r="A51" s="875"/>
      <c r="B51" s="325" t="s">
        <v>890</v>
      </c>
      <c r="C51" s="325" t="s">
        <v>892</v>
      </c>
      <c r="D51" s="326" t="s">
        <v>965</v>
      </c>
      <c r="E51" s="338" t="s">
        <v>896</v>
      </c>
      <c r="F51" s="869"/>
      <c r="G51" s="334" t="s">
        <v>966</v>
      </c>
      <c r="H51" s="340"/>
      <c r="I51" s="330"/>
      <c r="J51" s="340"/>
      <c r="K51" s="329">
        <v>88</v>
      </c>
      <c r="L51" s="878"/>
      <c r="M51" s="878"/>
      <c r="N51" s="878"/>
      <c r="O51" s="878"/>
      <c r="P51" s="878"/>
      <c r="Q51" s="332">
        <v>89</v>
      </c>
      <c r="R51" s="872"/>
    </row>
    <row r="52" spans="1:18" ht="24" x14ac:dyDescent="0.2">
      <c r="A52" s="875"/>
      <c r="B52" s="325" t="s">
        <v>890</v>
      </c>
      <c r="C52" s="325" t="s">
        <v>892</v>
      </c>
      <c r="D52" s="326" t="s">
        <v>967</v>
      </c>
      <c r="E52" s="338" t="s">
        <v>896</v>
      </c>
      <c r="F52" s="869"/>
      <c r="G52" s="334" t="s">
        <v>968</v>
      </c>
      <c r="H52" s="340"/>
      <c r="I52" s="330"/>
      <c r="J52" s="340"/>
      <c r="K52" s="329">
        <v>227</v>
      </c>
      <c r="L52" s="878"/>
      <c r="M52" s="878"/>
      <c r="N52" s="878"/>
      <c r="O52" s="878"/>
      <c r="P52" s="878"/>
      <c r="Q52" s="332">
        <v>0</v>
      </c>
      <c r="R52" s="872"/>
    </row>
    <row r="53" spans="1:18" ht="24" x14ac:dyDescent="0.2">
      <c r="A53" s="875"/>
      <c r="B53" s="325" t="s">
        <v>890</v>
      </c>
      <c r="C53" s="325" t="s">
        <v>892</v>
      </c>
      <c r="D53" s="326" t="s">
        <v>969</v>
      </c>
      <c r="E53" s="338" t="s">
        <v>896</v>
      </c>
      <c r="F53" s="869"/>
      <c r="G53" s="334" t="s">
        <v>970</v>
      </c>
      <c r="H53" s="340"/>
      <c r="I53" s="330"/>
      <c r="J53" s="340"/>
      <c r="K53" s="329">
        <v>228</v>
      </c>
      <c r="L53" s="878"/>
      <c r="M53" s="878"/>
      <c r="N53" s="878"/>
      <c r="O53" s="878"/>
      <c r="P53" s="878"/>
      <c r="Q53" s="332">
        <v>0</v>
      </c>
      <c r="R53" s="872"/>
    </row>
    <row r="54" spans="1:18" ht="24" x14ac:dyDescent="0.2">
      <c r="A54" s="875"/>
      <c r="B54" s="325" t="s">
        <v>890</v>
      </c>
      <c r="C54" s="325" t="s">
        <v>892</v>
      </c>
      <c r="D54" s="326" t="s">
        <v>971</v>
      </c>
      <c r="E54" s="338" t="s">
        <v>896</v>
      </c>
      <c r="F54" s="869"/>
      <c r="G54" s="334" t="s">
        <v>972</v>
      </c>
      <c r="H54" s="340"/>
      <c r="I54" s="330"/>
      <c r="J54" s="340"/>
      <c r="K54" s="329">
        <v>90</v>
      </c>
      <c r="L54" s="878"/>
      <c r="M54" s="878"/>
      <c r="N54" s="878"/>
      <c r="O54" s="878"/>
      <c r="P54" s="878"/>
      <c r="Q54" s="332">
        <v>0</v>
      </c>
      <c r="R54" s="872"/>
    </row>
    <row r="55" spans="1:18" ht="24" x14ac:dyDescent="0.2">
      <c r="A55" s="875"/>
      <c r="B55" s="325" t="s">
        <v>973</v>
      </c>
      <c r="C55" s="325" t="s">
        <v>974</v>
      </c>
      <c r="D55" s="326" t="s">
        <v>975</v>
      </c>
      <c r="E55" s="327">
        <v>0.27</v>
      </c>
      <c r="F55" s="865" t="s">
        <v>625</v>
      </c>
      <c r="G55" s="341" t="s">
        <v>976</v>
      </c>
      <c r="H55" s="340"/>
      <c r="I55" s="329"/>
      <c r="J55" s="330"/>
      <c r="K55" s="329">
        <v>40520</v>
      </c>
      <c r="L55" s="878"/>
      <c r="M55" s="878"/>
      <c r="N55" s="878"/>
      <c r="O55" s="878"/>
      <c r="P55" s="878"/>
      <c r="Q55" s="332">
        <v>40520</v>
      </c>
      <c r="R55" s="872"/>
    </row>
    <row r="56" spans="1:18" ht="24" x14ac:dyDescent="0.2">
      <c r="A56" s="875"/>
      <c r="B56" s="325" t="s">
        <v>973</v>
      </c>
      <c r="C56" s="325" t="s">
        <v>974</v>
      </c>
      <c r="D56" s="326" t="s">
        <v>977</v>
      </c>
      <c r="E56" s="327">
        <v>0.27</v>
      </c>
      <c r="F56" s="867"/>
      <c r="G56" s="334" t="s">
        <v>753</v>
      </c>
      <c r="H56" s="340"/>
      <c r="I56" s="330"/>
      <c r="J56" s="340">
        <v>4000</v>
      </c>
      <c r="K56" s="340">
        <v>4000</v>
      </c>
      <c r="L56" s="878"/>
      <c r="M56" s="878"/>
      <c r="N56" s="878"/>
      <c r="O56" s="878"/>
      <c r="P56" s="878"/>
      <c r="Q56" s="332">
        <v>4000</v>
      </c>
      <c r="R56" s="872"/>
    </row>
    <row r="57" spans="1:18" ht="36" x14ac:dyDescent="0.2">
      <c r="A57" s="875"/>
      <c r="B57" s="325" t="s">
        <v>973</v>
      </c>
      <c r="C57" s="325" t="s">
        <v>974</v>
      </c>
      <c r="D57" s="326" t="s">
        <v>978</v>
      </c>
      <c r="E57" s="327" t="s">
        <v>896</v>
      </c>
      <c r="F57" s="867"/>
      <c r="G57" s="334" t="s">
        <v>750</v>
      </c>
      <c r="H57" s="340"/>
      <c r="I57" s="330"/>
      <c r="J57" s="340">
        <v>6036</v>
      </c>
      <c r="K57" s="340">
        <v>5786</v>
      </c>
      <c r="L57" s="878"/>
      <c r="M57" s="878"/>
      <c r="N57" s="878"/>
      <c r="O57" s="878"/>
      <c r="P57" s="878"/>
      <c r="Q57" s="332">
        <v>5786</v>
      </c>
      <c r="R57" s="872"/>
    </row>
    <row r="58" spans="1:18" ht="36" x14ac:dyDescent="0.2">
      <c r="A58" s="875"/>
      <c r="B58" s="325" t="s">
        <v>973</v>
      </c>
      <c r="C58" s="325" t="s">
        <v>974</v>
      </c>
      <c r="D58" s="326" t="s">
        <v>979</v>
      </c>
      <c r="E58" s="327" t="s">
        <v>896</v>
      </c>
      <c r="F58" s="867"/>
      <c r="G58" s="334" t="s">
        <v>754</v>
      </c>
      <c r="H58" s="340"/>
      <c r="I58" s="330"/>
      <c r="J58" s="340">
        <v>12300</v>
      </c>
      <c r="K58" s="340">
        <v>12300</v>
      </c>
      <c r="L58" s="878"/>
      <c r="M58" s="878"/>
      <c r="N58" s="878"/>
      <c r="O58" s="878"/>
      <c r="P58" s="878"/>
      <c r="Q58" s="332">
        <v>12300</v>
      </c>
      <c r="R58" s="872"/>
    </row>
    <row r="59" spans="1:18" ht="36" x14ac:dyDescent="0.2">
      <c r="A59" s="875"/>
      <c r="B59" s="325" t="s">
        <v>973</v>
      </c>
      <c r="C59" s="325" t="s">
        <v>974</v>
      </c>
      <c r="D59" s="326" t="s">
        <v>980</v>
      </c>
      <c r="E59" s="327" t="s">
        <v>896</v>
      </c>
      <c r="F59" s="867"/>
      <c r="G59" s="334" t="s">
        <v>755</v>
      </c>
      <c r="H59" s="340"/>
      <c r="I59" s="330"/>
      <c r="J59" s="340">
        <v>25899</v>
      </c>
      <c r="K59" s="340">
        <v>25899</v>
      </c>
      <c r="L59" s="878"/>
      <c r="M59" s="878"/>
      <c r="N59" s="878"/>
      <c r="O59" s="878"/>
      <c r="P59" s="878"/>
      <c r="Q59" s="332">
        <v>25899</v>
      </c>
      <c r="R59" s="872"/>
    </row>
    <row r="60" spans="1:18" ht="24" x14ac:dyDescent="0.2">
      <c r="A60" s="875"/>
      <c r="B60" s="325" t="s">
        <v>973</v>
      </c>
      <c r="C60" s="325" t="s">
        <v>974</v>
      </c>
      <c r="D60" s="326" t="s">
        <v>981</v>
      </c>
      <c r="E60" s="327" t="s">
        <v>896</v>
      </c>
      <c r="F60" s="867"/>
      <c r="G60" s="334" t="s">
        <v>751</v>
      </c>
      <c r="H60" s="340"/>
      <c r="I60" s="330"/>
      <c r="J60" s="340">
        <v>26000</v>
      </c>
      <c r="K60" s="340">
        <v>26000</v>
      </c>
      <c r="L60" s="878"/>
      <c r="M60" s="878"/>
      <c r="N60" s="878"/>
      <c r="O60" s="878"/>
      <c r="P60" s="878"/>
      <c r="Q60" s="332">
        <v>8000</v>
      </c>
      <c r="R60" s="872"/>
    </row>
    <row r="61" spans="1:18" ht="42" customHeight="1" x14ac:dyDescent="0.2">
      <c r="A61" s="875"/>
      <c r="B61" s="325" t="s">
        <v>973</v>
      </c>
      <c r="C61" s="325" t="s">
        <v>974</v>
      </c>
      <c r="D61" s="326" t="s">
        <v>982</v>
      </c>
      <c r="E61" s="327" t="s">
        <v>896</v>
      </c>
      <c r="F61" s="867"/>
      <c r="G61" s="334" t="s">
        <v>983</v>
      </c>
      <c r="H61" s="340"/>
      <c r="I61" s="330"/>
      <c r="J61" s="340">
        <v>12000</v>
      </c>
      <c r="K61" s="340">
        <v>12000</v>
      </c>
      <c r="L61" s="878"/>
      <c r="M61" s="878"/>
      <c r="N61" s="878"/>
      <c r="O61" s="878"/>
      <c r="P61" s="878"/>
      <c r="Q61" s="332">
        <v>12000</v>
      </c>
      <c r="R61" s="872"/>
    </row>
    <row r="62" spans="1:18" ht="24" x14ac:dyDescent="0.2">
      <c r="A62" s="875"/>
      <c r="B62" s="325" t="s">
        <v>973</v>
      </c>
      <c r="C62" s="325" t="s">
        <v>974</v>
      </c>
      <c r="D62" s="326" t="s">
        <v>984</v>
      </c>
      <c r="E62" s="327" t="s">
        <v>896</v>
      </c>
      <c r="F62" s="867"/>
      <c r="G62" s="334" t="s">
        <v>985</v>
      </c>
      <c r="H62" s="340"/>
      <c r="I62" s="330"/>
      <c r="J62" s="340">
        <v>10130</v>
      </c>
      <c r="K62" s="340">
        <v>10130</v>
      </c>
      <c r="L62" s="878"/>
      <c r="M62" s="878"/>
      <c r="N62" s="878"/>
      <c r="O62" s="878"/>
      <c r="P62" s="878"/>
      <c r="Q62" s="332">
        <v>10130</v>
      </c>
      <c r="R62" s="872"/>
    </row>
    <row r="63" spans="1:18" ht="17.25" customHeight="1" x14ac:dyDescent="0.2">
      <c r="A63" s="875"/>
      <c r="B63" s="325" t="s">
        <v>973</v>
      </c>
      <c r="C63" s="325" t="s">
        <v>974</v>
      </c>
      <c r="D63" s="326" t="s">
        <v>876</v>
      </c>
      <c r="E63" s="327" t="s">
        <v>896</v>
      </c>
      <c r="F63" s="867"/>
      <c r="G63" s="334" t="s">
        <v>493</v>
      </c>
      <c r="H63" s="340"/>
      <c r="I63" s="329"/>
      <c r="J63" s="340">
        <v>62000</v>
      </c>
      <c r="K63" s="331">
        <v>41715</v>
      </c>
      <c r="L63" s="878"/>
      <c r="M63" s="878"/>
      <c r="N63" s="878"/>
      <c r="O63" s="878"/>
      <c r="P63" s="878"/>
      <c r="Q63" s="332">
        <v>0</v>
      </c>
      <c r="R63" s="872"/>
    </row>
    <row r="64" spans="1:18" ht="24" x14ac:dyDescent="0.2">
      <c r="A64" s="875"/>
      <c r="B64" s="325" t="s">
        <v>973</v>
      </c>
      <c r="C64" s="325" t="s">
        <v>974</v>
      </c>
      <c r="D64" s="326" t="s">
        <v>986</v>
      </c>
      <c r="E64" s="327" t="s">
        <v>896</v>
      </c>
      <c r="F64" s="867"/>
      <c r="G64" s="334" t="s">
        <v>987</v>
      </c>
      <c r="H64" s="340"/>
      <c r="I64" s="330"/>
      <c r="J64" s="340"/>
      <c r="K64" s="329">
        <v>218</v>
      </c>
      <c r="L64" s="878"/>
      <c r="M64" s="878"/>
      <c r="N64" s="878"/>
      <c r="O64" s="878"/>
      <c r="P64" s="878"/>
      <c r="Q64" s="332">
        <v>218</v>
      </c>
      <c r="R64" s="872"/>
    </row>
    <row r="65" spans="1:18" ht="24" x14ac:dyDescent="0.2">
      <c r="A65" s="875"/>
      <c r="B65" s="325" t="s">
        <v>973</v>
      </c>
      <c r="C65" s="325" t="s">
        <v>974</v>
      </c>
      <c r="D65" s="326" t="s">
        <v>988</v>
      </c>
      <c r="E65" s="327" t="s">
        <v>896</v>
      </c>
      <c r="F65" s="867"/>
      <c r="G65" s="334" t="s">
        <v>989</v>
      </c>
      <c r="H65" s="340"/>
      <c r="I65" s="330"/>
      <c r="J65" s="340"/>
      <c r="K65" s="329">
        <v>20000</v>
      </c>
      <c r="L65" s="878"/>
      <c r="M65" s="878"/>
      <c r="N65" s="878"/>
      <c r="O65" s="878"/>
      <c r="P65" s="878"/>
      <c r="Q65" s="332">
        <v>15000</v>
      </c>
      <c r="R65" s="872"/>
    </row>
    <row r="66" spans="1:18" ht="24" x14ac:dyDescent="0.2">
      <c r="A66" s="875"/>
      <c r="B66" s="325" t="s">
        <v>973</v>
      </c>
      <c r="C66" s="325" t="s">
        <v>974</v>
      </c>
      <c r="D66" s="326"/>
      <c r="E66" s="327" t="s">
        <v>990</v>
      </c>
      <c r="F66" s="867"/>
      <c r="G66" s="334" t="s">
        <v>991</v>
      </c>
      <c r="H66" s="342"/>
      <c r="I66" s="330"/>
      <c r="J66" s="340"/>
      <c r="K66" s="340">
        <v>30000</v>
      </c>
      <c r="L66" s="878"/>
      <c r="M66" s="878"/>
      <c r="N66" s="878"/>
      <c r="O66" s="878"/>
      <c r="P66" s="878"/>
      <c r="Q66" s="332">
        <v>0</v>
      </c>
      <c r="R66" s="872"/>
    </row>
    <row r="67" spans="1:18" ht="24" x14ac:dyDescent="0.2">
      <c r="A67" s="875"/>
      <c r="B67" s="325" t="s">
        <v>973</v>
      </c>
      <c r="C67" s="325" t="s">
        <v>974</v>
      </c>
      <c r="D67" s="326" t="s">
        <v>876</v>
      </c>
      <c r="E67" s="338" t="s">
        <v>896</v>
      </c>
      <c r="F67" s="867"/>
      <c r="G67" s="334" t="s">
        <v>992</v>
      </c>
      <c r="H67" s="342"/>
      <c r="I67" s="330"/>
      <c r="J67" s="340"/>
      <c r="K67" s="340">
        <v>18000</v>
      </c>
      <c r="L67" s="878"/>
      <c r="M67" s="878"/>
      <c r="N67" s="878"/>
      <c r="O67" s="878"/>
      <c r="P67" s="878"/>
      <c r="Q67" s="332">
        <v>0</v>
      </c>
      <c r="R67" s="872"/>
    </row>
    <row r="68" spans="1:18" ht="48" x14ac:dyDescent="0.2">
      <c r="A68" s="875"/>
      <c r="B68" s="325" t="s">
        <v>973</v>
      </c>
      <c r="C68" s="325" t="s">
        <v>974</v>
      </c>
      <c r="D68" s="326" t="s">
        <v>876</v>
      </c>
      <c r="E68" s="338" t="s">
        <v>896</v>
      </c>
      <c r="F68" s="867"/>
      <c r="G68" s="334" t="s">
        <v>993</v>
      </c>
      <c r="H68" s="342"/>
      <c r="I68" s="330"/>
      <c r="J68" s="340"/>
      <c r="K68" s="340">
        <v>22000</v>
      </c>
      <c r="L68" s="878"/>
      <c r="M68" s="878"/>
      <c r="N68" s="878"/>
      <c r="O68" s="878"/>
      <c r="P68" s="878"/>
      <c r="Q68" s="332">
        <v>0</v>
      </c>
      <c r="R68" s="872"/>
    </row>
    <row r="69" spans="1:18" ht="36" x14ac:dyDescent="0.2">
      <c r="A69" s="875"/>
      <c r="B69" s="325" t="s">
        <v>973</v>
      </c>
      <c r="C69" s="325" t="s">
        <v>974</v>
      </c>
      <c r="D69" s="326" t="s">
        <v>994</v>
      </c>
      <c r="E69" s="338" t="s">
        <v>896</v>
      </c>
      <c r="F69" s="867"/>
      <c r="G69" s="334" t="s">
        <v>995</v>
      </c>
      <c r="H69" s="342"/>
      <c r="I69" s="330"/>
      <c r="J69" s="340"/>
      <c r="K69" s="340">
        <v>8000</v>
      </c>
      <c r="L69" s="878"/>
      <c r="M69" s="878"/>
      <c r="N69" s="878"/>
      <c r="O69" s="878"/>
      <c r="P69" s="878"/>
      <c r="Q69" s="332">
        <v>0</v>
      </c>
      <c r="R69" s="872"/>
    </row>
    <row r="70" spans="1:18" ht="24" x14ac:dyDescent="0.2">
      <c r="A70" s="875"/>
      <c r="B70" s="325" t="s">
        <v>973</v>
      </c>
      <c r="C70" s="325" t="s">
        <v>974</v>
      </c>
      <c r="D70" s="326" t="s">
        <v>996</v>
      </c>
      <c r="E70" s="338" t="s">
        <v>896</v>
      </c>
      <c r="F70" s="867"/>
      <c r="G70" s="334" t="s">
        <v>997</v>
      </c>
      <c r="H70" s="342"/>
      <c r="I70" s="330"/>
      <c r="J70" s="340"/>
      <c r="K70" s="340">
        <v>22000</v>
      </c>
      <c r="L70" s="878"/>
      <c r="M70" s="878"/>
      <c r="N70" s="878"/>
      <c r="O70" s="878"/>
      <c r="P70" s="878"/>
      <c r="Q70" s="332">
        <v>0</v>
      </c>
      <c r="R70" s="872"/>
    </row>
    <row r="71" spans="1:18" ht="24" x14ac:dyDescent="0.2">
      <c r="A71" s="875"/>
      <c r="B71" s="325" t="s">
        <v>973</v>
      </c>
      <c r="C71" s="325" t="s">
        <v>974</v>
      </c>
      <c r="D71" s="326" t="s">
        <v>998</v>
      </c>
      <c r="E71" s="338" t="s">
        <v>896</v>
      </c>
      <c r="F71" s="867"/>
      <c r="G71" s="334" t="s">
        <v>999</v>
      </c>
      <c r="H71" s="342"/>
      <c r="I71" s="330"/>
      <c r="J71" s="340"/>
      <c r="K71" s="340">
        <v>1300</v>
      </c>
      <c r="L71" s="878"/>
      <c r="M71" s="878"/>
      <c r="N71" s="878"/>
      <c r="O71" s="878"/>
      <c r="P71" s="878"/>
      <c r="Q71" s="332">
        <v>0</v>
      </c>
      <c r="R71" s="872"/>
    </row>
    <row r="72" spans="1:18" ht="24" x14ac:dyDescent="0.2">
      <c r="A72" s="875"/>
      <c r="B72" s="325" t="s">
        <v>973</v>
      </c>
      <c r="C72" s="325" t="s">
        <v>974</v>
      </c>
      <c r="D72" s="326" t="s">
        <v>1000</v>
      </c>
      <c r="E72" s="338" t="s">
        <v>896</v>
      </c>
      <c r="F72" s="867"/>
      <c r="G72" s="334" t="s">
        <v>1001</v>
      </c>
      <c r="H72" s="342"/>
      <c r="I72" s="330"/>
      <c r="J72" s="340"/>
      <c r="K72" s="340">
        <v>19600</v>
      </c>
      <c r="L72" s="878"/>
      <c r="M72" s="878"/>
      <c r="N72" s="878"/>
      <c r="O72" s="878"/>
      <c r="P72" s="878"/>
      <c r="Q72" s="332">
        <v>7070</v>
      </c>
      <c r="R72" s="872"/>
    </row>
    <row r="73" spans="1:18" ht="15" customHeight="1" x14ac:dyDescent="0.2">
      <c r="A73" s="875"/>
      <c r="B73" s="325" t="s">
        <v>973</v>
      </c>
      <c r="C73" s="325" t="s">
        <v>974</v>
      </c>
      <c r="D73" s="326" t="s">
        <v>876</v>
      </c>
      <c r="E73" s="327">
        <v>0.27</v>
      </c>
      <c r="F73" s="867"/>
      <c r="G73" s="334" t="s">
        <v>492</v>
      </c>
      <c r="H73" s="340"/>
      <c r="I73" s="329">
        <v>73427</v>
      </c>
      <c r="J73" s="340">
        <v>25400</v>
      </c>
      <c r="K73" s="329">
        <v>25400</v>
      </c>
      <c r="L73" s="878"/>
      <c r="M73" s="878"/>
      <c r="N73" s="878"/>
      <c r="O73" s="878"/>
      <c r="P73" s="878"/>
      <c r="Q73" s="332">
        <v>0</v>
      </c>
      <c r="R73" s="872"/>
    </row>
    <row r="74" spans="1:18" ht="36" x14ac:dyDescent="0.2">
      <c r="A74" s="875"/>
      <c r="B74" s="325" t="s">
        <v>973</v>
      </c>
      <c r="C74" s="325" t="s">
        <v>1002</v>
      </c>
      <c r="D74" s="326" t="s">
        <v>1003</v>
      </c>
      <c r="E74" s="327" t="s">
        <v>896</v>
      </c>
      <c r="F74" s="867"/>
      <c r="G74" s="334" t="s">
        <v>1004</v>
      </c>
      <c r="H74" s="342"/>
      <c r="I74" s="330"/>
      <c r="J74" s="340">
        <v>36135</v>
      </c>
      <c r="K74" s="340">
        <v>36135</v>
      </c>
      <c r="L74" s="878"/>
      <c r="M74" s="878"/>
      <c r="N74" s="878"/>
      <c r="O74" s="878"/>
      <c r="P74" s="878"/>
      <c r="Q74" s="332">
        <v>0</v>
      </c>
      <c r="R74" s="872"/>
    </row>
    <row r="75" spans="1:18" ht="36" x14ac:dyDescent="0.2">
      <c r="A75" s="875"/>
      <c r="B75" s="325" t="s">
        <v>973</v>
      </c>
      <c r="C75" s="325" t="s">
        <v>1002</v>
      </c>
      <c r="D75" s="326" t="s">
        <v>1005</v>
      </c>
      <c r="E75" s="327" t="s">
        <v>896</v>
      </c>
      <c r="F75" s="867"/>
      <c r="G75" s="334" t="s">
        <v>756</v>
      </c>
      <c r="H75" s="340"/>
      <c r="I75" s="330"/>
      <c r="J75" s="340">
        <v>12687</v>
      </c>
      <c r="K75" s="340">
        <v>12687</v>
      </c>
      <c r="L75" s="878"/>
      <c r="M75" s="878"/>
      <c r="N75" s="878"/>
      <c r="O75" s="878"/>
      <c r="P75" s="878"/>
      <c r="Q75" s="332">
        <v>12687</v>
      </c>
      <c r="R75" s="872"/>
    </row>
    <row r="76" spans="1:18" ht="36" x14ac:dyDescent="0.2">
      <c r="A76" s="875"/>
      <c r="B76" s="325" t="s">
        <v>973</v>
      </c>
      <c r="C76" s="325" t="s">
        <v>1002</v>
      </c>
      <c r="D76" s="326" t="s">
        <v>1006</v>
      </c>
      <c r="E76" s="327" t="s">
        <v>896</v>
      </c>
      <c r="F76" s="867"/>
      <c r="G76" s="334" t="s">
        <v>757</v>
      </c>
      <c r="H76" s="340"/>
      <c r="I76" s="330"/>
      <c r="J76" s="340">
        <v>23000</v>
      </c>
      <c r="K76" s="340">
        <v>23000</v>
      </c>
      <c r="L76" s="878"/>
      <c r="M76" s="878"/>
      <c r="N76" s="878"/>
      <c r="O76" s="878"/>
      <c r="P76" s="878"/>
      <c r="Q76" s="332">
        <v>8500</v>
      </c>
      <c r="R76" s="872"/>
    </row>
    <row r="77" spans="1:18" ht="36" x14ac:dyDescent="0.2">
      <c r="A77" s="875"/>
      <c r="B77" s="325" t="s">
        <v>973</v>
      </c>
      <c r="C77" s="325" t="s">
        <v>1002</v>
      </c>
      <c r="D77" s="326" t="s">
        <v>1007</v>
      </c>
      <c r="E77" s="327" t="s">
        <v>896</v>
      </c>
      <c r="F77" s="867"/>
      <c r="G77" s="334" t="s">
        <v>752</v>
      </c>
      <c r="H77" s="340"/>
      <c r="I77" s="330"/>
      <c r="J77" s="340">
        <v>13800</v>
      </c>
      <c r="K77" s="340">
        <v>13800</v>
      </c>
      <c r="L77" s="878"/>
      <c r="M77" s="878"/>
      <c r="N77" s="878"/>
      <c r="O77" s="878"/>
      <c r="P77" s="878"/>
      <c r="Q77" s="332">
        <v>13800</v>
      </c>
      <c r="R77" s="872"/>
    </row>
    <row r="78" spans="1:18" ht="24" x14ac:dyDescent="0.2">
      <c r="A78" s="875"/>
      <c r="B78" s="325" t="s">
        <v>973</v>
      </c>
      <c r="C78" s="325" t="s">
        <v>1002</v>
      </c>
      <c r="D78" s="326" t="s">
        <v>1008</v>
      </c>
      <c r="E78" s="327" t="s">
        <v>896</v>
      </c>
      <c r="F78" s="877"/>
      <c r="G78" s="334" t="s">
        <v>758</v>
      </c>
      <c r="H78" s="340"/>
      <c r="I78" s="330"/>
      <c r="J78" s="340">
        <v>8517</v>
      </c>
      <c r="K78" s="340">
        <v>8517</v>
      </c>
      <c r="L78" s="878"/>
      <c r="M78" s="878"/>
      <c r="N78" s="878"/>
      <c r="O78" s="878"/>
      <c r="P78" s="878"/>
      <c r="Q78" s="332">
        <v>8517</v>
      </c>
      <c r="R78" s="872"/>
    </row>
    <row r="79" spans="1:18" ht="36" x14ac:dyDescent="0.2">
      <c r="A79" s="875"/>
      <c r="B79" s="325" t="s">
        <v>973</v>
      </c>
      <c r="C79" s="325" t="s">
        <v>1009</v>
      </c>
      <c r="D79" s="326" t="s">
        <v>1010</v>
      </c>
      <c r="E79" s="327">
        <v>0.27</v>
      </c>
      <c r="F79" s="865" t="s">
        <v>1011</v>
      </c>
      <c r="G79" s="334" t="s">
        <v>494</v>
      </c>
      <c r="H79" s="340">
        <v>5018</v>
      </c>
      <c r="I79" s="340">
        <v>5018</v>
      </c>
      <c r="J79" s="330"/>
      <c r="K79" s="330"/>
      <c r="L79" s="878"/>
      <c r="M79" s="878"/>
      <c r="N79" s="878"/>
      <c r="O79" s="878"/>
      <c r="P79" s="878"/>
      <c r="Q79" s="332">
        <v>5017</v>
      </c>
      <c r="R79" s="872"/>
    </row>
    <row r="80" spans="1:18" ht="36" x14ac:dyDescent="0.2">
      <c r="A80" s="875"/>
      <c r="B80" s="325" t="s">
        <v>973</v>
      </c>
      <c r="C80" s="325" t="s">
        <v>1009</v>
      </c>
      <c r="D80" s="326" t="s">
        <v>1012</v>
      </c>
      <c r="E80" s="327">
        <v>0.27</v>
      </c>
      <c r="F80" s="867"/>
      <c r="G80" s="334" t="s">
        <v>495</v>
      </c>
      <c r="H80" s="340">
        <v>5018</v>
      </c>
      <c r="I80" s="340">
        <v>5018</v>
      </c>
      <c r="J80" s="330"/>
      <c r="K80" s="330"/>
      <c r="L80" s="878"/>
      <c r="M80" s="878"/>
      <c r="N80" s="878"/>
      <c r="O80" s="878"/>
      <c r="P80" s="878"/>
      <c r="Q80" s="332">
        <v>5018</v>
      </c>
      <c r="R80" s="872"/>
    </row>
    <row r="81" spans="1:18" ht="36" x14ac:dyDescent="0.2">
      <c r="A81" s="875"/>
      <c r="B81" s="325" t="s">
        <v>973</v>
      </c>
      <c r="C81" s="325" t="s">
        <v>1009</v>
      </c>
      <c r="D81" s="326" t="s">
        <v>1013</v>
      </c>
      <c r="E81" s="327">
        <v>0.27</v>
      </c>
      <c r="F81" s="867"/>
      <c r="G81" s="341" t="s">
        <v>1014</v>
      </c>
      <c r="H81" s="340"/>
      <c r="I81" s="329">
        <v>170017</v>
      </c>
      <c r="J81" s="330"/>
      <c r="K81" s="330"/>
      <c r="L81" s="878"/>
      <c r="M81" s="878"/>
      <c r="N81" s="878"/>
      <c r="O81" s="878"/>
      <c r="P81" s="878"/>
      <c r="Q81" s="332">
        <v>170017</v>
      </c>
      <c r="R81" s="872"/>
    </row>
    <row r="82" spans="1:18" ht="36" x14ac:dyDescent="0.2">
      <c r="A82" s="875"/>
      <c r="B82" s="325" t="s">
        <v>973</v>
      </c>
      <c r="C82" s="325" t="s">
        <v>1009</v>
      </c>
      <c r="D82" s="326" t="s">
        <v>1015</v>
      </c>
      <c r="E82" s="327">
        <v>0.27</v>
      </c>
      <c r="F82" s="867"/>
      <c r="G82" s="341" t="s">
        <v>1016</v>
      </c>
      <c r="H82" s="340"/>
      <c r="I82" s="329">
        <v>170017</v>
      </c>
      <c r="J82" s="330"/>
      <c r="K82" s="330"/>
      <c r="L82" s="878"/>
      <c r="M82" s="878"/>
      <c r="N82" s="878"/>
      <c r="O82" s="878"/>
      <c r="P82" s="878"/>
      <c r="Q82" s="332">
        <v>170018</v>
      </c>
      <c r="R82" s="872"/>
    </row>
    <row r="83" spans="1:18" ht="24" x14ac:dyDescent="0.2">
      <c r="A83" s="875"/>
      <c r="B83" s="325" t="s">
        <v>973</v>
      </c>
      <c r="C83" s="325" t="s">
        <v>1009</v>
      </c>
      <c r="D83" s="326" t="s">
        <v>1017</v>
      </c>
      <c r="E83" s="327">
        <v>0.27</v>
      </c>
      <c r="F83" s="867"/>
      <c r="G83" s="341" t="s">
        <v>1018</v>
      </c>
      <c r="H83" s="340"/>
      <c r="I83" s="329">
        <v>-444</v>
      </c>
      <c r="J83" s="330"/>
      <c r="K83" s="330"/>
      <c r="L83" s="878"/>
      <c r="M83" s="878"/>
      <c r="N83" s="878"/>
      <c r="O83" s="878"/>
      <c r="P83" s="878"/>
      <c r="Q83" s="332">
        <v>-444</v>
      </c>
      <c r="R83" s="873"/>
    </row>
    <row r="84" spans="1:18" ht="54" customHeight="1" x14ac:dyDescent="0.2">
      <c r="A84" s="343" t="s">
        <v>496</v>
      </c>
      <c r="B84" s="325" t="s">
        <v>973</v>
      </c>
      <c r="C84" s="325" t="s">
        <v>1019</v>
      </c>
      <c r="D84" s="326" t="s">
        <v>876</v>
      </c>
      <c r="E84" s="327">
        <v>0.27</v>
      </c>
      <c r="F84" s="344" t="s">
        <v>497</v>
      </c>
      <c r="G84" s="328" t="s">
        <v>498</v>
      </c>
      <c r="H84" s="340"/>
      <c r="I84" s="330"/>
      <c r="J84" s="329">
        <v>1000</v>
      </c>
      <c r="K84" s="329">
        <v>1000</v>
      </c>
      <c r="L84" s="345">
        <f>SUM(H84)</f>
        <v>0</v>
      </c>
      <c r="M84" s="331">
        <f>SUM(I84)</f>
        <v>0</v>
      </c>
      <c r="N84" s="331">
        <f>SUM(J84)</f>
        <v>1000</v>
      </c>
      <c r="O84" s="331">
        <f>SUM(K84)</f>
        <v>1000</v>
      </c>
      <c r="P84" s="345">
        <f>SUM(M84,O84)</f>
        <v>1000</v>
      </c>
      <c r="Q84" s="332">
        <v>0</v>
      </c>
      <c r="R84" s="345">
        <f>SUBTOTAL(9,Q84)</f>
        <v>0</v>
      </c>
    </row>
    <row r="85" spans="1:18" ht="15.75" customHeight="1" x14ac:dyDescent="0.2">
      <c r="A85" s="879" t="s">
        <v>1020</v>
      </c>
      <c r="B85" s="325" t="s">
        <v>973</v>
      </c>
      <c r="C85" s="325" t="s">
        <v>1019</v>
      </c>
      <c r="D85" s="326" t="s">
        <v>876</v>
      </c>
      <c r="E85" s="327">
        <v>0.27</v>
      </c>
      <c r="F85" s="868" t="s">
        <v>1021</v>
      </c>
      <c r="G85" s="328" t="s">
        <v>1022</v>
      </c>
      <c r="H85" s="340"/>
      <c r="I85" s="331">
        <v>0</v>
      </c>
      <c r="J85" s="329"/>
      <c r="K85" s="331"/>
      <c r="L85" s="871">
        <f>SUM(H85:H89)</f>
        <v>0</v>
      </c>
      <c r="M85" s="871">
        <f>SUM(I85:I89)</f>
        <v>38000</v>
      </c>
      <c r="N85" s="871">
        <f>SUM(J85:J89)</f>
        <v>0</v>
      </c>
      <c r="O85" s="871">
        <f>SUM(K85:K89)</f>
        <v>0</v>
      </c>
      <c r="P85" s="871">
        <f>SUM(M85,O85)</f>
        <v>38000</v>
      </c>
      <c r="Q85" s="332">
        <v>0</v>
      </c>
      <c r="R85" s="871">
        <f>SUBTOTAL(9,Q85:Q89)</f>
        <v>19685</v>
      </c>
    </row>
    <row r="86" spans="1:18" ht="24" x14ac:dyDescent="0.2">
      <c r="A86" s="880"/>
      <c r="B86" s="325" t="s">
        <v>973</v>
      </c>
      <c r="C86" s="325" t="s">
        <v>1019</v>
      </c>
      <c r="D86" s="346" t="s">
        <v>1023</v>
      </c>
      <c r="E86" s="327">
        <v>0.27</v>
      </c>
      <c r="F86" s="869"/>
      <c r="G86" s="334" t="s">
        <v>1024</v>
      </c>
      <c r="H86" s="340"/>
      <c r="I86" s="329">
        <v>9842</v>
      </c>
      <c r="J86" s="329"/>
      <c r="K86" s="329"/>
      <c r="L86" s="872"/>
      <c r="M86" s="872"/>
      <c r="N86" s="872"/>
      <c r="O86" s="872"/>
      <c r="P86" s="872"/>
      <c r="Q86" s="332">
        <v>9843</v>
      </c>
      <c r="R86" s="872"/>
    </row>
    <row r="87" spans="1:18" ht="27.75" customHeight="1" x14ac:dyDescent="0.2">
      <c r="A87" s="880"/>
      <c r="B87" s="325" t="s">
        <v>973</v>
      </c>
      <c r="C87" s="325" t="s">
        <v>1019</v>
      </c>
      <c r="D87" s="346" t="s">
        <v>1025</v>
      </c>
      <c r="E87" s="327">
        <v>0.27</v>
      </c>
      <c r="F87" s="869"/>
      <c r="G87" s="334" t="s">
        <v>1026</v>
      </c>
      <c r="H87" s="340"/>
      <c r="I87" s="329">
        <v>9843</v>
      </c>
      <c r="J87" s="329"/>
      <c r="K87" s="329"/>
      <c r="L87" s="872"/>
      <c r="M87" s="872"/>
      <c r="N87" s="872"/>
      <c r="O87" s="872"/>
      <c r="P87" s="872"/>
      <c r="Q87" s="332">
        <v>9842</v>
      </c>
      <c r="R87" s="872"/>
    </row>
    <row r="88" spans="1:18" ht="24" x14ac:dyDescent="0.2">
      <c r="A88" s="880"/>
      <c r="B88" s="325" t="s">
        <v>973</v>
      </c>
      <c r="C88" s="325" t="s">
        <v>1019</v>
      </c>
      <c r="D88" s="346" t="s">
        <v>1027</v>
      </c>
      <c r="E88" s="327">
        <v>0.27</v>
      </c>
      <c r="F88" s="869"/>
      <c r="G88" s="334" t="s">
        <v>1028</v>
      </c>
      <c r="H88" s="340"/>
      <c r="I88" s="329">
        <v>9842</v>
      </c>
      <c r="J88" s="329"/>
      <c r="K88" s="329"/>
      <c r="L88" s="872"/>
      <c r="M88" s="872"/>
      <c r="N88" s="872"/>
      <c r="O88" s="872"/>
      <c r="P88" s="872"/>
      <c r="Q88" s="332">
        <v>0</v>
      </c>
      <c r="R88" s="872"/>
    </row>
    <row r="89" spans="1:18" ht="28.5" customHeight="1" x14ac:dyDescent="0.2">
      <c r="A89" s="880"/>
      <c r="B89" s="325" t="s">
        <v>973</v>
      </c>
      <c r="C89" s="325" t="s">
        <v>1019</v>
      </c>
      <c r="D89" s="346" t="s">
        <v>1029</v>
      </c>
      <c r="E89" s="327">
        <v>0.27</v>
      </c>
      <c r="F89" s="869"/>
      <c r="G89" s="334" t="s">
        <v>1026</v>
      </c>
      <c r="H89" s="340"/>
      <c r="I89" s="329">
        <v>8473</v>
      </c>
      <c r="J89" s="329"/>
      <c r="K89" s="329"/>
      <c r="L89" s="872"/>
      <c r="M89" s="872"/>
      <c r="N89" s="872"/>
      <c r="O89" s="872"/>
      <c r="P89" s="872"/>
      <c r="Q89" s="332">
        <v>0</v>
      </c>
      <c r="R89" s="873"/>
    </row>
    <row r="90" spans="1:18" ht="27" customHeight="1" x14ac:dyDescent="0.2">
      <c r="A90" s="879" t="s">
        <v>499</v>
      </c>
      <c r="B90" s="325" t="s">
        <v>973</v>
      </c>
      <c r="C90" s="347" t="s">
        <v>1019</v>
      </c>
      <c r="D90" s="348" t="s">
        <v>1030</v>
      </c>
      <c r="E90" s="338" t="s">
        <v>1031</v>
      </c>
      <c r="F90" s="865" t="s">
        <v>1032</v>
      </c>
      <c r="G90" s="349" t="s">
        <v>500</v>
      </c>
      <c r="H90" s="340">
        <v>52314</v>
      </c>
      <c r="I90" s="340">
        <v>52314</v>
      </c>
      <c r="J90" s="330"/>
      <c r="K90" s="329"/>
      <c r="L90" s="881">
        <f>SUM(H90:H98)</f>
        <v>254695</v>
      </c>
      <c r="M90" s="871">
        <f>SUM(I90:I98)</f>
        <v>194540</v>
      </c>
      <c r="N90" s="871">
        <f>SUM(J90:J98)</f>
        <v>0</v>
      </c>
      <c r="O90" s="871">
        <f>SUM(K90:K98)</f>
        <v>0</v>
      </c>
      <c r="P90" s="881">
        <f>SUM(M90,O90)</f>
        <v>194540</v>
      </c>
      <c r="Q90" s="332">
        <v>44841</v>
      </c>
      <c r="R90" s="881">
        <f>SUBTOTAL(9,Q90:Q98)</f>
        <v>49368</v>
      </c>
    </row>
    <row r="91" spans="1:18" ht="36" x14ac:dyDescent="0.2">
      <c r="A91" s="880"/>
      <c r="B91" s="325" t="s">
        <v>973</v>
      </c>
      <c r="C91" s="347" t="s">
        <v>1019</v>
      </c>
      <c r="D91" s="348" t="s">
        <v>1033</v>
      </c>
      <c r="E91" s="327">
        <v>0.27</v>
      </c>
      <c r="F91" s="867"/>
      <c r="G91" s="349" t="s">
        <v>501</v>
      </c>
      <c r="H91" s="329">
        <v>2381</v>
      </c>
      <c r="I91" s="329">
        <v>2381</v>
      </c>
      <c r="J91" s="330"/>
      <c r="K91" s="329"/>
      <c r="L91" s="882"/>
      <c r="M91" s="872"/>
      <c r="N91" s="872"/>
      <c r="O91" s="872"/>
      <c r="P91" s="882"/>
      <c r="Q91" s="332">
        <v>2381</v>
      </c>
      <c r="R91" s="882"/>
    </row>
    <row r="92" spans="1:18" x14ac:dyDescent="0.2">
      <c r="A92" s="880"/>
      <c r="B92" s="325" t="s">
        <v>973</v>
      </c>
      <c r="C92" s="347" t="s">
        <v>1019</v>
      </c>
      <c r="D92" s="348" t="s">
        <v>1034</v>
      </c>
      <c r="E92" s="338" t="s">
        <v>1031</v>
      </c>
      <c r="F92" s="867"/>
      <c r="G92" s="350" t="s">
        <v>1035</v>
      </c>
      <c r="H92" s="329">
        <v>200000</v>
      </c>
      <c r="I92" s="331">
        <v>87775</v>
      </c>
      <c r="J92" s="330"/>
      <c r="K92" s="329"/>
      <c r="L92" s="882"/>
      <c r="M92" s="872"/>
      <c r="N92" s="872"/>
      <c r="O92" s="872"/>
      <c r="P92" s="882"/>
      <c r="Q92" s="332">
        <v>0</v>
      </c>
      <c r="R92" s="882"/>
    </row>
    <row r="93" spans="1:18" x14ac:dyDescent="0.2">
      <c r="A93" s="880"/>
      <c r="B93" s="325" t="s">
        <v>973</v>
      </c>
      <c r="C93" s="347" t="s">
        <v>1019</v>
      </c>
      <c r="D93" s="348"/>
      <c r="E93" s="338" t="s">
        <v>990</v>
      </c>
      <c r="F93" s="867"/>
      <c r="G93" s="349" t="s">
        <v>1036</v>
      </c>
      <c r="H93" s="329"/>
      <c r="I93" s="331">
        <v>-23622</v>
      </c>
      <c r="J93" s="330"/>
      <c r="K93" s="329"/>
      <c r="L93" s="882"/>
      <c r="M93" s="872"/>
      <c r="N93" s="872"/>
      <c r="O93" s="872"/>
      <c r="P93" s="882"/>
      <c r="Q93" s="332">
        <v>0</v>
      </c>
      <c r="R93" s="882"/>
    </row>
    <row r="94" spans="1:18" ht="24" x14ac:dyDescent="0.2">
      <c r="A94" s="880"/>
      <c r="B94" s="325" t="s">
        <v>973</v>
      </c>
      <c r="C94" s="347" t="s">
        <v>1019</v>
      </c>
      <c r="D94" s="348"/>
      <c r="E94" s="327" t="s">
        <v>990</v>
      </c>
      <c r="F94" s="867"/>
      <c r="G94" s="349" t="s">
        <v>1037</v>
      </c>
      <c r="H94" s="329"/>
      <c r="I94" s="331">
        <v>-61300</v>
      </c>
      <c r="J94" s="330"/>
      <c r="K94" s="329"/>
      <c r="L94" s="882"/>
      <c r="M94" s="872"/>
      <c r="N94" s="872"/>
      <c r="O94" s="872"/>
      <c r="P94" s="882"/>
      <c r="Q94" s="332">
        <v>0</v>
      </c>
      <c r="R94" s="882"/>
    </row>
    <row r="95" spans="1:18" ht="24" x14ac:dyDescent="0.2">
      <c r="A95" s="880"/>
      <c r="B95" s="325" t="s">
        <v>973</v>
      </c>
      <c r="C95" s="347" t="s">
        <v>1019</v>
      </c>
      <c r="D95" s="346" t="s">
        <v>1038</v>
      </c>
      <c r="E95" s="338" t="s">
        <v>1031</v>
      </c>
      <c r="F95" s="867"/>
      <c r="G95" s="351" t="s">
        <v>1039</v>
      </c>
      <c r="H95" s="329"/>
      <c r="I95" s="329">
        <v>112225</v>
      </c>
      <c r="J95" s="330"/>
      <c r="K95" s="329"/>
      <c r="L95" s="882"/>
      <c r="M95" s="872"/>
      <c r="N95" s="872"/>
      <c r="O95" s="872"/>
      <c r="P95" s="882"/>
      <c r="Q95" s="332">
        <v>0</v>
      </c>
      <c r="R95" s="882"/>
    </row>
    <row r="96" spans="1:18" ht="24" x14ac:dyDescent="0.2">
      <c r="A96" s="880"/>
      <c r="B96" s="325" t="s">
        <v>973</v>
      </c>
      <c r="C96" s="347" t="s">
        <v>1019</v>
      </c>
      <c r="D96" s="348" t="s">
        <v>1040</v>
      </c>
      <c r="E96" s="327">
        <v>0.27</v>
      </c>
      <c r="F96" s="867"/>
      <c r="G96" s="349" t="s">
        <v>1041</v>
      </c>
      <c r="H96" s="329"/>
      <c r="I96" s="329">
        <v>10884</v>
      </c>
      <c r="J96" s="330"/>
      <c r="K96" s="329"/>
      <c r="L96" s="882"/>
      <c r="M96" s="872"/>
      <c r="N96" s="872"/>
      <c r="O96" s="872"/>
      <c r="P96" s="882"/>
      <c r="Q96" s="332">
        <v>2146</v>
      </c>
      <c r="R96" s="882"/>
    </row>
    <row r="97" spans="1:18" ht="24" x14ac:dyDescent="0.2">
      <c r="A97" s="880"/>
      <c r="B97" s="325" t="s">
        <v>973</v>
      </c>
      <c r="C97" s="347" t="s">
        <v>1019</v>
      </c>
      <c r="D97" s="346" t="s">
        <v>1042</v>
      </c>
      <c r="E97" s="327">
        <v>0.27</v>
      </c>
      <c r="F97" s="867"/>
      <c r="G97" s="351" t="s">
        <v>1043</v>
      </c>
      <c r="H97" s="329"/>
      <c r="I97" s="329">
        <v>12700</v>
      </c>
      <c r="J97" s="330"/>
      <c r="K97" s="329"/>
      <c r="L97" s="882"/>
      <c r="M97" s="872"/>
      <c r="N97" s="872"/>
      <c r="O97" s="872"/>
      <c r="P97" s="882"/>
      <c r="Q97" s="332">
        <v>0</v>
      </c>
      <c r="R97" s="882"/>
    </row>
    <row r="98" spans="1:18" ht="24" x14ac:dyDescent="0.2">
      <c r="A98" s="880"/>
      <c r="B98" s="325" t="s">
        <v>973</v>
      </c>
      <c r="C98" s="347" t="s">
        <v>1019</v>
      </c>
      <c r="D98" s="346" t="s">
        <v>1044</v>
      </c>
      <c r="E98" s="327">
        <v>0.27</v>
      </c>
      <c r="F98" s="867"/>
      <c r="G98" s="352" t="s">
        <v>1045</v>
      </c>
      <c r="H98" s="329"/>
      <c r="I98" s="329">
        <v>1183</v>
      </c>
      <c r="J98" s="330"/>
      <c r="K98" s="329"/>
      <c r="L98" s="882"/>
      <c r="M98" s="872"/>
      <c r="N98" s="872"/>
      <c r="O98" s="872"/>
      <c r="P98" s="882"/>
      <c r="Q98" s="332">
        <v>0</v>
      </c>
      <c r="R98" s="883"/>
    </row>
    <row r="99" spans="1:18" ht="12.75" customHeight="1" x14ac:dyDescent="0.2">
      <c r="A99" s="865" t="s">
        <v>502</v>
      </c>
      <c r="B99" s="325" t="s">
        <v>973</v>
      </c>
      <c r="C99" s="325" t="s">
        <v>1019</v>
      </c>
      <c r="D99" s="353" t="s">
        <v>1046</v>
      </c>
      <c r="E99" s="338" t="s">
        <v>1031</v>
      </c>
      <c r="F99" s="865" t="s">
        <v>1344</v>
      </c>
      <c r="G99" s="334" t="s">
        <v>503</v>
      </c>
      <c r="H99" s="340">
        <v>85000</v>
      </c>
      <c r="I99" s="329">
        <v>85000</v>
      </c>
      <c r="J99" s="330"/>
      <c r="K99" s="329"/>
      <c r="L99" s="881">
        <f>SUM(H99:H106)</f>
        <v>108045</v>
      </c>
      <c r="M99" s="871">
        <f>SUM(I99:I106)</f>
        <v>216754</v>
      </c>
      <c r="N99" s="871">
        <f>SUM(J99:J106)</f>
        <v>0</v>
      </c>
      <c r="O99" s="871">
        <f>SUM(K99:K106)</f>
        <v>0</v>
      </c>
      <c r="P99" s="881">
        <f>SUM(M99,O99)</f>
        <v>216754</v>
      </c>
      <c r="Q99" s="332">
        <v>84800</v>
      </c>
      <c r="R99" s="881">
        <f>SUBTOTAL(9,Q99:Q106)</f>
        <v>107844</v>
      </c>
    </row>
    <row r="100" spans="1:18" ht="24" x14ac:dyDescent="0.2">
      <c r="A100" s="867"/>
      <c r="B100" s="325" t="s">
        <v>973</v>
      </c>
      <c r="C100" s="325" t="s">
        <v>1019</v>
      </c>
      <c r="D100" s="353" t="s">
        <v>1047</v>
      </c>
      <c r="E100" s="327">
        <v>0.27</v>
      </c>
      <c r="F100" s="867"/>
      <c r="G100" s="334" t="s">
        <v>504</v>
      </c>
      <c r="H100" s="340">
        <v>3048</v>
      </c>
      <c r="I100" s="340">
        <v>3048</v>
      </c>
      <c r="J100" s="330"/>
      <c r="K100" s="329"/>
      <c r="L100" s="882"/>
      <c r="M100" s="872"/>
      <c r="N100" s="872"/>
      <c r="O100" s="872"/>
      <c r="P100" s="882"/>
      <c r="Q100" s="332">
        <v>3048</v>
      </c>
      <c r="R100" s="882"/>
    </row>
    <row r="101" spans="1:18" ht="15" x14ac:dyDescent="0.2">
      <c r="A101" s="867"/>
      <c r="B101" s="325" t="s">
        <v>973</v>
      </c>
      <c r="C101" s="325" t="s">
        <v>1019</v>
      </c>
      <c r="D101" s="353" t="s">
        <v>1048</v>
      </c>
      <c r="E101" s="354" t="s">
        <v>1031</v>
      </c>
      <c r="F101" s="867"/>
      <c r="G101" s="334" t="s">
        <v>505</v>
      </c>
      <c r="H101" s="340">
        <v>14800</v>
      </c>
      <c r="I101" s="340">
        <v>14800</v>
      </c>
      <c r="J101" s="330"/>
      <c r="K101" s="329"/>
      <c r="L101" s="882"/>
      <c r="M101" s="872"/>
      <c r="N101" s="872"/>
      <c r="O101" s="872"/>
      <c r="P101" s="882"/>
      <c r="Q101" s="332">
        <v>14800</v>
      </c>
      <c r="R101" s="882"/>
    </row>
    <row r="102" spans="1:18" ht="24" x14ac:dyDescent="0.2">
      <c r="A102" s="867"/>
      <c r="B102" s="325" t="s">
        <v>973</v>
      </c>
      <c r="C102" s="325" t="s">
        <v>1019</v>
      </c>
      <c r="D102" s="326" t="s">
        <v>1049</v>
      </c>
      <c r="E102" s="327">
        <v>0.27</v>
      </c>
      <c r="F102" s="867"/>
      <c r="G102" s="334" t="s">
        <v>1050</v>
      </c>
      <c r="H102" s="340">
        <v>5197</v>
      </c>
      <c r="I102" s="329">
        <v>5197</v>
      </c>
      <c r="J102" s="330"/>
      <c r="K102" s="329"/>
      <c r="L102" s="882"/>
      <c r="M102" s="872"/>
      <c r="N102" s="872"/>
      <c r="O102" s="872"/>
      <c r="P102" s="882"/>
      <c r="Q102" s="332">
        <v>5196</v>
      </c>
      <c r="R102" s="882"/>
    </row>
    <row r="103" spans="1:18" ht="24" x14ac:dyDescent="0.2">
      <c r="A103" s="867"/>
      <c r="B103" s="325" t="s">
        <v>973</v>
      </c>
      <c r="C103" s="325" t="s">
        <v>1019</v>
      </c>
      <c r="D103" s="326" t="s">
        <v>1051</v>
      </c>
      <c r="E103" s="354" t="s">
        <v>1031</v>
      </c>
      <c r="F103" s="867"/>
      <c r="G103" s="334" t="s">
        <v>1052</v>
      </c>
      <c r="H103" s="340"/>
      <c r="I103" s="329">
        <v>87384</v>
      </c>
      <c r="J103" s="330"/>
      <c r="K103" s="329"/>
      <c r="L103" s="882"/>
      <c r="M103" s="872"/>
      <c r="N103" s="872"/>
      <c r="O103" s="872"/>
      <c r="P103" s="882"/>
      <c r="Q103" s="332">
        <v>0</v>
      </c>
      <c r="R103" s="882"/>
    </row>
    <row r="104" spans="1:18" ht="24" x14ac:dyDescent="0.2">
      <c r="A104" s="867"/>
      <c r="B104" s="325" t="s">
        <v>973</v>
      </c>
      <c r="C104" s="325" t="s">
        <v>1019</v>
      </c>
      <c r="D104" s="348" t="s">
        <v>1053</v>
      </c>
      <c r="E104" s="327">
        <v>0.27</v>
      </c>
      <c r="F104" s="867"/>
      <c r="G104" s="349" t="s">
        <v>1054</v>
      </c>
      <c r="H104" s="329"/>
      <c r="I104" s="329">
        <v>629</v>
      </c>
      <c r="J104" s="330"/>
      <c r="K104" s="329"/>
      <c r="L104" s="882"/>
      <c r="M104" s="872"/>
      <c r="N104" s="872"/>
      <c r="O104" s="872"/>
      <c r="P104" s="882"/>
      <c r="Q104" s="332">
        <v>0</v>
      </c>
      <c r="R104" s="882"/>
    </row>
    <row r="105" spans="1:18" ht="24" x14ac:dyDescent="0.2">
      <c r="A105" s="867"/>
      <c r="B105" s="325" t="s">
        <v>973</v>
      </c>
      <c r="C105" s="325" t="s">
        <v>1019</v>
      </c>
      <c r="D105" s="348" t="s">
        <v>1055</v>
      </c>
      <c r="E105" s="338" t="s">
        <v>1031</v>
      </c>
      <c r="F105" s="867"/>
      <c r="G105" s="349" t="s">
        <v>1056</v>
      </c>
      <c r="H105" s="329"/>
      <c r="I105" s="329">
        <v>14600</v>
      </c>
      <c r="J105" s="330"/>
      <c r="K105" s="329"/>
      <c r="L105" s="882"/>
      <c r="M105" s="872"/>
      <c r="N105" s="872"/>
      <c r="O105" s="872"/>
      <c r="P105" s="882"/>
      <c r="Q105" s="332">
        <v>0</v>
      </c>
      <c r="R105" s="882"/>
    </row>
    <row r="106" spans="1:18" x14ac:dyDescent="0.2">
      <c r="A106" s="867"/>
      <c r="B106" s="325"/>
      <c r="C106" s="325"/>
      <c r="D106" s="348"/>
      <c r="E106" s="327">
        <v>0.27</v>
      </c>
      <c r="F106" s="867"/>
      <c r="G106" s="349" t="s">
        <v>1057</v>
      </c>
      <c r="H106" s="329"/>
      <c r="I106" s="329">
        <v>6096</v>
      </c>
      <c r="J106" s="330"/>
      <c r="K106" s="329"/>
      <c r="L106" s="882"/>
      <c r="M106" s="872"/>
      <c r="N106" s="872"/>
      <c r="O106" s="872"/>
      <c r="P106" s="882"/>
      <c r="Q106" s="332">
        <v>0</v>
      </c>
      <c r="R106" s="883"/>
    </row>
    <row r="107" spans="1:18" ht="30.75" customHeight="1" x14ac:dyDescent="0.2">
      <c r="A107" s="865" t="s">
        <v>1058</v>
      </c>
      <c r="B107" s="325" t="s">
        <v>973</v>
      </c>
      <c r="C107" s="325" t="s">
        <v>1019</v>
      </c>
      <c r="D107" s="353" t="s">
        <v>1059</v>
      </c>
      <c r="E107" s="327">
        <v>0.27</v>
      </c>
      <c r="F107" s="333" t="s">
        <v>1060</v>
      </c>
      <c r="G107" s="355" t="s">
        <v>506</v>
      </c>
      <c r="H107" s="340"/>
      <c r="I107" s="340"/>
      <c r="J107" s="356">
        <v>63500</v>
      </c>
      <c r="K107" s="356">
        <v>63500</v>
      </c>
      <c r="L107" s="884">
        <f>SUM(H107:H164)</f>
        <v>0</v>
      </c>
      <c r="M107" s="884">
        <f>SUM(I107:I164)</f>
        <v>0</v>
      </c>
      <c r="N107" s="884">
        <f>SUM(J107:J164)</f>
        <v>311499</v>
      </c>
      <c r="O107" s="884">
        <f>SUM(K107:K164)</f>
        <v>340230</v>
      </c>
      <c r="P107" s="884">
        <f>SUM(M107,O107)</f>
        <v>340230</v>
      </c>
      <c r="Q107" s="332">
        <v>29283</v>
      </c>
      <c r="R107" s="884">
        <f>SUBTOTAL(9,Q107:Q164)</f>
        <v>168764</v>
      </c>
    </row>
    <row r="108" spans="1:18" x14ac:dyDescent="0.2">
      <c r="A108" s="866"/>
      <c r="B108" s="325" t="s">
        <v>973</v>
      </c>
      <c r="C108" s="325" t="s">
        <v>1019</v>
      </c>
      <c r="D108" s="353" t="s">
        <v>1061</v>
      </c>
      <c r="E108" s="338" t="s">
        <v>1031</v>
      </c>
      <c r="F108" s="333" t="s">
        <v>1062</v>
      </c>
      <c r="G108" s="357" t="s">
        <v>507</v>
      </c>
      <c r="H108" s="340"/>
      <c r="I108" s="340"/>
      <c r="J108" s="356">
        <v>6914</v>
      </c>
      <c r="K108" s="356">
        <v>6914</v>
      </c>
      <c r="L108" s="885"/>
      <c r="M108" s="885"/>
      <c r="N108" s="885"/>
      <c r="O108" s="885"/>
      <c r="P108" s="885"/>
      <c r="Q108" s="332">
        <v>6914</v>
      </c>
      <c r="R108" s="885"/>
    </row>
    <row r="109" spans="1:18" x14ac:dyDescent="0.2">
      <c r="A109" s="866"/>
      <c r="B109" s="325" t="s">
        <v>973</v>
      </c>
      <c r="C109" s="325" t="s">
        <v>1019</v>
      </c>
      <c r="D109" s="353" t="s">
        <v>1063</v>
      </c>
      <c r="E109" s="338" t="s">
        <v>1031</v>
      </c>
      <c r="F109" s="333" t="s">
        <v>1062</v>
      </c>
      <c r="G109" s="357" t="s">
        <v>508</v>
      </c>
      <c r="H109" s="340"/>
      <c r="I109" s="340"/>
      <c r="J109" s="356">
        <v>6914</v>
      </c>
      <c r="K109" s="356">
        <v>6914</v>
      </c>
      <c r="L109" s="885"/>
      <c r="M109" s="885"/>
      <c r="N109" s="885"/>
      <c r="O109" s="885"/>
      <c r="P109" s="885"/>
      <c r="Q109" s="332">
        <v>6914</v>
      </c>
      <c r="R109" s="885"/>
    </row>
    <row r="110" spans="1:18" x14ac:dyDescent="0.2">
      <c r="A110" s="866"/>
      <c r="B110" s="325" t="s">
        <v>973</v>
      </c>
      <c r="C110" s="325" t="s">
        <v>1019</v>
      </c>
      <c r="D110" s="353" t="s">
        <v>1064</v>
      </c>
      <c r="E110" s="338" t="s">
        <v>1031</v>
      </c>
      <c r="F110" s="333" t="s">
        <v>1062</v>
      </c>
      <c r="G110" s="357" t="s">
        <v>509</v>
      </c>
      <c r="H110" s="340"/>
      <c r="I110" s="340"/>
      <c r="J110" s="356">
        <v>5254</v>
      </c>
      <c r="K110" s="356">
        <v>5254</v>
      </c>
      <c r="L110" s="885"/>
      <c r="M110" s="885"/>
      <c r="N110" s="885"/>
      <c r="O110" s="885"/>
      <c r="P110" s="885"/>
      <c r="Q110" s="332">
        <v>5254</v>
      </c>
      <c r="R110" s="885"/>
    </row>
    <row r="111" spans="1:18" ht="24" x14ac:dyDescent="0.2">
      <c r="A111" s="866"/>
      <c r="B111" s="325" t="s">
        <v>973</v>
      </c>
      <c r="C111" s="325" t="s">
        <v>1019</v>
      </c>
      <c r="D111" s="353" t="s">
        <v>1065</v>
      </c>
      <c r="E111" s="338" t="s">
        <v>1031</v>
      </c>
      <c r="F111" s="333" t="s">
        <v>1062</v>
      </c>
      <c r="G111" s="334" t="s">
        <v>510</v>
      </c>
      <c r="H111" s="340"/>
      <c r="I111" s="340"/>
      <c r="J111" s="356">
        <v>10086</v>
      </c>
      <c r="K111" s="356">
        <v>10086</v>
      </c>
      <c r="L111" s="885"/>
      <c r="M111" s="885"/>
      <c r="N111" s="885"/>
      <c r="O111" s="885"/>
      <c r="P111" s="885"/>
      <c r="Q111" s="332">
        <v>10086</v>
      </c>
      <c r="R111" s="885"/>
    </row>
    <row r="112" spans="1:18" ht="24" x14ac:dyDescent="0.2">
      <c r="A112" s="866"/>
      <c r="B112" s="325" t="s">
        <v>973</v>
      </c>
      <c r="C112" s="325" t="s">
        <v>1019</v>
      </c>
      <c r="D112" s="353" t="s">
        <v>1066</v>
      </c>
      <c r="E112" s="338" t="s">
        <v>1031</v>
      </c>
      <c r="F112" s="333" t="s">
        <v>1062</v>
      </c>
      <c r="G112" s="334" t="s">
        <v>511</v>
      </c>
      <c r="H112" s="340"/>
      <c r="I112" s="340"/>
      <c r="J112" s="356">
        <v>6312</v>
      </c>
      <c r="K112" s="356">
        <v>6312</v>
      </c>
      <c r="L112" s="885"/>
      <c r="M112" s="885"/>
      <c r="N112" s="885"/>
      <c r="O112" s="885"/>
      <c r="P112" s="885"/>
      <c r="Q112" s="332">
        <v>6312</v>
      </c>
      <c r="R112" s="885"/>
    </row>
    <row r="113" spans="1:18" ht="24" x14ac:dyDescent="0.2">
      <c r="A113" s="866"/>
      <c r="B113" s="325" t="s">
        <v>973</v>
      </c>
      <c r="C113" s="325" t="s">
        <v>1019</v>
      </c>
      <c r="D113" s="353" t="s">
        <v>1067</v>
      </c>
      <c r="E113" s="338" t="s">
        <v>1031</v>
      </c>
      <c r="F113" s="333" t="s">
        <v>1062</v>
      </c>
      <c r="G113" s="334" t="s">
        <v>512</v>
      </c>
      <c r="H113" s="340"/>
      <c r="I113" s="340"/>
      <c r="J113" s="356">
        <v>8544</v>
      </c>
      <c r="K113" s="356">
        <v>8544</v>
      </c>
      <c r="L113" s="885"/>
      <c r="M113" s="885"/>
      <c r="N113" s="885"/>
      <c r="O113" s="885"/>
      <c r="P113" s="885"/>
      <c r="Q113" s="332">
        <v>8544</v>
      </c>
      <c r="R113" s="885"/>
    </row>
    <row r="114" spans="1:18" ht="24" x14ac:dyDescent="0.2">
      <c r="A114" s="866"/>
      <c r="B114" s="325" t="s">
        <v>973</v>
      </c>
      <c r="C114" s="325" t="s">
        <v>1019</v>
      </c>
      <c r="D114" s="353" t="s">
        <v>1068</v>
      </c>
      <c r="E114" s="338" t="s">
        <v>1031</v>
      </c>
      <c r="F114" s="333" t="s">
        <v>1062</v>
      </c>
      <c r="G114" s="334" t="s">
        <v>513</v>
      </c>
      <c r="H114" s="340"/>
      <c r="I114" s="340"/>
      <c r="J114" s="356">
        <v>5661</v>
      </c>
      <c r="K114" s="356">
        <v>5661</v>
      </c>
      <c r="L114" s="885"/>
      <c r="M114" s="885"/>
      <c r="N114" s="885"/>
      <c r="O114" s="885"/>
      <c r="P114" s="885"/>
      <c r="Q114" s="332">
        <v>5661</v>
      </c>
      <c r="R114" s="885"/>
    </row>
    <row r="115" spans="1:18" ht="24" x14ac:dyDescent="0.2">
      <c r="A115" s="866"/>
      <c r="B115" s="325" t="s">
        <v>973</v>
      </c>
      <c r="C115" s="325" t="s">
        <v>1019</v>
      </c>
      <c r="D115" s="353" t="s">
        <v>1069</v>
      </c>
      <c r="E115" s="338" t="s">
        <v>1031</v>
      </c>
      <c r="F115" s="333" t="s">
        <v>1062</v>
      </c>
      <c r="G115" s="334" t="s">
        <v>514</v>
      </c>
      <c r="H115" s="340"/>
      <c r="I115" s="340"/>
      <c r="J115" s="356">
        <v>11713</v>
      </c>
      <c r="K115" s="356">
        <v>11713</v>
      </c>
      <c r="L115" s="885"/>
      <c r="M115" s="885"/>
      <c r="N115" s="885"/>
      <c r="O115" s="885"/>
      <c r="P115" s="885"/>
      <c r="Q115" s="332">
        <v>11713</v>
      </c>
      <c r="R115" s="885"/>
    </row>
    <row r="116" spans="1:18" ht="24" x14ac:dyDescent="0.2">
      <c r="A116" s="867"/>
      <c r="B116" s="325" t="s">
        <v>973</v>
      </c>
      <c r="C116" s="325" t="s">
        <v>1019</v>
      </c>
      <c r="D116" s="353" t="s">
        <v>1070</v>
      </c>
      <c r="E116" s="327">
        <v>0.27</v>
      </c>
      <c r="F116" s="333" t="s">
        <v>1062</v>
      </c>
      <c r="G116" s="334" t="s">
        <v>515</v>
      </c>
      <c r="H116" s="340"/>
      <c r="I116" s="340"/>
      <c r="J116" s="356">
        <v>18810</v>
      </c>
      <c r="K116" s="356">
        <v>18810</v>
      </c>
      <c r="L116" s="885"/>
      <c r="M116" s="885"/>
      <c r="N116" s="885"/>
      <c r="O116" s="885"/>
      <c r="P116" s="885"/>
      <c r="Q116" s="332">
        <v>0</v>
      </c>
      <c r="R116" s="885"/>
    </row>
    <row r="117" spans="1:18" ht="39.75" customHeight="1" x14ac:dyDescent="0.2">
      <c r="A117" s="866"/>
      <c r="B117" s="325" t="s">
        <v>973</v>
      </c>
      <c r="C117" s="325" t="s">
        <v>1019</v>
      </c>
      <c r="D117" s="353" t="s">
        <v>1071</v>
      </c>
      <c r="E117" s="338" t="s">
        <v>1031</v>
      </c>
      <c r="F117" s="333" t="s">
        <v>1062</v>
      </c>
      <c r="G117" s="334" t="s">
        <v>516</v>
      </c>
      <c r="H117" s="340"/>
      <c r="I117" s="340"/>
      <c r="J117" s="356">
        <v>4465</v>
      </c>
      <c r="K117" s="356">
        <v>4465</v>
      </c>
      <c r="L117" s="885"/>
      <c r="M117" s="885"/>
      <c r="N117" s="885"/>
      <c r="O117" s="885"/>
      <c r="P117" s="885"/>
      <c r="Q117" s="332">
        <v>0</v>
      </c>
      <c r="R117" s="885"/>
    </row>
    <row r="118" spans="1:18" ht="29.25" customHeight="1" x14ac:dyDescent="0.2">
      <c r="A118" s="867"/>
      <c r="B118" s="325" t="s">
        <v>973</v>
      </c>
      <c r="C118" s="325" t="s">
        <v>1019</v>
      </c>
      <c r="D118" s="353" t="s">
        <v>1072</v>
      </c>
      <c r="E118" s="327">
        <v>0.27</v>
      </c>
      <c r="F118" s="333" t="s">
        <v>1062</v>
      </c>
      <c r="G118" s="334" t="s">
        <v>520</v>
      </c>
      <c r="H118" s="340"/>
      <c r="I118" s="340"/>
      <c r="J118" s="356">
        <v>11392</v>
      </c>
      <c r="K118" s="356">
        <v>11392</v>
      </c>
      <c r="L118" s="885"/>
      <c r="M118" s="885"/>
      <c r="N118" s="885"/>
      <c r="O118" s="885"/>
      <c r="P118" s="885"/>
      <c r="Q118" s="332">
        <v>0</v>
      </c>
      <c r="R118" s="885"/>
    </row>
    <row r="119" spans="1:18" ht="36" x14ac:dyDescent="0.2">
      <c r="A119" s="866"/>
      <c r="B119" s="325" t="s">
        <v>973</v>
      </c>
      <c r="C119" s="325" t="s">
        <v>1019</v>
      </c>
      <c r="D119" s="353" t="s">
        <v>1073</v>
      </c>
      <c r="E119" s="338" t="s">
        <v>1031</v>
      </c>
      <c r="F119" s="333" t="s">
        <v>1062</v>
      </c>
      <c r="G119" s="334" t="s">
        <v>521</v>
      </c>
      <c r="H119" s="340"/>
      <c r="I119" s="340"/>
      <c r="J119" s="356">
        <v>15518</v>
      </c>
      <c r="K119" s="356">
        <v>11517</v>
      </c>
      <c r="L119" s="885"/>
      <c r="M119" s="885"/>
      <c r="N119" s="885"/>
      <c r="O119" s="885"/>
      <c r="P119" s="885"/>
      <c r="Q119" s="332">
        <v>0</v>
      </c>
      <c r="R119" s="885"/>
    </row>
    <row r="120" spans="1:18" ht="24" x14ac:dyDescent="0.2">
      <c r="A120" s="867"/>
      <c r="B120" s="325" t="s">
        <v>973</v>
      </c>
      <c r="C120" s="325" t="s">
        <v>1019</v>
      </c>
      <c r="D120" s="353" t="s">
        <v>1074</v>
      </c>
      <c r="E120" s="327">
        <v>0.27</v>
      </c>
      <c r="F120" s="333" t="s">
        <v>1062</v>
      </c>
      <c r="G120" s="334" t="s">
        <v>522</v>
      </c>
      <c r="H120" s="340"/>
      <c r="I120" s="340"/>
      <c r="J120" s="356">
        <v>11306</v>
      </c>
      <c r="K120" s="356">
        <v>11306</v>
      </c>
      <c r="L120" s="885"/>
      <c r="M120" s="885"/>
      <c r="N120" s="885"/>
      <c r="O120" s="885"/>
      <c r="P120" s="885"/>
      <c r="Q120" s="332">
        <v>0</v>
      </c>
      <c r="R120" s="885"/>
    </row>
    <row r="121" spans="1:18" x14ac:dyDescent="0.2">
      <c r="A121" s="866"/>
      <c r="B121" s="325" t="s">
        <v>973</v>
      </c>
      <c r="C121" s="325" t="s">
        <v>1019</v>
      </c>
      <c r="D121" s="353" t="s">
        <v>1075</v>
      </c>
      <c r="E121" s="338" t="s">
        <v>1031</v>
      </c>
      <c r="F121" s="333" t="s">
        <v>1062</v>
      </c>
      <c r="G121" s="334" t="s">
        <v>517</v>
      </c>
      <c r="H121" s="340"/>
      <c r="I121" s="340"/>
      <c r="J121" s="356">
        <v>2700</v>
      </c>
      <c r="K121" s="356">
        <v>2700</v>
      </c>
      <c r="L121" s="885"/>
      <c r="M121" s="885"/>
      <c r="N121" s="885"/>
      <c r="O121" s="885"/>
      <c r="P121" s="885"/>
      <c r="Q121" s="332">
        <v>2700</v>
      </c>
      <c r="R121" s="885"/>
    </row>
    <row r="122" spans="1:18" ht="24" x14ac:dyDescent="0.2">
      <c r="A122" s="867"/>
      <c r="B122" s="325" t="s">
        <v>973</v>
      </c>
      <c r="C122" s="325" t="s">
        <v>1019</v>
      </c>
      <c r="D122" s="353" t="s">
        <v>1076</v>
      </c>
      <c r="E122" s="327">
        <v>0.27</v>
      </c>
      <c r="F122" s="358" t="s">
        <v>524</v>
      </c>
      <c r="G122" s="334" t="s">
        <v>526</v>
      </c>
      <c r="H122" s="340"/>
      <c r="I122" s="340"/>
      <c r="J122" s="356">
        <v>928</v>
      </c>
      <c r="K122" s="356">
        <v>928</v>
      </c>
      <c r="L122" s="885"/>
      <c r="M122" s="885"/>
      <c r="N122" s="885"/>
      <c r="O122" s="885"/>
      <c r="P122" s="885"/>
      <c r="Q122" s="332">
        <v>928</v>
      </c>
      <c r="R122" s="885"/>
    </row>
    <row r="123" spans="1:18" x14ac:dyDescent="0.2">
      <c r="A123" s="866"/>
      <c r="B123" s="325" t="s">
        <v>973</v>
      </c>
      <c r="C123" s="325" t="s">
        <v>1019</v>
      </c>
      <c r="D123" s="353" t="s">
        <v>1077</v>
      </c>
      <c r="E123" s="338" t="s">
        <v>1031</v>
      </c>
      <c r="F123" s="333" t="s">
        <v>1062</v>
      </c>
      <c r="G123" s="334" t="s">
        <v>518</v>
      </c>
      <c r="H123" s="340"/>
      <c r="I123" s="340"/>
      <c r="J123" s="356">
        <v>5247</v>
      </c>
      <c r="K123" s="356">
        <v>5247</v>
      </c>
      <c r="L123" s="885"/>
      <c r="M123" s="885"/>
      <c r="N123" s="885"/>
      <c r="O123" s="885"/>
      <c r="P123" s="885"/>
      <c r="Q123" s="332">
        <v>5247</v>
      </c>
      <c r="R123" s="885"/>
    </row>
    <row r="124" spans="1:18" x14ac:dyDescent="0.2">
      <c r="A124" s="866"/>
      <c r="B124" s="325" t="s">
        <v>973</v>
      </c>
      <c r="C124" s="325" t="s">
        <v>1019</v>
      </c>
      <c r="D124" s="353" t="s">
        <v>1078</v>
      </c>
      <c r="E124" s="338" t="s">
        <v>1031</v>
      </c>
      <c r="F124" s="333" t="s">
        <v>1062</v>
      </c>
      <c r="G124" s="334" t="s">
        <v>519</v>
      </c>
      <c r="H124" s="340"/>
      <c r="I124" s="340"/>
      <c r="J124" s="356">
        <v>7808</v>
      </c>
      <c r="K124" s="356">
        <v>7808</v>
      </c>
      <c r="L124" s="885"/>
      <c r="M124" s="885"/>
      <c r="N124" s="885"/>
      <c r="O124" s="885"/>
      <c r="P124" s="885"/>
      <c r="Q124" s="332">
        <v>7808</v>
      </c>
      <c r="R124" s="885"/>
    </row>
    <row r="125" spans="1:18" x14ac:dyDescent="0.2">
      <c r="A125" s="867"/>
      <c r="B125" s="325" t="s">
        <v>973</v>
      </c>
      <c r="C125" s="325" t="s">
        <v>1019</v>
      </c>
      <c r="D125" s="353" t="s">
        <v>1079</v>
      </c>
      <c r="E125" s="327">
        <v>0.27</v>
      </c>
      <c r="F125" s="333" t="s">
        <v>1062</v>
      </c>
      <c r="G125" s="359" t="s">
        <v>523</v>
      </c>
      <c r="H125" s="340"/>
      <c r="I125" s="340"/>
      <c r="J125" s="356">
        <v>1034</v>
      </c>
      <c r="K125" s="356">
        <v>1034</v>
      </c>
      <c r="L125" s="885"/>
      <c r="M125" s="885"/>
      <c r="N125" s="885"/>
      <c r="O125" s="885"/>
      <c r="P125" s="885"/>
      <c r="Q125" s="332">
        <v>0</v>
      </c>
      <c r="R125" s="885"/>
    </row>
    <row r="126" spans="1:18" ht="24" x14ac:dyDescent="0.2">
      <c r="A126" s="867"/>
      <c r="B126" s="325" t="s">
        <v>973</v>
      </c>
      <c r="C126" s="325" t="s">
        <v>1019</v>
      </c>
      <c r="D126" s="353" t="s">
        <v>1080</v>
      </c>
      <c r="E126" s="327">
        <v>0.27</v>
      </c>
      <c r="F126" s="358" t="s">
        <v>524</v>
      </c>
      <c r="G126" s="359" t="s">
        <v>525</v>
      </c>
      <c r="H126" s="340"/>
      <c r="I126" s="340"/>
      <c r="J126" s="356">
        <v>533</v>
      </c>
      <c r="K126" s="356">
        <v>0</v>
      </c>
      <c r="L126" s="885"/>
      <c r="M126" s="885"/>
      <c r="N126" s="885"/>
      <c r="O126" s="885"/>
      <c r="P126" s="886"/>
      <c r="Q126" s="332">
        <v>0</v>
      </c>
      <c r="R126" s="885"/>
    </row>
    <row r="127" spans="1:18" ht="24" x14ac:dyDescent="0.2">
      <c r="A127" s="867"/>
      <c r="B127" s="325" t="s">
        <v>973</v>
      </c>
      <c r="C127" s="325" t="s">
        <v>1019</v>
      </c>
      <c r="D127" s="353" t="s">
        <v>1081</v>
      </c>
      <c r="E127" s="327">
        <v>0.27</v>
      </c>
      <c r="F127" s="333" t="s">
        <v>1062</v>
      </c>
      <c r="G127" s="334" t="s">
        <v>527</v>
      </c>
      <c r="H127" s="340"/>
      <c r="I127" s="340"/>
      <c r="J127" s="356">
        <v>1763</v>
      </c>
      <c r="K127" s="356">
        <v>1763</v>
      </c>
      <c r="L127" s="885"/>
      <c r="M127" s="885"/>
      <c r="N127" s="885"/>
      <c r="O127" s="885"/>
      <c r="P127" s="886"/>
      <c r="Q127" s="332">
        <v>1762</v>
      </c>
      <c r="R127" s="885"/>
    </row>
    <row r="128" spans="1:18" ht="24" x14ac:dyDescent="0.2">
      <c r="A128" s="867"/>
      <c r="B128" s="325" t="s">
        <v>973</v>
      </c>
      <c r="C128" s="325" t="s">
        <v>1019</v>
      </c>
      <c r="D128" s="326" t="s">
        <v>1082</v>
      </c>
      <c r="E128" s="327">
        <v>0.27</v>
      </c>
      <c r="F128" s="333" t="s">
        <v>1062</v>
      </c>
      <c r="G128" s="359" t="s">
        <v>1083</v>
      </c>
      <c r="H128" s="340"/>
      <c r="I128" s="340"/>
      <c r="J128" s="356">
        <v>4634</v>
      </c>
      <c r="K128" s="356">
        <v>4634</v>
      </c>
      <c r="L128" s="885"/>
      <c r="M128" s="885"/>
      <c r="N128" s="885"/>
      <c r="O128" s="885"/>
      <c r="P128" s="886"/>
      <c r="Q128" s="332">
        <v>0</v>
      </c>
      <c r="R128" s="885"/>
    </row>
    <row r="129" spans="1:18" ht="24" x14ac:dyDescent="0.2">
      <c r="A129" s="867"/>
      <c r="B129" s="325" t="s">
        <v>973</v>
      </c>
      <c r="C129" s="325" t="s">
        <v>1019</v>
      </c>
      <c r="D129" s="326" t="s">
        <v>1084</v>
      </c>
      <c r="E129" s="327">
        <v>0.27</v>
      </c>
      <c r="F129" s="333" t="s">
        <v>1062</v>
      </c>
      <c r="G129" s="334" t="s">
        <v>1085</v>
      </c>
      <c r="H129" s="340"/>
      <c r="I129" s="340"/>
      <c r="J129" s="356">
        <v>1632</v>
      </c>
      <c r="K129" s="356">
        <v>1632</v>
      </c>
      <c r="L129" s="885"/>
      <c r="M129" s="885"/>
      <c r="N129" s="885"/>
      <c r="O129" s="885"/>
      <c r="P129" s="886"/>
      <c r="Q129" s="332">
        <v>0</v>
      </c>
      <c r="R129" s="885"/>
    </row>
    <row r="130" spans="1:18" ht="24" x14ac:dyDescent="0.2">
      <c r="A130" s="867"/>
      <c r="B130" s="325" t="s">
        <v>973</v>
      </c>
      <c r="C130" s="325" t="s">
        <v>1019</v>
      </c>
      <c r="D130" s="326" t="s">
        <v>1086</v>
      </c>
      <c r="E130" s="327">
        <v>0.27</v>
      </c>
      <c r="F130" s="333" t="s">
        <v>1062</v>
      </c>
      <c r="G130" s="359" t="s">
        <v>1087</v>
      </c>
      <c r="H130" s="340"/>
      <c r="I130" s="340"/>
      <c r="J130" s="356">
        <v>635</v>
      </c>
      <c r="K130" s="356">
        <v>635</v>
      </c>
      <c r="L130" s="885"/>
      <c r="M130" s="885"/>
      <c r="N130" s="885"/>
      <c r="O130" s="885"/>
      <c r="P130" s="886"/>
      <c r="Q130" s="332">
        <v>0</v>
      </c>
      <c r="R130" s="885"/>
    </row>
    <row r="131" spans="1:18" x14ac:dyDescent="0.2">
      <c r="A131" s="867"/>
      <c r="B131" s="325" t="s">
        <v>973</v>
      </c>
      <c r="C131" s="325" t="s">
        <v>1019</v>
      </c>
      <c r="D131" s="326" t="s">
        <v>1088</v>
      </c>
      <c r="E131" s="327">
        <v>0.27</v>
      </c>
      <c r="F131" s="333" t="s">
        <v>1062</v>
      </c>
      <c r="G131" s="359" t="s">
        <v>528</v>
      </c>
      <c r="H131" s="340"/>
      <c r="I131" s="340"/>
      <c r="J131" s="356">
        <v>5020</v>
      </c>
      <c r="K131" s="356">
        <v>5020</v>
      </c>
      <c r="L131" s="885"/>
      <c r="M131" s="885"/>
      <c r="N131" s="885"/>
      <c r="O131" s="885"/>
      <c r="P131" s="886"/>
      <c r="Q131" s="332">
        <v>5021</v>
      </c>
      <c r="R131" s="885"/>
    </row>
    <row r="132" spans="1:18" ht="24" x14ac:dyDescent="0.2">
      <c r="A132" s="866"/>
      <c r="B132" s="325" t="s">
        <v>973</v>
      </c>
      <c r="C132" s="325" t="s">
        <v>1019</v>
      </c>
      <c r="D132" s="326" t="s">
        <v>1089</v>
      </c>
      <c r="E132" s="338" t="s">
        <v>1031</v>
      </c>
      <c r="F132" s="333" t="s">
        <v>1062</v>
      </c>
      <c r="G132" s="359" t="s">
        <v>530</v>
      </c>
      <c r="H132" s="340"/>
      <c r="I132" s="340"/>
      <c r="J132" s="340">
        <v>1285</v>
      </c>
      <c r="K132" s="340">
        <v>1285</v>
      </c>
      <c r="L132" s="885"/>
      <c r="M132" s="885"/>
      <c r="N132" s="885"/>
      <c r="O132" s="885"/>
      <c r="P132" s="886"/>
      <c r="Q132" s="332">
        <v>1285</v>
      </c>
      <c r="R132" s="885"/>
    </row>
    <row r="133" spans="1:18" x14ac:dyDescent="0.2">
      <c r="A133" s="866"/>
      <c r="B133" s="325" t="s">
        <v>973</v>
      </c>
      <c r="C133" s="325" t="s">
        <v>1019</v>
      </c>
      <c r="D133" s="326" t="s">
        <v>1090</v>
      </c>
      <c r="E133" s="338" t="s">
        <v>1031</v>
      </c>
      <c r="F133" s="333" t="s">
        <v>1062</v>
      </c>
      <c r="G133" s="359" t="s">
        <v>531</v>
      </c>
      <c r="H133" s="340"/>
      <c r="I133" s="340"/>
      <c r="J133" s="340">
        <v>5241</v>
      </c>
      <c r="K133" s="340">
        <v>5241</v>
      </c>
      <c r="L133" s="885"/>
      <c r="M133" s="885"/>
      <c r="N133" s="885"/>
      <c r="O133" s="885"/>
      <c r="P133" s="886"/>
      <c r="Q133" s="332">
        <v>5241</v>
      </c>
      <c r="R133" s="885"/>
    </row>
    <row r="134" spans="1:18" ht="24" x14ac:dyDescent="0.2">
      <c r="A134" s="866"/>
      <c r="B134" s="325" t="s">
        <v>973</v>
      </c>
      <c r="C134" s="325" t="s">
        <v>1019</v>
      </c>
      <c r="D134" s="326" t="s">
        <v>1091</v>
      </c>
      <c r="E134" s="338" t="s">
        <v>1031</v>
      </c>
      <c r="F134" s="333" t="s">
        <v>1062</v>
      </c>
      <c r="G134" s="359" t="s">
        <v>1092</v>
      </c>
      <c r="H134" s="340"/>
      <c r="I134" s="340"/>
      <c r="J134" s="340">
        <v>10592</v>
      </c>
      <c r="K134" s="340">
        <v>10592</v>
      </c>
      <c r="L134" s="885"/>
      <c r="M134" s="885"/>
      <c r="N134" s="885"/>
      <c r="O134" s="885"/>
      <c r="P134" s="886"/>
      <c r="Q134" s="332">
        <v>10592</v>
      </c>
      <c r="R134" s="885"/>
    </row>
    <row r="135" spans="1:18" ht="15.75" customHeight="1" x14ac:dyDescent="0.2">
      <c r="A135" s="867"/>
      <c r="B135" s="325" t="s">
        <v>973</v>
      </c>
      <c r="C135" s="325" t="s">
        <v>1019</v>
      </c>
      <c r="D135" s="326" t="s">
        <v>876</v>
      </c>
      <c r="E135" s="327">
        <v>0.27</v>
      </c>
      <c r="F135" s="333" t="s">
        <v>1062</v>
      </c>
      <c r="G135" s="359" t="s">
        <v>532</v>
      </c>
      <c r="H135" s="340"/>
      <c r="I135" s="340"/>
      <c r="J135" s="340">
        <v>10208</v>
      </c>
      <c r="K135" s="329">
        <v>0</v>
      </c>
      <c r="L135" s="885"/>
      <c r="M135" s="885"/>
      <c r="N135" s="885"/>
      <c r="O135" s="885"/>
      <c r="P135" s="886"/>
      <c r="Q135" s="332">
        <v>0</v>
      </c>
      <c r="R135" s="885"/>
    </row>
    <row r="136" spans="1:18" ht="24" x14ac:dyDescent="0.2">
      <c r="A136" s="867"/>
      <c r="B136" s="325" t="s">
        <v>973</v>
      </c>
      <c r="C136" s="325" t="s">
        <v>1019</v>
      </c>
      <c r="D136" s="326" t="s">
        <v>1093</v>
      </c>
      <c r="E136" s="327">
        <v>0.27</v>
      </c>
      <c r="F136" s="333" t="s">
        <v>1062</v>
      </c>
      <c r="G136" s="334" t="s">
        <v>1094</v>
      </c>
      <c r="H136" s="340"/>
      <c r="I136" s="340"/>
      <c r="J136" s="340"/>
      <c r="K136" s="329">
        <v>5100</v>
      </c>
      <c r="L136" s="885"/>
      <c r="M136" s="885"/>
      <c r="N136" s="885"/>
      <c r="O136" s="885"/>
      <c r="P136" s="886"/>
      <c r="Q136" s="332">
        <v>5100</v>
      </c>
      <c r="R136" s="885"/>
    </row>
    <row r="137" spans="1:18" ht="15" customHeight="1" x14ac:dyDescent="0.2">
      <c r="A137" s="866"/>
      <c r="B137" s="325" t="s">
        <v>973</v>
      </c>
      <c r="C137" s="325" t="s">
        <v>1019</v>
      </c>
      <c r="D137" s="326" t="s">
        <v>876</v>
      </c>
      <c r="E137" s="338" t="s">
        <v>1031</v>
      </c>
      <c r="F137" s="333" t="s">
        <v>1062</v>
      </c>
      <c r="G137" s="359" t="s">
        <v>533</v>
      </c>
      <c r="H137" s="340"/>
      <c r="I137" s="340"/>
      <c r="J137" s="340">
        <v>2350</v>
      </c>
      <c r="K137" s="329">
        <v>0</v>
      </c>
      <c r="L137" s="885"/>
      <c r="M137" s="885"/>
      <c r="N137" s="885"/>
      <c r="O137" s="885"/>
      <c r="P137" s="886"/>
      <c r="Q137" s="332">
        <v>0</v>
      </c>
      <c r="R137" s="885"/>
    </row>
    <row r="138" spans="1:18" ht="24" x14ac:dyDescent="0.2">
      <c r="A138" s="867"/>
      <c r="B138" s="325" t="s">
        <v>973</v>
      </c>
      <c r="C138" s="325" t="s">
        <v>1019</v>
      </c>
      <c r="D138" s="326" t="s">
        <v>1095</v>
      </c>
      <c r="E138" s="327">
        <v>0.27</v>
      </c>
      <c r="F138" s="333" t="s">
        <v>1062</v>
      </c>
      <c r="G138" s="359" t="s">
        <v>1096</v>
      </c>
      <c r="H138" s="340"/>
      <c r="I138" s="340"/>
      <c r="J138" s="340"/>
      <c r="K138" s="329">
        <v>2792</v>
      </c>
      <c r="L138" s="885"/>
      <c r="M138" s="885"/>
      <c r="N138" s="885"/>
      <c r="O138" s="885"/>
      <c r="P138" s="886"/>
      <c r="Q138" s="332">
        <v>2792</v>
      </c>
      <c r="R138" s="885"/>
    </row>
    <row r="139" spans="1:18" ht="31.5" customHeight="1" x14ac:dyDescent="0.2">
      <c r="A139" s="867"/>
      <c r="B139" s="325" t="s">
        <v>973</v>
      </c>
      <c r="C139" s="325" t="s">
        <v>1019</v>
      </c>
      <c r="D139" s="326" t="s">
        <v>1097</v>
      </c>
      <c r="E139" s="327">
        <v>0.27</v>
      </c>
      <c r="F139" s="333" t="s">
        <v>1062</v>
      </c>
      <c r="G139" s="359" t="s">
        <v>1098</v>
      </c>
      <c r="H139" s="340"/>
      <c r="I139" s="340"/>
      <c r="J139" s="340"/>
      <c r="K139" s="329">
        <v>178</v>
      </c>
      <c r="L139" s="885"/>
      <c r="M139" s="885"/>
      <c r="N139" s="885"/>
      <c r="O139" s="885"/>
      <c r="P139" s="886"/>
      <c r="Q139" s="332">
        <v>178</v>
      </c>
      <c r="R139" s="885"/>
    </row>
    <row r="140" spans="1:18" ht="18.75" customHeight="1" x14ac:dyDescent="0.2">
      <c r="A140" s="867"/>
      <c r="B140" s="325" t="s">
        <v>973</v>
      </c>
      <c r="C140" s="325" t="s">
        <v>1019</v>
      </c>
      <c r="D140" s="326" t="s">
        <v>876</v>
      </c>
      <c r="E140" s="327">
        <v>0.27</v>
      </c>
      <c r="F140" s="333" t="s">
        <v>1062</v>
      </c>
      <c r="G140" s="359" t="s">
        <v>529</v>
      </c>
      <c r="H140" s="340"/>
      <c r="I140" s="340"/>
      <c r="J140" s="340">
        <v>63500</v>
      </c>
      <c r="K140" s="329">
        <v>7202</v>
      </c>
      <c r="L140" s="885"/>
      <c r="M140" s="885"/>
      <c r="N140" s="885"/>
      <c r="O140" s="885"/>
      <c r="P140" s="886"/>
      <c r="Q140" s="332">
        <v>0</v>
      </c>
      <c r="R140" s="885"/>
    </row>
    <row r="141" spans="1:18" ht="36" x14ac:dyDescent="0.2">
      <c r="A141" s="866"/>
      <c r="B141" s="325" t="s">
        <v>973</v>
      </c>
      <c r="C141" s="325" t="s">
        <v>1019</v>
      </c>
      <c r="D141" s="326" t="s">
        <v>1099</v>
      </c>
      <c r="E141" s="338" t="s">
        <v>1031</v>
      </c>
      <c r="F141" s="333" t="s">
        <v>1062</v>
      </c>
      <c r="G141" s="334" t="s">
        <v>1100</v>
      </c>
      <c r="H141" s="340"/>
      <c r="I141" s="340"/>
      <c r="J141" s="340"/>
      <c r="K141" s="329">
        <v>10346</v>
      </c>
      <c r="L141" s="885"/>
      <c r="M141" s="885"/>
      <c r="N141" s="885"/>
      <c r="O141" s="885"/>
      <c r="P141" s="886"/>
      <c r="Q141" s="332">
        <v>0</v>
      </c>
      <c r="R141" s="885"/>
    </row>
    <row r="142" spans="1:18" ht="24" x14ac:dyDescent="0.2">
      <c r="A142" s="866"/>
      <c r="B142" s="325" t="s">
        <v>973</v>
      </c>
      <c r="C142" s="325" t="s">
        <v>1019</v>
      </c>
      <c r="D142" s="326" t="s">
        <v>1101</v>
      </c>
      <c r="E142" s="338" t="s">
        <v>1031</v>
      </c>
      <c r="F142" s="333" t="s">
        <v>1062</v>
      </c>
      <c r="G142" s="334" t="s">
        <v>1102</v>
      </c>
      <c r="H142" s="340"/>
      <c r="I142" s="340"/>
      <c r="J142" s="340"/>
      <c r="K142" s="329">
        <v>13470</v>
      </c>
      <c r="L142" s="885"/>
      <c r="M142" s="885"/>
      <c r="N142" s="885"/>
      <c r="O142" s="885"/>
      <c r="P142" s="886"/>
      <c r="Q142" s="332">
        <v>0</v>
      </c>
      <c r="R142" s="885"/>
    </row>
    <row r="143" spans="1:18" ht="51" customHeight="1" x14ac:dyDescent="0.2">
      <c r="A143" s="867"/>
      <c r="B143" s="325" t="s">
        <v>973</v>
      </c>
      <c r="C143" s="325" t="s">
        <v>1019</v>
      </c>
      <c r="D143" s="326" t="s">
        <v>1103</v>
      </c>
      <c r="E143" s="327">
        <v>0.27</v>
      </c>
      <c r="F143" s="333" t="s">
        <v>1062</v>
      </c>
      <c r="G143" s="334" t="s">
        <v>1104</v>
      </c>
      <c r="H143" s="340"/>
      <c r="I143" s="340"/>
      <c r="J143" s="340"/>
      <c r="K143" s="329">
        <v>1156</v>
      </c>
      <c r="L143" s="885"/>
      <c r="M143" s="885"/>
      <c r="N143" s="885"/>
      <c r="O143" s="885"/>
      <c r="P143" s="886"/>
      <c r="Q143" s="332">
        <v>991</v>
      </c>
      <c r="R143" s="885"/>
    </row>
    <row r="144" spans="1:18" ht="24" x14ac:dyDescent="0.2">
      <c r="A144" s="867"/>
      <c r="B144" s="325" t="s">
        <v>973</v>
      </c>
      <c r="C144" s="325" t="s">
        <v>1019</v>
      </c>
      <c r="D144" s="326" t="s">
        <v>1105</v>
      </c>
      <c r="E144" s="327">
        <v>0.27</v>
      </c>
      <c r="F144" s="333" t="s">
        <v>1062</v>
      </c>
      <c r="G144" s="334" t="s">
        <v>1106</v>
      </c>
      <c r="H144" s="340"/>
      <c r="I144" s="340"/>
      <c r="J144" s="340"/>
      <c r="K144" s="329">
        <v>351</v>
      </c>
      <c r="L144" s="885"/>
      <c r="M144" s="885"/>
      <c r="N144" s="885"/>
      <c r="O144" s="885"/>
      <c r="P144" s="886"/>
      <c r="Q144" s="332">
        <v>351</v>
      </c>
      <c r="R144" s="885"/>
    </row>
    <row r="145" spans="1:18" ht="24" x14ac:dyDescent="0.2">
      <c r="A145" s="867"/>
      <c r="B145" s="325" t="s">
        <v>973</v>
      </c>
      <c r="C145" s="325" t="s">
        <v>1019</v>
      </c>
      <c r="D145" s="326" t="s">
        <v>1107</v>
      </c>
      <c r="E145" s="327">
        <v>0.27</v>
      </c>
      <c r="F145" s="333" t="s">
        <v>1062</v>
      </c>
      <c r="G145" s="334" t="s">
        <v>1108</v>
      </c>
      <c r="H145" s="340"/>
      <c r="I145" s="340"/>
      <c r="J145" s="340"/>
      <c r="K145" s="329">
        <v>2591</v>
      </c>
      <c r="L145" s="885"/>
      <c r="M145" s="885"/>
      <c r="N145" s="885"/>
      <c r="O145" s="885"/>
      <c r="P145" s="886"/>
      <c r="Q145" s="332">
        <v>2591</v>
      </c>
      <c r="R145" s="885"/>
    </row>
    <row r="146" spans="1:18" x14ac:dyDescent="0.2">
      <c r="A146" s="866"/>
      <c r="B146" s="325" t="s">
        <v>973</v>
      </c>
      <c r="C146" s="325" t="s">
        <v>1019</v>
      </c>
      <c r="D146" s="326" t="s">
        <v>1109</v>
      </c>
      <c r="E146" s="338" t="s">
        <v>1031</v>
      </c>
      <c r="F146" s="333" t="s">
        <v>1062</v>
      </c>
      <c r="G146" s="334" t="s">
        <v>1110</v>
      </c>
      <c r="H146" s="340"/>
      <c r="I146" s="340"/>
      <c r="J146" s="340"/>
      <c r="K146" s="329">
        <v>5966</v>
      </c>
      <c r="L146" s="885"/>
      <c r="M146" s="885"/>
      <c r="N146" s="885"/>
      <c r="O146" s="885"/>
      <c r="P146" s="886"/>
      <c r="Q146" s="332">
        <v>5966</v>
      </c>
      <c r="R146" s="885"/>
    </row>
    <row r="147" spans="1:18" ht="24" x14ac:dyDescent="0.2">
      <c r="A147" s="867"/>
      <c r="B147" s="325" t="s">
        <v>973</v>
      </c>
      <c r="C147" s="325" t="s">
        <v>1019</v>
      </c>
      <c r="D147" s="326" t="s">
        <v>1111</v>
      </c>
      <c r="E147" s="327">
        <v>0.27</v>
      </c>
      <c r="F147" s="333" t="s">
        <v>1062</v>
      </c>
      <c r="G147" s="334" t="s">
        <v>1112</v>
      </c>
      <c r="H147" s="340"/>
      <c r="I147" s="340"/>
      <c r="J147" s="340"/>
      <c r="K147" s="329">
        <v>826</v>
      </c>
      <c r="L147" s="885"/>
      <c r="M147" s="885"/>
      <c r="N147" s="885"/>
      <c r="O147" s="885"/>
      <c r="P147" s="886"/>
      <c r="Q147" s="332">
        <v>0</v>
      </c>
      <c r="R147" s="885"/>
    </row>
    <row r="148" spans="1:18" ht="24" x14ac:dyDescent="0.2">
      <c r="A148" s="866"/>
      <c r="B148" s="325" t="s">
        <v>973</v>
      </c>
      <c r="C148" s="325" t="s">
        <v>1019</v>
      </c>
      <c r="D148" s="326" t="s">
        <v>1113</v>
      </c>
      <c r="E148" s="338" t="s">
        <v>1031</v>
      </c>
      <c r="F148" s="333" t="s">
        <v>1062</v>
      </c>
      <c r="G148" s="334" t="s">
        <v>1114</v>
      </c>
      <c r="H148" s="340"/>
      <c r="I148" s="340"/>
      <c r="J148" s="340"/>
      <c r="K148" s="329">
        <v>7157</v>
      </c>
      <c r="L148" s="885"/>
      <c r="M148" s="885"/>
      <c r="N148" s="885"/>
      <c r="O148" s="885"/>
      <c r="P148" s="886"/>
      <c r="Q148" s="332">
        <v>0</v>
      </c>
      <c r="R148" s="885"/>
    </row>
    <row r="149" spans="1:18" ht="24" x14ac:dyDescent="0.2">
      <c r="A149" s="866"/>
      <c r="B149" s="325" t="s">
        <v>973</v>
      </c>
      <c r="C149" s="325" t="s">
        <v>1019</v>
      </c>
      <c r="D149" s="326" t="s">
        <v>1115</v>
      </c>
      <c r="E149" s="338" t="s">
        <v>1031</v>
      </c>
      <c r="F149" s="333" t="s">
        <v>1062</v>
      </c>
      <c r="G149" s="334" t="s">
        <v>1116</v>
      </c>
      <c r="H149" s="340"/>
      <c r="I149" s="340"/>
      <c r="J149" s="340"/>
      <c r="K149" s="329">
        <v>9109</v>
      </c>
      <c r="L149" s="885"/>
      <c r="M149" s="885"/>
      <c r="N149" s="885"/>
      <c r="O149" s="885"/>
      <c r="P149" s="886"/>
      <c r="Q149" s="332">
        <v>0</v>
      </c>
      <c r="R149" s="885"/>
    </row>
    <row r="150" spans="1:18" ht="24" x14ac:dyDescent="0.2">
      <c r="A150" s="867"/>
      <c r="B150" s="325" t="s">
        <v>973</v>
      </c>
      <c r="C150" s="325" t="s">
        <v>1019</v>
      </c>
      <c r="D150" s="326" t="s">
        <v>1117</v>
      </c>
      <c r="E150" s="327">
        <v>0.27</v>
      </c>
      <c r="F150" s="333" t="s">
        <v>1062</v>
      </c>
      <c r="G150" s="334" t="s">
        <v>1118</v>
      </c>
      <c r="H150" s="340"/>
      <c r="I150" s="340"/>
      <c r="J150" s="340"/>
      <c r="K150" s="329">
        <v>398</v>
      </c>
      <c r="L150" s="885"/>
      <c r="M150" s="885"/>
      <c r="N150" s="885"/>
      <c r="O150" s="885"/>
      <c r="P150" s="886"/>
      <c r="Q150" s="332">
        <v>398</v>
      </c>
      <c r="R150" s="885"/>
    </row>
    <row r="151" spans="1:18" ht="24" x14ac:dyDescent="0.2">
      <c r="A151" s="867"/>
      <c r="B151" s="325" t="s">
        <v>973</v>
      </c>
      <c r="C151" s="325" t="s">
        <v>1019</v>
      </c>
      <c r="D151" s="326" t="s">
        <v>1119</v>
      </c>
      <c r="E151" s="327">
        <v>0.27</v>
      </c>
      <c r="F151" s="333" t="s">
        <v>1062</v>
      </c>
      <c r="G151" s="334" t="s">
        <v>1120</v>
      </c>
      <c r="H151" s="340"/>
      <c r="I151" s="340"/>
      <c r="J151" s="340"/>
      <c r="K151" s="329">
        <v>1882</v>
      </c>
      <c r="L151" s="885"/>
      <c r="M151" s="885"/>
      <c r="N151" s="885"/>
      <c r="O151" s="885"/>
      <c r="P151" s="886"/>
      <c r="Q151" s="332">
        <v>1317</v>
      </c>
      <c r="R151" s="885"/>
    </row>
    <row r="152" spans="1:18" ht="24" x14ac:dyDescent="0.2">
      <c r="A152" s="867"/>
      <c r="B152" s="325" t="s">
        <v>973</v>
      </c>
      <c r="C152" s="325" t="s">
        <v>1019</v>
      </c>
      <c r="D152" s="326" t="s">
        <v>1121</v>
      </c>
      <c r="E152" s="327">
        <v>0.27</v>
      </c>
      <c r="F152" s="333" t="s">
        <v>1062</v>
      </c>
      <c r="G152" s="334" t="s">
        <v>1122</v>
      </c>
      <c r="H152" s="340"/>
      <c r="I152" s="340"/>
      <c r="J152" s="340"/>
      <c r="K152" s="329">
        <v>7604</v>
      </c>
      <c r="L152" s="885"/>
      <c r="M152" s="885"/>
      <c r="N152" s="885"/>
      <c r="O152" s="885"/>
      <c r="P152" s="886"/>
      <c r="Q152" s="332">
        <v>7604</v>
      </c>
      <c r="R152" s="885"/>
    </row>
    <row r="153" spans="1:18" x14ac:dyDescent="0.2">
      <c r="A153" s="867"/>
      <c r="B153" s="325" t="s">
        <v>973</v>
      </c>
      <c r="C153" s="325" t="s">
        <v>1019</v>
      </c>
      <c r="D153" s="326" t="s">
        <v>1123</v>
      </c>
      <c r="E153" s="327">
        <v>0.27</v>
      </c>
      <c r="F153" s="333" t="s">
        <v>1062</v>
      </c>
      <c r="G153" s="334" t="s">
        <v>1124</v>
      </c>
      <c r="H153" s="340"/>
      <c r="I153" s="340"/>
      <c r="J153" s="340"/>
      <c r="K153" s="329">
        <v>1903</v>
      </c>
      <c r="L153" s="885"/>
      <c r="M153" s="885"/>
      <c r="N153" s="885"/>
      <c r="O153" s="885"/>
      <c r="P153" s="886"/>
      <c r="Q153" s="332">
        <v>1903</v>
      </c>
      <c r="R153" s="885"/>
    </row>
    <row r="154" spans="1:18" ht="24" x14ac:dyDescent="0.2">
      <c r="A154" s="867"/>
      <c r="B154" s="325" t="s">
        <v>973</v>
      </c>
      <c r="C154" s="325" t="s">
        <v>1019</v>
      </c>
      <c r="D154" s="326" t="s">
        <v>1125</v>
      </c>
      <c r="E154" s="327">
        <v>0.27</v>
      </c>
      <c r="F154" s="333" t="s">
        <v>1062</v>
      </c>
      <c r="G154" s="334" t="s">
        <v>1126</v>
      </c>
      <c r="H154" s="340"/>
      <c r="I154" s="340"/>
      <c r="J154" s="340"/>
      <c r="K154" s="329">
        <v>10827</v>
      </c>
      <c r="L154" s="885"/>
      <c r="M154" s="885"/>
      <c r="N154" s="885"/>
      <c r="O154" s="885"/>
      <c r="P154" s="886"/>
      <c r="Q154" s="332">
        <v>0</v>
      </c>
      <c r="R154" s="885"/>
    </row>
    <row r="155" spans="1:18" ht="24" x14ac:dyDescent="0.2">
      <c r="A155" s="867"/>
      <c r="B155" s="325" t="s">
        <v>973</v>
      </c>
      <c r="C155" s="325" t="s">
        <v>1019</v>
      </c>
      <c r="D155" s="326" t="s">
        <v>1127</v>
      </c>
      <c r="E155" s="327">
        <v>0.27</v>
      </c>
      <c r="F155" s="333" t="s">
        <v>1062</v>
      </c>
      <c r="G155" s="334" t="s">
        <v>1128</v>
      </c>
      <c r="H155" s="340"/>
      <c r="I155" s="340"/>
      <c r="J155" s="340"/>
      <c r="K155" s="329">
        <v>3029</v>
      </c>
      <c r="L155" s="885"/>
      <c r="M155" s="885"/>
      <c r="N155" s="885"/>
      <c r="O155" s="885"/>
      <c r="P155" s="886"/>
      <c r="Q155" s="332">
        <v>0</v>
      </c>
      <c r="R155" s="885"/>
    </row>
    <row r="156" spans="1:18" ht="24" x14ac:dyDescent="0.2">
      <c r="A156" s="867"/>
      <c r="B156" s="325" t="s">
        <v>973</v>
      </c>
      <c r="C156" s="325" t="s">
        <v>1019</v>
      </c>
      <c r="D156" s="326" t="s">
        <v>1129</v>
      </c>
      <c r="E156" s="327">
        <v>0.27</v>
      </c>
      <c r="F156" s="333" t="s">
        <v>1062</v>
      </c>
      <c r="G156" s="334" t="s">
        <v>1130</v>
      </c>
      <c r="H156" s="340"/>
      <c r="I156" s="340"/>
      <c r="J156" s="340"/>
      <c r="K156" s="329">
        <v>285</v>
      </c>
      <c r="L156" s="885"/>
      <c r="M156" s="885"/>
      <c r="N156" s="885"/>
      <c r="O156" s="885"/>
      <c r="P156" s="886"/>
      <c r="Q156" s="332">
        <v>284</v>
      </c>
      <c r="R156" s="885"/>
    </row>
    <row r="157" spans="1:18" ht="24" x14ac:dyDescent="0.2">
      <c r="A157" s="867"/>
      <c r="B157" s="325" t="s">
        <v>973</v>
      </c>
      <c r="C157" s="325" t="s">
        <v>1019</v>
      </c>
      <c r="D157" s="326" t="s">
        <v>1131</v>
      </c>
      <c r="E157" s="327">
        <v>0.27</v>
      </c>
      <c r="F157" s="333" t="s">
        <v>1062</v>
      </c>
      <c r="G157" s="334" t="s">
        <v>1132</v>
      </c>
      <c r="H157" s="340"/>
      <c r="I157" s="340"/>
      <c r="J157" s="340"/>
      <c r="K157" s="329">
        <v>293</v>
      </c>
      <c r="L157" s="885"/>
      <c r="M157" s="885"/>
      <c r="N157" s="885"/>
      <c r="O157" s="885"/>
      <c r="P157" s="886"/>
      <c r="Q157" s="332">
        <v>294</v>
      </c>
      <c r="R157" s="885"/>
    </row>
    <row r="158" spans="1:18" ht="24" x14ac:dyDescent="0.2">
      <c r="A158" s="867"/>
      <c r="B158" s="325" t="s">
        <v>973</v>
      </c>
      <c r="C158" s="325" t="s">
        <v>1019</v>
      </c>
      <c r="D158" s="326" t="s">
        <v>1133</v>
      </c>
      <c r="E158" s="327">
        <v>0.27</v>
      </c>
      <c r="F158" s="333" t="s">
        <v>1062</v>
      </c>
      <c r="G158" s="334" t="s">
        <v>1134</v>
      </c>
      <c r="H158" s="340"/>
      <c r="I158" s="340"/>
      <c r="J158" s="340"/>
      <c r="K158" s="329">
        <v>1725</v>
      </c>
      <c r="L158" s="885"/>
      <c r="M158" s="885"/>
      <c r="N158" s="885"/>
      <c r="O158" s="885"/>
      <c r="P158" s="886"/>
      <c r="Q158" s="332">
        <v>1725</v>
      </c>
      <c r="R158" s="885"/>
    </row>
    <row r="159" spans="1:18" x14ac:dyDescent="0.2">
      <c r="A159" s="867"/>
      <c r="B159" s="325" t="s">
        <v>973</v>
      </c>
      <c r="C159" s="325" t="s">
        <v>1019</v>
      </c>
      <c r="D159" s="326" t="s">
        <v>1135</v>
      </c>
      <c r="E159" s="327">
        <v>0.27</v>
      </c>
      <c r="F159" s="333" t="s">
        <v>1062</v>
      </c>
      <c r="G159" s="334" t="s">
        <v>1136</v>
      </c>
      <c r="H159" s="340"/>
      <c r="I159" s="340"/>
      <c r="J159" s="340"/>
      <c r="K159" s="329">
        <v>7023</v>
      </c>
      <c r="L159" s="885"/>
      <c r="M159" s="885"/>
      <c r="N159" s="885"/>
      <c r="O159" s="885"/>
      <c r="P159" s="886"/>
      <c r="Q159" s="332">
        <v>0</v>
      </c>
      <c r="R159" s="885"/>
    </row>
    <row r="160" spans="1:18" ht="24" x14ac:dyDescent="0.2">
      <c r="A160" s="866"/>
      <c r="B160" s="325" t="s">
        <v>973</v>
      </c>
      <c r="C160" s="325" t="s">
        <v>1019</v>
      </c>
      <c r="D160" s="326" t="s">
        <v>1137</v>
      </c>
      <c r="E160" s="338" t="s">
        <v>1031</v>
      </c>
      <c r="F160" s="333" t="s">
        <v>1062</v>
      </c>
      <c r="G160" s="334" t="s">
        <v>1138</v>
      </c>
      <c r="H160" s="340"/>
      <c r="I160" s="340"/>
      <c r="J160" s="340"/>
      <c r="K160" s="329">
        <v>2684</v>
      </c>
      <c r="L160" s="885"/>
      <c r="M160" s="885"/>
      <c r="N160" s="885"/>
      <c r="O160" s="885"/>
      <c r="P160" s="886"/>
      <c r="Q160" s="332">
        <v>2684</v>
      </c>
      <c r="R160" s="885"/>
    </row>
    <row r="161" spans="1:18" ht="24" x14ac:dyDescent="0.2">
      <c r="A161" s="867"/>
      <c r="B161" s="325" t="s">
        <v>973</v>
      </c>
      <c r="C161" s="325" t="s">
        <v>1019</v>
      </c>
      <c r="D161" s="326" t="s">
        <v>1139</v>
      </c>
      <c r="E161" s="327">
        <v>0.27</v>
      </c>
      <c r="F161" s="333" t="s">
        <v>1062</v>
      </c>
      <c r="G161" s="334" t="s">
        <v>1140</v>
      </c>
      <c r="H161" s="340"/>
      <c r="I161" s="340"/>
      <c r="J161" s="340"/>
      <c r="K161" s="329">
        <v>177</v>
      </c>
      <c r="L161" s="885"/>
      <c r="M161" s="885"/>
      <c r="N161" s="885"/>
      <c r="O161" s="885"/>
      <c r="P161" s="886"/>
      <c r="Q161" s="332">
        <v>0</v>
      </c>
      <c r="R161" s="885"/>
    </row>
    <row r="162" spans="1:18" ht="24" x14ac:dyDescent="0.2">
      <c r="A162" s="867"/>
      <c r="B162" s="325" t="s">
        <v>973</v>
      </c>
      <c r="C162" s="325" t="s">
        <v>1019</v>
      </c>
      <c r="D162" s="326" t="s">
        <v>1141</v>
      </c>
      <c r="E162" s="327">
        <v>0.27</v>
      </c>
      <c r="F162" s="333" t="s">
        <v>1062</v>
      </c>
      <c r="G162" s="334" t="s">
        <v>1142</v>
      </c>
      <c r="H162" s="340"/>
      <c r="I162" s="340"/>
      <c r="J162" s="340"/>
      <c r="K162" s="329">
        <v>4995</v>
      </c>
      <c r="L162" s="885"/>
      <c r="M162" s="885"/>
      <c r="N162" s="885"/>
      <c r="O162" s="885"/>
      <c r="P162" s="886"/>
      <c r="Q162" s="332">
        <v>0</v>
      </c>
      <c r="R162" s="885"/>
    </row>
    <row r="163" spans="1:18" s="366" customFormat="1" ht="14.25" customHeight="1" x14ac:dyDescent="0.2">
      <c r="A163" s="867"/>
      <c r="B163" s="360" t="s">
        <v>973</v>
      </c>
      <c r="C163" s="360" t="s">
        <v>1019</v>
      </c>
      <c r="D163" s="361" t="s">
        <v>1143</v>
      </c>
      <c r="E163" s="362" t="s">
        <v>1031</v>
      </c>
      <c r="F163" s="333"/>
      <c r="G163" s="363" t="s">
        <v>551</v>
      </c>
      <c r="H163" s="364"/>
      <c r="I163" s="365"/>
      <c r="J163" s="365"/>
      <c r="K163" s="365"/>
      <c r="L163" s="885"/>
      <c r="M163" s="885"/>
      <c r="N163" s="885"/>
      <c r="O163" s="885"/>
      <c r="P163" s="886"/>
      <c r="Q163" s="332">
        <v>3321</v>
      </c>
      <c r="R163" s="885"/>
    </row>
    <row r="164" spans="1:18" ht="24" x14ac:dyDescent="0.2">
      <c r="A164" s="867"/>
      <c r="B164" s="325" t="s">
        <v>973</v>
      </c>
      <c r="C164" s="325" t="s">
        <v>1019</v>
      </c>
      <c r="D164" s="326" t="s">
        <v>1144</v>
      </c>
      <c r="E164" s="327">
        <v>0.27</v>
      </c>
      <c r="F164" s="333" t="s">
        <v>1062</v>
      </c>
      <c r="G164" s="334" t="s">
        <v>1145</v>
      </c>
      <c r="H164" s="340"/>
      <c r="I164" s="340"/>
      <c r="J164" s="340"/>
      <c r="K164" s="329">
        <v>254</v>
      </c>
      <c r="L164" s="885"/>
      <c r="M164" s="885"/>
      <c r="N164" s="885"/>
      <c r="O164" s="885"/>
      <c r="P164" s="886"/>
      <c r="Q164" s="332"/>
      <c r="R164" s="887"/>
    </row>
    <row r="165" spans="1:18" ht="24" customHeight="1" x14ac:dyDescent="0.2">
      <c r="A165" s="865" t="s">
        <v>401</v>
      </c>
      <c r="B165" s="325" t="s">
        <v>874</v>
      </c>
      <c r="C165" s="325" t="s">
        <v>1146</v>
      </c>
      <c r="D165" s="326" t="s">
        <v>1147</v>
      </c>
      <c r="E165" s="327">
        <v>0.27</v>
      </c>
      <c r="F165" s="895" t="s">
        <v>1148</v>
      </c>
      <c r="G165" s="334" t="s">
        <v>534</v>
      </c>
      <c r="H165" s="329"/>
      <c r="I165" s="340"/>
      <c r="J165" s="329">
        <v>125</v>
      </c>
      <c r="K165" s="329">
        <v>125</v>
      </c>
      <c r="L165" s="890">
        <f>SUM(H165:H170)</f>
        <v>0</v>
      </c>
      <c r="M165" s="884">
        <f>SUM(I165:I170)</f>
        <v>0</v>
      </c>
      <c r="N165" s="884">
        <f>SUM(J165:J170)</f>
        <v>38887</v>
      </c>
      <c r="O165" s="884">
        <f>SUM(K165:K170)</f>
        <v>38887</v>
      </c>
      <c r="P165" s="888">
        <f>SUM(M165,O165)</f>
        <v>38887</v>
      </c>
      <c r="Q165" s="332">
        <v>125</v>
      </c>
      <c r="R165" s="890">
        <f>SUBTOTAL(9,Q165:Q170)</f>
        <v>794</v>
      </c>
    </row>
    <row r="166" spans="1:18" ht="24" x14ac:dyDescent="0.2">
      <c r="A166" s="867"/>
      <c r="B166" s="325" t="s">
        <v>874</v>
      </c>
      <c r="C166" s="325" t="s">
        <v>1146</v>
      </c>
      <c r="D166" s="326" t="s">
        <v>1149</v>
      </c>
      <c r="E166" s="327">
        <v>0.27</v>
      </c>
      <c r="F166" s="896"/>
      <c r="G166" s="359" t="s">
        <v>536</v>
      </c>
      <c r="H166" s="340"/>
      <c r="I166" s="340"/>
      <c r="J166" s="329">
        <v>68</v>
      </c>
      <c r="K166" s="329">
        <v>68</v>
      </c>
      <c r="L166" s="891"/>
      <c r="M166" s="885"/>
      <c r="N166" s="885"/>
      <c r="O166" s="885"/>
      <c r="P166" s="889"/>
      <c r="Q166" s="332">
        <v>68</v>
      </c>
      <c r="R166" s="891"/>
    </row>
    <row r="167" spans="1:18" ht="33.75" x14ac:dyDescent="0.2">
      <c r="A167" s="867"/>
      <c r="B167" s="325" t="s">
        <v>874</v>
      </c>
      <c r="C167" s="325" t="s">
        <v>881</v>
      </c>
      <c r="D167" s="326" t="s">
        <v>1150</v>
      </c>
      <c r="E167" s="327">
        <v>0.27</v>
      </c>
      <c r="F167" s="367" t="s">
        <v>1151</v>
      </c>
      <c r="G167" s="334" t="s">
        <v>535</v>
      </c>
      <c r="H167" s="340"/>
      <c r="I167" s="340"/>
      <c r="J167" s="329">
        <v>600</v>
      </c>
      <c r="K167" s="329">
        <v>600</v>
      </c>
      <c r="L167" s="891"/>
      <c r="M167" s="885"/>
      <c r="N167" s="885"/>
      <c r="O167" s="885"/>
      <c r="P167" s="889"/>
      <c r="Q167" s="332">
        <v>601</v>
      </c>
      <c r="R167" s="891"/>
    </row>
    <row r="168" spans="1:18" ht="24" customHeight="1" x14ac:dyDescent="0.2">
      <c r="A168" s="867"/>
      <c r="B168" s="325" t="s">
        <v>973</v>
      </c>
      <c r="C168" s="325" t="s">
        <v>1019</v>
      </c>
      <c r="D168" s="326" t="s">
        <v>876</v>
      </c>
      <c r="E168" s="327">
        <v>0.27</v>
      </c>
      <c r="F168" s="865" t="s">
        <v>537</v>
      </c>
      <c r="G168" s="359" t="s">
        <v>538</v>
      </c>
      <c r="H168" s="340"/>
      <c r="I168" s="340"/>
      <c r="J168" s="329">
        <v>38094</v>
      </c>
      <c r="K168" s="329">
        <v>0</v>
      </c>
      <c r="L168" s="891"/>
      <c r="M168" s="885"/>
      <c r="N168" s="885"/>
      <c r="O168" s="885"/>
      <c r="P168" s="889"/>
      <c r="Q168" s="332">
        <v>0</v>
      </c>
      <c r="R168" s="891"/>
    </row>
    <row r="169" spans="1:18" s="368" customFormat="1" ht="24" x14ac:dyDescent="0.2">
      <c r="A169" s="867"/>
      <c r="B169" s="325" t="s">
        <v>973</v>
      </c>
      <c r="C169" s="325" t="s">
        <v>1019</v>
      </c>
      <c r="D169" s="326" t="s">
        <v>876</v>
      </c>
      <c r="E169" s="327">
        <v>0.27</v>
      </c>
      <c r="F169" s="867"/>
      <c r="G169" s="359" t="s">
        <v>1152</v>
      </c>
      <c r="H169" s="340"/>
      <c r="I169" s="340"/>
      <c r="J169" s="329"/>
      <c r="K169" s="329">
        <v>38094</v>
      </c>
      <c r="L169" s="891"/>
      <c r="M169" s="885"/>
      <c r="N169" s="885"/>
      <c r="O169" s="885"/>
      <c r="P169" s="889"/>
      <c r="Q169" s="332">
        <v>0</v>
      </c>
      <c r="R169" s="891"/>
    </row>
    <row r="170" spans="1:18" s="368" customFormat="1" x14ac:dyDescent="0.2">
      <c r="A170" s="867"/>
      <c r="B170" s="325"/>
      <c r="C170" s="325"/>
      <c r="D170" s="326"/>
      <c r="E170" s="327">
        <v>0.27</v>
      </c>
      <c r="F170" s="867"/>
      <c r="G170" s="359"/>
      <c r="H170" s="340"/>
      <c r="I170" s="340"/>
      <c r="J170" s="329"/>
      <c r="K170" s="329"/>
      <c r="L170" s="891"/>
      <c r="M170" s="885"/>
      <c r="N170" s="885"/>
      <c r="O170" s="885"/>
      <c r="P170" s="889"/>
      <c r="Q170" s="332">
        <v>0</v>
      </c>
      <c r="R170" s="892"/>
    </row>
    <row r="171" spans="1:18" ht="26.25" customHeight="1" x14ac:dyDescent="0.2">
      <c r="A171" s="865" t="s">
        <v>539</v>
      </c>
      <c r="B171" s="325" t="s">
        <v>973</v>
      </c>
      <c r="C171" s="325" t="s">
        <v>1019</v>
      </c>
      <c r="D171" s="353" t="s">
        <v>1153</v>
      </c>
      <c r="E171" s="327">
        <v>0.27</v>
      </c>
      <c r="F171" s="875" t="s">
        <v>1154</v>
      </c>
      <c r="G171" s="334" t="s">
        <v>540</v>
      </c>
      <c r="H171" s="340"/>
      <c r="I171" s="340"/>
      <c r="J171" s="340">
        <v>3000</v>
      </c>
      <c r="K171" s="340">
        <v>3000</v>
      </c>
      <c r="L171" s="893">
        <f>SUM(H171:H173)</f>
        <v>0</v>
      </c>
      <c r="M171" s="893">
        <f>SUM(I171:I173)</f>
        <v>0</v>
      </c>
      <c r="N171" s="893">
        <f>SUM(J171:J173)</f>
        <v>92370</v>
      </c>
      <c r="O171" s="893">
        <f>SUM(K171:K173)</f>
        <v>92370</v>
      </c>
      <c r="P171" s="894">
        <f>SUM(M171,O171)</f>
        <v>92370</v>
      </c>
      <c r="Q171" s="332">
        <v>1000</v>
      </c>
      <c r="R171" s="884">
        <f>SUBTOTAL(9,Q171:Q173)</f>
        <v>1000</v>
      </c>
    </row>
    <row r="172" spans="1:18" ht="24" x14ac:dyDescent="0.2">
      <c r="A172" s="867"/>
      <c r="B172" s="325" t="s">
        <v>973</v>
      </c>
      <c r="C172" s="325" t="s">
        <v>1019</v>
      </c>
      <c r="D172" s="326" t="s">
        <v>876</v>
      </c>
      <c r="E172" s="327">
        <v>0.27</v>
      </c>
      <c r="F172" s="875"/>
      <c r="G172" s="334" t="s">
        <v>541</v>
      </c>
      <c r="H172" s="340"/>
      <c r="I172" s="340"/>
      <c r="J172" s="340">
        <v>89370</v>
      </c>
      <c r="K172" s="340">
        <v>70320</v>
      </c>
      <c r="L172" s="893"/>
      <c r="M172" s="893"/>
      <c r="N172" s="893"/>
      <c r="O172" s="893"/>
      <c r="P172" s="894"/>
      <c r="Q172" s="332">
        <v>0</v>
      </c>
      <c r="R172" s="885"/>
    </row>
    <row r="173" spans="1:18" ht="36" x14ac:dyDescent="0.2">
      <c r="A173" s="867"/>
      <c r="B173" s="325" t="s">
        <v>973</v>
      </c>
      <c r="C173" s="325" t="s">
        <v>1019</v>
      </c>
      <c r="D173" s="326" t="s">
        <v>1155</v>
      </c>
      <c r="E173" s="327">
        <v>0.27</v>
      </c>
      <c r="F173" s="875"/>
      <c r="G173" s="334" t="s">
        <v>1156</v>
      </c>
      <c r="H173" s="340"/>
      <c r="I173" s="340"/>
      <c r="J173" s="340"/>
      <c r="K173" s="340">
        <v>19050</v>
      </c>
      <c r="L173" s="893"/>
      <c r="M173" s="893"/>
      <c r="N173" s="893"/>
      <c r="O173" s="893"/>
      <c r="P173" s="894"/>
      <c r="Q173" s="332">
        <v>0</v>
      </c>
      <c r="R173" s="887"/>
    </row>
    <row r="174" spans="1:18" s="369" customFormat="1" ht="12.75" customHeight="1" x14ac:dyDescent="0.2">
      <c r="A174" s="865" t="s">
        <v>542</v>
      </c>
      <c r="B174" s="325" t="s">
        <v>973</v>
      </c>
      <c r="C174" s="325" t="s">
        <v>1019</v>
      </c>
      <c r="D174" s="353" t="s">
        <v>1157</v>
      </c>
      <c r="E174" s="327">
        <v>0.27</v>
      </c>
      <c r="F174" s="865" t="s">
        <v>1158</v>
      </c>
      <c r="G174" s="334" t="s">
        <v>543</v>
      </c>
      <c r="H174" s="340"/>
      <c r="I174" s="340"/>
      <c r="J174" s="329">
        <v>1390</v>
      </c>
      <c r="K174" s="329">
        <v>1390</v>
      </c>
      <c r="L174" s="884">
        <f>SUM(H174:H184)</f>
        <v>0</v>
      </c>
      <c r="M174" s="884">
        <f>SUM(I174:I184)</f>
        <v>0</v>
      </c>
      <c r="N174" s="884">
        <f>SUM(J174:J184)</f>
        <v>20789</v>
      </c>
      <c r="O174" s="884">
        <f>SUM(K174:K184)</f>
        <v>171914</v>
      </c>
      <c r="P174" s="897">
        <f>SUM(M174,O174)</f>
        <v>171914</v>
      </c>
      <c r="Q174" s="332">
        <v>1390</v>
      </c>
      <c r="R174" s="884">
        <f>SUBTOTAL(9,Q174:Q184)</f>
        <v>18800</v>
      </c>
    </row>
    <row r="175" spans="1:18" s="369" customFormat="1" ht="24" x14ac:dyDescent="0.2">
      <c r="A175" s="867"/>
      <c r="B175" s="325" t="s">
        <v>973</v>
      </c>
      <c r="C175" s="325" t="s">
        <v>1019</v>
      </c>
      <c r="D175" s="353" t="s">
        <v>1159</v>
      </c>
      <c r="E175" s="327">
        <v>0.27</v>
      </c>
      <c r="F175" s="867"/>
      <c r="G175" s="334" t="s">
        <v>544</v>
      </c>
      <c r="H175" s="340"/>
      <c r="I175" s="340"/>
      <c r="J175" s="329">
        <v>141</v>
      </c>
      <c r="K175" s="329">
        <v>141</v>
      </c>
      <c r="L175" s="885"/>
      <c r="M175" s="885"/>
      <c r="N175" s="885"/>
      <c r="O175" s="885"/>
      <c r="P175" s="886"/>
      <c r="Q175" s="332">
        <v>141</v>
      </c>
      <c r="R175" s="885"/>
    </row>
    <row r="176" spans="1:18" ht="24" x14ac:dyDescent="0.2">
      <c r="A176" s="867"/>
      <c r="B176" s="325" t="s">
        <v>973</v>
      </c>
      <c r="C176" s="325" t="s">
        <v>1019</v>
      </c>
      <c r="D176" s="353" t="s">
        <v>1160</v>
      </c>
      <c r="E176" s="327">
        <v>0.27</v>
      </c>
      <c r="F176" s="867"/>
      <c r="G176" s="334" t="s">
        <v>545</v>
      </c>
      <c r="H176" s="340"/>
      <c r="I176" s="340"/>
      <c r="J176" s="340">
        <v>8502</v>
      </c>
      <c r="K176" s="340">
        <v>8502</v>
      </c>
      <c r="L176" s="885"/>
      <c r="M176" s="885"/>
      <c r="N176" s="885"/>
      <c r="O176" s="885"/>
      <c r="P176" s="886"/>
      <c r="Q176" s="332">
        <v>8502</v>
      </c>
      <c r="R176" s="885"/>
    </row>
    <row r="177" spans="1:18" x14ac:dyDescent="0.2">
      <c r="A177" s="867"/>
      <c r="B177" s="325" t="s">
        <v>973</v>
      </c>
      <c r="C177" s="325" t="s">
        <v>1019</v>
      </c>
      <c r="D177" s="353" t="s">
        <v>1161</v>
      </c>
      <c r="E177" s="327">
        <v>0.27</v>
      </c>
      <c r="F177" s="867"/>
      <c r="G177" s="334" t="s">
        <v>546</v>
      </c>
      <c r="H177" s="340"/>
      <c r="I177" s="340"/>
      <c r="J177" s="340">
        <v>756</v>
      </c>
      <c r="K177" s="340">
        <v>756</v>
      </c>
      <c r="L177" s="885"/>
      <c r="M177" s="885"/>
      <c r="N177" s="885"/>
      <c r="O177" s="885"/>
      <c r="P177" s="886"/>
      <c r="Q177" s="332">
        <v>756</v>
      </c>
      <c r="R177" s="885"/>
    </row>
    <row r="178" spans="1:18" ht="24" x14ac:dyDescent="0.2">
      <c r="A178" s="867"/>
      <c r="B178" s="325" t="s">
        <v>973</v>
      </c>
      <c r="C178" s="325" t="s">
        <v>1019</v>
      </c>
      <c r="D178" s="326" t="s">
        <v>876</v>
      </c>
      <c r="E178" s="327">
        <v>0.27</v>
      </c>
      <c r="F178" s="867"/>
      <c r="G178" s="334" t="s">
        <v>547</v>
      </c>
      <c r="H178" s="340"/>
      <c r="I178" s="340"/>
      <c r="J178" s="340">
        <v>10000</v>
      </c>
      <c r="K178" s="340">
        <v>854</v>
      </c>
      <c r="L178" s="885"/>
      <c r="M178" s="885"/>
      <c r="N178" s="885"/>
      <c r="O178" s="885"/>
      <c r="P178" s="886"/>
      <c r="Q178" s="332">
        <v>0</v>
      </c>
      <c r="R178" s="885"/>
    </row>
    <row r="179" spans="1:18" ht="24" x14ac:dyDescent="0.2">
      <c r="A179" s="867"/>
      <c r="B179" s="325" t="s">
        <v>973</v>
      </c>
      <c r="C179" s="325" t="s">
        <v>1019</v>
      </c>
      <c r="D179" s="326" t="s">
        <v>1162</v>
      </c>
      <c r="E179" s="327">
        <v>0.27</v>
      </c>
      <c r="F179" s="867"/>
      <c r="G179" s="334" t="s">
        <v>1163</v>
      </c>
      <c r="H179" s="340"/>
      <c r="I179" s="340"/>
      <c r="J179" s="340"/>
      <c r="K179" s="340">
        <v>9146</v>
      </c>
      <c r="L179" s="885"/>
      <c r="M179" s="885"/>
      <c r="N179" s="885"/>
      <c r="O179" s="885"/>
      <c r="P179" s="886"/>
      <c r="Q179" s="332">
        <v>7760</v>
      </c>
      <c r="R179" s="885"/>
    </row>
    <row r="180" spans="1:18" ht="24" x14ac:dyDescent="0.2">
      <c r="A180" s="867"/>
      <c r="B180" s="325" t="s">
        <v>973</v>
      </c>
      <c r="C180" s="325" t="s">
        <v>1019</v>
      </c>
      <c r="D180" s="326" t="s">
        <v>1164</v>
      </c>
      <c r="E180" s="327">
        <v>0.27</v>
      </c>
      <c r="F180" s="867"/>
      <c r="G180" s="334" t="s">
        <v>1165</v>
      </c>
      <c r="H180" s="340"/>
      <c r="I180" s="340"/>
      <c r="J180" s="340"/>
      <c r="K180" s="329">
        <v>251</v>
      </c>
      <c r="L180" s="885"/>
      <c r="M180" s="885"/>
      <c r="N180" s="885"/>
      <c r="O180" s="885"/>
      <c r="P180" s="886"/>
      <c r="Q180" s="332">
        <v>251</v>
      </c>
      <c r="R180" s="885"/>
    </row>
    <row r="181" spans="1:18" ht="24" x14ac:dyDescent="0.2">
      <c r="A181" s="867"/>
      <c r="B181" s="325" t="s">
        <v>973</v>
      </c>
      <c r="C181" s="325" t="s">
        <v>1019</v>
      </c>
      <c r="D181" s="326" t="s">
        <v>1166</v>
      </c>
      <c r="E181" s="327">
        <v>0.27</v>
      </c>
      <c r="F181" s="867"/>
      <c r="G181" s="334" t="s">
        <v>1167</v>
      </c>
      <c r="H181" s="340"/>
      <c r="I181" s="340"/>
      <c r="J181" s="340"/>
      <c r="K181" s="329">
        <v>2275</v>
      </c>
      <c r="L181" s="885"/>
      <c r="M181" s="885"/>
      <c r="N181" s="885"/>
      <c r="O181" s="885"/>
      <c r="P181" s="886"/>
      <c r="Q181" s="332">
        <v>0</v>
      </c>
      <c r="R181" s="885"/>
    </row>
    <row r="182" spans="1:18" ht="24" x14ac:dyDescent="0.2">
      <c r="A182" s="867"/>
      <c r="B182" s="325" t="s">
        <v>973</v>
      </c>
      <c r="C182" s="325" t="s">
        <v>1019</v>
      </c>
      <c r="D182" s="326" t="s">
        <v>1168</v>
      </c>
      <c r="E182" s="327">
        <v>0.27</v>
      </c>
      <c r="F182" s="867"/>
      <c r="G182" s="334" t="s">
        <v>1169</v>
      </c>
      <c r="H182" s="340"/>
      <c r="I182" s="340"/>
      <c r="J182" s="340"/>
      <c r="K182" s="329">
        <v>387</v>
      </c>
      <c r="L182" s="885"/>
      <c r="M182" s="885"/>
      <c r="N182" s="885"/>
      <c r="O182" s="885"/>
      <c r="P182" s="886"/>
      <c r="Q182" s="332">
        <v>0</v>
      </c>
      <c r="R182" s="885"/>
    </row>
    <row r="183" spans="1:18" ht="24" x14ac:dyDescent="0.2">
      <c r="A183" s="867"/>
      <c r="B183" s="325" t="s">
        <v>973</v>
      </c>
      <c r="C183" s="325" t="s">
        <v>1019</v>
      </c>
      <c r="D183" s="326" t="s">
        <v>876</v>
      </c>
      <c r="E183" s="327">
        <v>0.27</v>
      </c>
      <c r="F183" s="867"/>
      <c r="G183" s="334" t="s">
        <v>1170</v>
      </c>
      <c r="H183" s="340"/>
      <c r="I183" s="340"/>
      <c r="J183" s="340"/>
      <c r="K183" s="329">
        <v>145735</v>
      </c>
      <c r="L183" s="885"/>
      <c r="M183" s="885"/>
      <c r="N183" s="885"/>
      <c r="O183" s="885"/>
      <c r="P183" s="886"/>
      <c r="Q183" s="332">
        <v>0</v>
      </c>
      <c r="R183" s="885"/>
    </row>
    <row r="184" spans="1:18" ht="24" x14ac:dyDescent="0.2">
      <c r="A184" s="867"/>
      <c r="B184" s="325" t="s">
        <v>973</v>
      </c>
      <c r="C184" s="325" t="s">
        <v>1019</v>
      </c>
      <c r="D184" s="326"/>
      <c r="E184" s="327">
        <v>0.27</v>
      </c>
      <c r="F184" s="867"/>
      <c r="G184" s="334" t="s">
        <v>1171</v>
      </c>
      <c r="H184" s="340"/>
      <c r="I184" s="340"/>
      <c r="J184" s="340"/>
      <c r="K184" s="329">
        <v>2477</v>
      </c>
      <c r="L184" s="885"/>
      <c r="M184" s="885"/>
      <c r="N184" s="885"/>
      <c r="O184" s="885"/>
      <c r="P184" s="886"/>
      <c r="Q184" s="332">
        <v>0</v>
      </c>
      <c r="R184" s="887"/>
    </row>
    <row r="185" spans="1:18" ht="24" customHeight="1" x14ac:dyDescent="0.2">
      <c r="A185" s="865" t="s">
        <v>402</v>
      </c>
      <c r="B185" s="325" t="s">
        <v>973</v>
      </c>
      <c r="C185" s="325" t="s">
        <v>1019</v>
      </c>
      <c r="D185" s="353" t="s">
        <v>1172</v>
      </c>
      <c r="E185" s="327">
        <v>0.27</v>
      </c>
      <c r="F185" s="865" t="s">
        <v>1173</v>
      </c>
      <c r="G185" s="334" t="s">
        <v>548</v>
      </c>
      <c r="H185" s="342"/>
      <c r="I185" s="370"/>
      <c r="J185" s="370">
        <v>610</v>
      </c>
      <c r="K185" s="370">
        <v>610</v>
      </c>
      <c r="L185" s="884">
        <f>SUM(H185:H203)</f>
        <v>227</v>
      </c>
      <c r="M185" s="884">
        <f>SUM(I185:I203)</f>
        <v>227</v>
      </c>
      <c r="N185" s="884">
        <f>SUM(J185:J203)</f>
        <v>31257</v>
      </c>
      <c r="O185" s="884">
        <f>SUM(K185:K203)</f>
        <v>67651</v>
      </c>
      <c r="P185" s="897">
        <f>SUM(M185,O185)</f>
        <v>67878</v>
      </c>
      <c r="Q185" s="332">
        <v>0</v>
      </c>
      <c r="R185" s="884">
        <f>SUBTOTAL(9,Q185:Q203)</f>
        <v>38864</v>
      </c>
    </row>
    <row r="186" spans="1:18" ht="24" x14ac:dyDescent="0.2">
      <c r="A186" s="866"/>
      <c r="B186" s="325" t="s">
        <v>973</v>
      </c>
      <c r="C186" s="325" t="s">
        <v>1019</v>
      </c>
      <c r="D186" s="353" t="s">
        <v>1174</v>
      </c>
      <c r="E186" s="333" t="s">
        <v>1031</v>
      </c>
      <c r="F186" s="867"/>
      <c r="G186" s="326" t="s">
        <v>549</v>
      </c>
      <c r="H186" s="342"/>
      <c r="I186" s="370"/>
      <c r="J186" s="370">
        <v>684</v>
      </c>
      <c r="K186" s="370">
        <v>684</v>
      </c>
      <c r="L186" s="885"/>
      <c r="M186" s="885"/>
      <c r="N186" s="885"/>
      <c r="O186" s="885"/>
      <c r="P186" s="886"/>
      <c r="Q186" s="332">
        <v>684</v>
      </c>
      <c r="R186" s="885"/>
    </row>
    <row r="187" spans="1:18" ht="33.75" x14ac:dyDescent="0.2">
      <c r="A187" s="867"/>
      <c r="B187" s="325" t="s">
        <v>973</v>
      </c>
      <c r="C187" s="325" t="s">
        <v>1019</v>
      </c>
      <c r="D187" s="353" t="s">
        <v>1175</v>
      </c>
      <c r="E187" s="327">
        <v>0.27</v>
      </c>
      <c r="F187" s="867"/>
      <c r="G187" s="371" t="s">
        <v>550</v>
      </c>
      <c r="H187" s="342"/>
      <c r="I187" s="370"/>
      <c r="J187" s="370">
        <v>2231</v>
      </c>
      <c r="K187" s="370">
        <v>2231</v>
      </c>
      <c r="L187" s="885"/>
      <c r="M187" s="885"/>
      <c r="N187" s="885"/>
      <c r="O187" s="885"/>
      <c r="P187" s="886"/>
      <c r="Q187" s="332">
        <v>0</v>
      </c>
      <c r="R187" s="885"/>
    </row>
    <row r="188" spans="1:18" s="366" customFormat="1" ht="14.25" customHeight="1" x14ac:dyDescent="0.2">
      <c r="A188" s="866"/>
      <c r="B188" s="360" t="s">
        <v>973</v>
      </c>
      <c r="C188" s="360" t="s">
        <v>1019</v>
      </c>
      <c r="D188" s="361" t="s">
        <v>1143</v>
      </c>
      <c r="E188" s="362" t="s">
        <v>1031</v>
      </c>
      <c r="F188" s="867"/>
      <c r="G188" s="363" t="s">
        <v>551</v>
      </c>
      <c r="H188" s="364"/>
      <c r="I188" s="365"/>
      <c r="J188" s="365">
        <v>3321</v>
      </c>
      <c r="K188" s="365">
        <v>3321</v>
      </c>
      <c r="L188" s="885"/>
      <c r="M188" s="885"/>
      <c r="N188" s="885"/>
      <c r="O188" s="885"/>
      <c r="P188" s="886"/>
      <c r="Q188" s="332">
        <v>0</v>
      </c>
      <c r="R188" s="885"/>
    </row>
    <row r="189" spans="1:18" ht="24" x14ac:dyDescent="0.2">
      <c r="A189" s="866"/>
      <c r="B189" s="325" t="s">
        <v>973</v>
      </c>
      <c r="C189" s="325" t="s">
        <v>1019</v>
      </c>
      <c r="D189" s="326" t="s">
        <v>1176</v>
      </c>
      <c r="E189" s="333" t="s">
        <v>1031</v>
      </c>
      <c r="F189" s="867"/>
      <c r="G189" s="359" t="s">
        <v>1177</v>
      </c>
      <c r="H189" s="342"/>
      <c r="I189" s="370"/>
      <c r="J189" s="370">
        <v>1762</v>
      </c>
      <c r="K189" s="329">
        <v>665</v>
      </c>
      <c r="L189" s="885"/>
      <c r="M189" s="885"/>
      <c r="N189" s="885"/>
      <c r="O189" s="885"/>
      <c r="P189" s="886"/>
      <c r="Q189" s="332">
        <v>665</v>
      </c>
      <c r="R189" s="885"/>
    </row>
    <row r="190" spans="1:18" x14ac:dyDescent="0.2">
      <c r="A190" s="866"/>
      <c r="B190" s="325" t="s">
        <v>973</v>
      </c>
      <c r="C190" s="325" t="s">
        <v>1019</v>
      </c>
      <c r="D190" s="326" t="s">
        <v>1178</v>
      </c>
      <c r="E190" s="333" t="s">
        <v>1031</v>
      </c>
      <c r="F190" s="867"/>
      <c r="G190" s="326" t="s">
        <v>552</v>
      </c>
      <c r="H190" s="342"/>
      <c r="I190" s="370"/>
      <c r="J190" s="370">
        <v>665</v>
      </c>
      <c r="K190" s="329">
        <v>1762</v>
      </c>
      <c r="L190" s="885"/>
      <c r="M190" s="885"/>
      <c r="N190" s="885"/>
      <c r="O190" s="885"/>
      <c r="P190" s="886"/>
      <c r="Q190" s="332">
        <v>1762</v>
      </c>
      <c r="R190" s="885"/>
    </row>
    <row r="191" spans="1:18" ht="24" x14ac:dyDescent="0.2">
      <c r="A191" s="867"/>
      <c r="B191" s="325" t="s">
        <v>973</v>
      </c>
      <c r="C191" s="325" t="s">
        <v>1019</v>
      </c>
      <c r="D191" s="326" t="s">
        <v>1093</v>
      </c>
      <c r="E191" s="327">
        <v>0.27</v>
      </c>
      <c r="F191" s="867"/>
      <c r="G191" s="359" t="s">
        <v>1179</v>
      </c>
      <c r="H191" s="340"/>
      <c r="I191" s="340"/>
      <c r="J191" s="340"/>
      <c r="K191" s="329">
        <v>6364</v>
      </c>
      <c r="L191" s="885"/>
      <c r="M191" s="885"/>
      <c r="N191" s="885"/>
      <c r="O191" s="885"/>
      <c r="P191" s="886"/>
      <c r="Q191" s="332">
        <v>6364</v>
      </c>
      <c r="R191" s="885"/>
    </row>
    <row r="192" spans="1:18" ht="24" x14ac:dyDescent="0.2">
      <c r="A192" s="867"/>
      <c r="B192" s="325" t="s">
        <v>973</v>
      </c>
      <c r="C192" s="325" t="s">
        <v>1019</v>
      </c>
      <c r="D192" s="326" t="s">
        <v>1180</v>
      </c>
      <c r="E192" s="327">
        <v>0.27</v>
      </c>
      <c r="F192" s="867"/>
      <c r="G192" s="326" t="s">
        <v>553</v>
      </c>
      <c r="H192" s="342"/>
      <c r="I192" s="370"/>
      <c r="J192" s="329">
        <v>2997</v>
      </c>
      <c r="K192" s="329">
        <v>2997</v>
      </c>
      <c r="L192" s="885"/>
      <c r="M192" s="885"/>
      <c r="N192" s="885"/>
      <c r="O192" s="885"/>
      <c r="P192" s="886"/>
      <c r="Q192" s="332">
        <v>0</v>
      </c>
      <c r="R192" s="885"/>
    </row>
    <row r="193" spans="1:18" x14ac:dyDescent="0.2">
      <c r="A193" s="866"/>
      <c r="B193" s="325" t="s">
        <v>973</v>
      </c>
      <c r="C193" s="325" t="s">
        <v>1019</v>
      </c>
      <c r="D193" s="326" t="s">
        <v>1181</v>
      </c>
      <c r="E193" s="333" t="s">
        <v>1031</v>
      </c>
      <c r="F193" s="867"/>
      <c r="G193" s="359" t="s">
        <v>1182</v>
      </c>
      <c r="H193" s="340"/>
      <c r="I193" s="340"/>
      <c r="J193" s="340"/>
      <c r="K193" s="329">
        <v>783</v>
      </c>
      <c r="L193" s="885"/>
      <c r="M193" s="885"/>
      <c r="N193" s="885"/>
      <c r="O193" s="885"/>
      <c r="P193" s="886"/>
      <c r="Q193" s="332">
        <v>783</v>
      </c>
      <c r="R193" s="885"/>
    </row>
    <row r="194" spans="1:18" ht="24" x14ac:dyDescent="0.2">
      <c r="A194" s="867"/>
      <c r="B194" s="325" t="s">
        <v>973</v>
      </c>
      <c r="C194" s="325" t="s">
        <v>1019</v>
      </c>
      <c r="D194" s="326" t="s">
        <v>1183</v>
      </c>
      <c r="E194" s="327">
        <v>0.27</v>
      </c>
      <c r="F194" s="867"/>
      <c r="G194" s="359" t="s">
        <v>1184</v>
      </c>
      <c r="H194" s="340"/>
      <c r="I194" s="340"/>
      <c r="J194" s="340"/>
      <c r="K194" s="329">
        <v>85</v>
      </c>
      <c r="L194" s="885"/>
      <c r="M194" s="885"/>
      <c r="N194" s="885"/>
      <c r="O194" s="885"/>
      <c r="P194" s="886"/>
      <c r="Q194" s="332">
        <v>85</v>
      </c>
      <c r="R194" s="885"/>
    </row>
    <row r="195" spans="1:18" ht="24" x14ac:dyDescent="0.2">
      <c r="A195" s="867"/>
      <c r="B195" s="325" t="s">
        <v>973</v>
      </c>
      <c r="C195" s="325" t="s">
        <v>1019</v>
      </c>
      <c r="D195" s="326" t="s">
        <v>1185</v>
      </c>
      <c r="E195" s="327">
        <v>0.27</v>
      </c>
      <c r="F195" s="867"/>
      <c r="G195" s="359" t="s">
        <v>1186</v>
      </c>
      <c r="H195" s="340"/>
      <c r="I195" s="340"/>
      <c r="J195" s="340"/>
      <c r="K195" s="329">
        <v>490</v>
      </c>
      <c r="L195" s="885"/>
      <c r="M195" s="885"/>
      <c r="N195" s="885"/>
      <c r="O195" s="885"/>
      <c r="P195" s="886"/>
      <c r="Q195" s="332">
        <v>490</v>
      </c>
      <c r="R195" s="885"/>
    </row>
    <row r="196" spans="1:18" ht="24" x14ac:dyDescent="0.2">
      <c r="A196" s="867"/>
      <c r="B196" s="325" t="s">
        <v>973</v>
      </c>
      <c r="C196" s="325" t="s">
        <v>1019</v>
      </c>
      <c r="D196" s="326" t="s">
        <v>1187</v>
      </c>
      <c r="E196" s="327">
        <v>0.27</v>
      </c>
      <c r="F196" s="867"/>
      <c r="G196" s="359" t="s">
        <v>1188</v>
      </c>
      <c r="H196" s="340"/>
      <c r="I196" s="340"/>
      <c r="J196" s="340"/>
      <c r="K196" s="329">
        <v>14732</v>
      </c>
      <c r="L196" s="885"/>
      <c r="M196" s="885"/>
      <c r="N196" s="885"/>
      <c r="O196" s="885"/>
      <c r="P196" s="886"/>
      <c r="Q196" s="332">
        <v>0</v>
      </c>
      <c r="R196" s="885"/>
    </row>
    <row r="197" spans="1:18" ht="24" x14ac:dyDescent="0.2">
      <c r="A197" s="867"/>
      <c r="B197" s="325" t="s">
        <v>973</v>
      </c>
      <c r="C197" s="325" t="s">
        <v>1019</v>
      </c>
      <c r="D197" s="326" t="s">
        <v>1189</v>
      </c>
      <c r="E197" s="327">
        <v>0.27</v>
      </c>
      <c r="F197" s="867"/>
      <c r="G197" s="359" t="s">
        <v>1190</v>
      </c>
      <c r="H197" s="340"/>
      <c r="I197" s="340"/>
      <c r="J197" s="340"/>
      <c r="K197" s="329">
        <v>3287</v>
      </c>
      <c r="L197" s="885"/>
      <c r="M197" s="885"/>
      <c r="N197" s="885"/>
      <c r="O197" s="885"/>
      <c r="P197" s="886"/>
      <c r="Q197" s="332">
        <v>0</v>
      </c>
      <c r="R197" s="885"/>
    </row>
    <row r="198" spans="1:18" ht="24" x14ac:dyDescent="0.2">
      <c r="A198" s="867"/>
      <c r="B198" s="325" t="s">
        <v>973</v>
      </c>
      <c r="C198" s="325" t="s">
        <v>1019</v>
      </c>
      <c r="D198" s="326" t="s">
        <v>1191</v>
      </c>
      <c r="E198" s="327">
        <v>0.27</v>
      </c>
      <c r="F198" s="867"/>
      <c r="G198" s="359" t="s">
        <v>1192</v>
      </c>
      <c r="H198" s="340"/>
      <c r="I198" s="340"/>
      <c r="J198" s="340"/>
      <c r="K198" s="329">
        <v>7781</v>
      </c>
      <c r="L198" s="885"/>
      <c r="M198" s="885"/>
      <c r="N198" s="885"/>
      <c r="O198" s="885"/>
      <c r="P198" s="886"/>
      <c r="Q198" s="332">
        <v>7782</v>
      </c>
      <c r="R198" s="885"/>
    </row>
    <row r="199" spans="1:18" x14ac:dyDescent="0.2">
      <c r="A199" s="867"/>
      <c r="B199" s="325" t="s">
        <v>973</v>
      </c>
      <c r="C199" s="325" t="s">
        <v>1019</v>
      </c>
      <c r="D199" s="326"/>
      <c r="E199" s="327"/>
      <c r="F199" s="867"/>
      <c r="G199" s="359" t="s">
        <v>884</v>
      </c>
      <c r="H199" s="340"/>
      <c r="I199" s="340"/>
      <c r="J199" s="340"/>
      <c r="K199" s="329">
        <v>969</v>
      </c>
      <c r="L199" s="885"/>
      <c r="M199" s="885"/>
      <c r="N199" s="885"/>
      <c r="O199" s="885"/>
      <c r="P199" s="886"/>
      <c r="Q199" s="332">
        <v>0</v>
      </c>
      <c r="R199" s="885"/>
    </row>
    <row r="200" spans="1:18" ht="55.5" customHeight="1" x14ac:dyDescent="0.2">
      <c r="A200" s="867"/>
      <c r="B200" s="325" t="s">
        <v>973</v>
      </c>
      <c r="C200" s="325" t="s">
        <v>1019</v>
      </c>
      <c r="D200" s="353" t="s">
        <v>1193</v>
      </c>
      <c r="E200" s="327">
        <v>0.27</v>
      </c>
      <c r="F200" s="333" t="s">
        <v>1194</v>
      </c>
      <c r="G200" s="334" t="s">
        <v>554</v>
      </c>
      <c r="H200" s="370">
        <v>227</v>
      </c>
      <c r="I200" s="370">
        <v>227</v>
      </c>
      <c r="J200" s="370"/>
      <c r="K200" s="329"/>
      <c r="L200" s="885"/>
      <c r="M200" s="885"/>
      <c r="N200" s="885"/>
      <c r="O200" s="885"/>
      <c r="P200" s="886"/>
      <c r="Q200" s="332">
        <v>0</v>
      </c>
      <c r="R200" s="885"/>
    </row>
    <row r="201" spans="1:18" ht="24" x14ac:dyDescent="0.2">
      <c r="A201" s="867"/>
      <c r="B201" s="325" t="s">
        <v>973</v>
      </c>
      <c r="C201" s="325" t="s">
        <v>1019</v>
      </c>
      <c r="D201" s="353" t="s">
        <v>1195</v>
      </c>
      <c r="E201" s="327">
        <v>0.27</v>
      </c>
      <c r="F201" s="372" t="s">
        <v>624</v>
      </c>
      <c r="G201" s="334" t="s">
        <v>555</v>
      </c>
      <c r="H201" s="342"/>
      <c r="I201" s="370"/>
      <c r="J201" s="370">
        <v>18987</v>
      </c>
      <c r="K201" s="370">
        <v>18987</v>
      </c>
      <c r="L201" s="885"/>
      <c r="M201" s="885"/>
      <c r="N201" s="885"/>
      <c r="O201" s="885"/>
      <c r="P201" s="886"/>
      <c r="Q201" s="332">
        <v>18986</v>
      </c>
      <c r="R201" s="885"/>
    </row>
    <row r="202" spans="1:18" ht="24" x14ac:dyDescent="0.2">
      <c r="A202" s="867"/>
      <c r="B202" s="325" t="s">
        <v>973</v>
      </c>
      <c r="C202" s="325" t="s">
        <v>1019</v>
      </c>
      <c r="D202" s="353" t="s">
        <v>1196</v>
      </c>
      <c r="E202" s="327">
        <v>0.27</v>
      </c>
      <c r="F202" s="372"/>
      <c r="G202" s="334" t="s">
        <v>1197</v>
      </c>
      <c r="H202" s="342"/>
      <c r="I202" s="370"/>
      <c r="J202" s="370"/>
      <c r="K202" s="329">
        <v>483</v>
      </c>
      <c r="L202" s="885"/>
      <c r="M202" s="885"/>
      <c r="N202" s="885"/>
      <c r="O202" s="885"/>
      <c r="P202" s="886"/>
      <c r="Q202" s="332">
        <v>0</v>
      </c>
      <c r="R202" s="885"/>
    </row>
    <row r="203" spans="1:18" ht="36" x14ac:dyDescent="0.2">
      <c r="A203" s="867"/>
      <c r="B203" s="325" t="s">
        <v>973</v>
      </c>
      <c r="C203" s="325" t="s">
        <v>1198</v>
      </c>
      <c r="D203" s="353" t="s">
        <v>1199</v>
      </c>
      <c r="E203" s="327">
        <v>0.27</v>
      </c>
      <c r="F203" s="372" t="s">
        <v>1200</v>
      </c>
      <c r="G203" s="334" t="s">
        <v>1201</v>
      </c>
      <c r="H203" s="342"/>
      <c r="I203" s="370"/>
      <c r="J203" s="370"/>
      <c r="K203" s="329">
        <v>1420</v>
      </c>
      <c r="L203" s="885"/>
      <c r="M203" s="885"/>
      <c r="N203" s="885"/>
      <c r="O203" s="885"/>
      <c r="P203" s="886"/>
      <c r="Q203" s="332">
        <v>1263</v>
      </c>
      <c r="R203" s="887"/>
    </row>
    <row r="204" spans="1:18" ht="24" customHeight="1" x14ac:dyDescent="0.2">
      <c r="A204" s="865" t="s">
        <v>556</v>
      </c>
      <c r="B204" s="325" t="s">
        <v>973</v>
      </c>
      <c r="C204" s="325" t="s">
        <v>1202</v>
      </c>
      <c r="D204" s="326" t="s">
        <v>876</v>
      </c>
      <c r="E204" s="338" t="s">
        <v>1031</v>
      </c>
      <c r="F204" s="865" t="s">
        <v>1203</v>
      </c>
      <c r="G204" s="334" t="s">
        <v>557</v>
      </c>
      <c r="H204" s="340"/>
      <c r="I204" s="370"/>
      <c r="J204" s="340">
        <v>70866</v>
      </c>
      <c r="K204" s="340">
        <v>70866</v>
      </c>
      <c r="L204" s="884">
        <f>SUM(H209:H215)</f>
        <v>70181</v>
      </c>
      <c r="M204" s="884">
        <f>SUM(I204:I208)</f>
        <v>0</v>
      </c>
      <c r="N204" s="884">
        <f>SUM(J204:J207)</f>
        <v>82866</v>
      </c>
      <c r="O204" s="884">
        <f>SUM(K204:K208)</f>
        <v>82866</v>
      </c>
      <c r="P204" s="897">
        <f>SUM(M204,O204)</f>
        <v>82866</v>
      </c>
      <c r="Q204" s="332">
        <v>0</v>
      </c>
      <c r="R204" s="884">
        <f>SUBTOTAL(9,Q204:Q208)</f>
        <v>9894</v>
      </c>
    </row>
    <row r="205" spans="1:18" ht="24" x14ac:dyDescent="0.2">
      <c r="A205" s="867"/>
      <c r="B205" s="325" t="s">
        <v>973</v>
      </c>
      <c r="C205" s="325" t="s">
        <v>1202</v>
      </c>
      <c r="D205" s="326" t="s">
        <v>1204</v>
      </c>
      <c r="E205" s="327">
        <v>0.27</v>
      </c>
      <c r="F205" s="867"/>
      <c r="G205" s="334" t="s">
        <v>1205</v>
      </c>
      <c r="H205" s="340"/>
      <c r="I205" s="370"/>
      <c r="J205" s="340">
        <v>7866</v>
      </c>
      <c r="K205" s="329">
        <v>7866</v>
      </c>
      <c r="L205" s="885"/>
      <c r="M205" s="885"/>
      <c r="N205" s="885"/>
      <c r="O205" s="885"/>
      <c r="P205" s="886"/>
      <c r="Q205" s="332">
        <v>8695</v>
      </c>
      <c r="R205" s="885"/>
    </row>
    <row r="206" spans="1:18" x14ac:dyDescent="0.2">
      <c r="A206" s="867"/>
      <c r="B206" s="325" t="s">
        <v>973</v>
      </c>
      <c r="C206" s="325" t="s">
        <v>1202</v>
      </c>
      <c r="D206" s="326" t="s">
        <v>1206</v>
      </c>
      <c r="E206" s="327">
        <v>0.27</v>
      </c>
      <c r="F206" s="867"/>
      <c r="G206" s="334" t="s">
        <v>558</v>
      </c>
      <c r="H206" s="340"/>
      <c r="I206" s="370"/>
      <c r="J206" s="340">
        <v>1009</v>
      </c>
      <c r="K206" s="329">
        <v>1009</v>
      </c>
      <c r="L206" s="885"/>
      <c r="M206" s="885"/>
      <c r="N206" s="885"/>
      <c r="O206" s="885"/>
      <c r="P206" s="886"/>
      <c r="Q206" s="332">
        <v>1008</v>
      </c>
      <c r="R206" s="885"/>
    </row>
    <row r="207" spans="1:18" ht="24" x14ac:dyDescent="0.2">
      <c r="A207" s="867"/>
      <c r="B207" s="325" t="s">
        <v>973</v>
      </c>
      <c r="C207" s="325" t="s">
        <v>1202</v>
      </c>
      <c r="D207" s="326" t="s">
        <v>876</v>
      </c>
      <c r="E207" s="327">
        <v>0.27</v>
      </c>
      <c r="F207" s="867"/>
      <c r="G207" s="334" t="s">
        <v>559</v>
      </c>
      <c r="H207" s="340"/>
      <c r="I207" s="370"/>
      <c r="J207" s="340">
        <v>3125</v>
      </c>
      <c r="K207" s="329">
        <v>2934</v>
      </c>
      <c r="L207" s="885"/>
      <c r="M207" s="885"/>
      <c r="N207" s="885"/>
      <c r="O207" s="885"/>
      <c r="P207" s="886"/>
      <c r="Q207" s="332">
        <v>0</v>
      </c>
      <c r="R207" s="885"/>
    </row>
    <row r="208" spans="1:18" ht="24" x14ac:dyDescent="0.2">
      <c r="A208" s="867"/>
      <c r="B208" s="325" t="s">
        <v>973</v>
      </c>
      <c r="C208" s="325" t="s">
        <v>1202</v>
      </c>
      <c r="D208" s="326" t="s">
        <v>1207</v>
      </c>
      <c r="E208" s="327">
        <v>0.27</v>
      </c>
      <c r="F208" s="867"/>
      <c r="G208" s="334" t="s">
        <v>1208</v>
      </c>
      <c r="H208" s="340"/>
      <c r="I208" s="370"/>
      <c r="J208" s="340"/>
      <c r="K208" s="329">
        <v>191</v>
      </c>
      <c r="L208" s="885"/>
      <c r="M208" s="885"/>
      <c r="N208" s="885"/>
      <c r="O208" s="885"/>
      <c r="P208" s="886"/>
      <c r="Q208" s="332">
        <v>191</v>
      </c>
      <c r="R208" s="887"/>
    </row>
    <row r="209" spans="1:18" ht="24" customHeight="1" x14ac:dyDescent="0.2">
      <c r="A209" s="865" t="s">
        <v>560</v>
      </c>
      <c r="B209" s="325" t="s">
        <v>973</v>
      </c>
      <c r="C209" s="325" t="s">
        <v>1202</v>
      </c>
      <c r="D209" s="353" t="s">
        <v>1209</v>
      </c>
      <c r="E209" s="327">
        <v>0.27</v>
      </c>
      <c r="F209" s="865" t="s">
        <v>561</v>
      </c>
      <c r="G209" s="326" t="s">
        <v>562</v>
      </c>
      <c r="H209" s="340">
        <v>279</v>
      </c>
      <c r="I209" s="340">
        <v>279</v>
      </c>
      <c r="J209" s="370"/>
      <c r="K209" s="329"/>
      <c r="L209" s="884">
        <f>SUM(H209:H215)</f>
        <v>70181</v>
      </c>
      <c r="M209" s="884">
        <f>SUM(I209:I215)</f>
        <v>80087</v>
      </c>
      <c r="N209" s="884">
        <f>SUM(J209:J215)</f>
        <v>0</v>
      </c>
      <c r="O209" s="884">
        <f>SUM(K209:K215)</f>
        <v>0</v>
      </c>
      <c r="P209" s="888">
        <f>SUM(M209,O209)</f>
        <v>80087</v>
      </c>
      <c r="Q209" s="332">
        <v>279</v>
      </c>
      <c r="R209" s="890">
        <f>SUBTOTAL(9,Q209:Q215)</f>
        <v>163524</v>
      </c>
    </row>
    <row r="210" spans="1:18" ht="36" x14ac:dyDescent="0.2">
      <c r="A210" s="867"/>
      <c r="B210" s="325" t="s">
        <v>973</v>
      </c>
      <c r="C210" s="325" t="s">
        <v>1202</v>
      </c>
      <c r="D210" s="353" t="s">
        <v>1210</v>
      </c>
      <c r="E210" s="327">
        <v>0.27</v>
      </c>
      <c r="F210" s="867"/>
      <c r="G210" s="326" t="s">
        <v>1211</v>
      </c>
      <c r="H210" s="340"/>
      <c r="I210" s="340"/>
      <c r="J210" s="370"/>
      <c r="K210" s="329"/>
      <c r="L210" s="885"/>
      <c r="M210" s="885"/>
      <c r="N210" s="885"/>
      <c r="O210" s="885"/>
      <c r="P210" s="889"/>
      <c r="Q210" s="332">
        <v>50800</v>
      </c>
      <c r="R210" s="891"/>
    </row>
    <row r="211" spans="1:18" ht="24" x14ac:dyDescent="0.2">
      <c r="A211" s="867"/>
      <c r="B211" s="325" t="s">
        <v>973</v>
      </c>
      <c r="C211" s="325" t="s">
        <v>1202</v>
      </c>
      <c r="D211" s="326" t="s">
        <v>1212</v>
      </c>
      <c r="E211" s="327">
        <v>0.27</v>
      </c>
      <c r="F211" s="867"/>
      <c r="G211" s="326" t="s">
        <v>1213</v>
      </c>
      <c r="H211" s="340">
        <v>10852</v>
      </c>
      <c r="I211" s="340">
        <v>10852</v>
      </c>
      <c r="J211" s="370"/>
      <c r="K211" s="329"/>
      <c r="L211" s="885"/>
      <c r="M211" s="885"/>
      <c r="N211" s="885"/>
      <c r="O211" s="885"/>
      <c r="P211" s="889"/>
      <c r="Q211" s="332">
        <v>10851</v>
      </c>
      <c r="R211" s="891"/>
    </row>
    <row r="212" spans="1:18" ht="24" x14ac:dyDescent="0.2">
      <c r="A212" s="867"/>
      <c r="B212" s="325" t="s">
        <v>973</v>
      </c>
      <c r="C212" s="325" t="s">
        <v>1202</v>
      </c>
      <c r="D212" s="326" t="s">
        <v>876</v>
      </c>
      <c r="E212" s="327">
        <v>0.27</v>
      </c>
      <c r="F212" s="867"/>
      <c r="G212" s="334" t="s">
        <v>563</v>
      </c>
      <c r="H212" s="340">
        <v>19050</v>
      </c>
      <c r="I212" s="340">
        <v>19050</v>
      </c>
      <c r="J212" s="370"/>
      <c r="K212" s="329"/>
      <c r="L212" s="885"/>
      <c r="M212" s="885"/>
      <c r="N212" s="885"/>
      <c r="O212" s="885"/>
      <c r="P212" s="889"/>
      <c r="Q212" s="332">
        <v>0</v>
      </c>
      <c r="R212" s="891"/>
    </row>
    <row r="213" spans="1:18" ht="24" x14ac:dyDescent="0.2">
      <c r="A213" s="867"/>
      <c r="B213" s="325" t="s">
        <v>973</v>
      </c>
      <c r="C213" s="325" t="s">
        <v>1202</v>
      </c>
      <c r="D213" s="326" t="s">
        <v>1214</v>
      </c>
      <c r="E213" s="327">
        <v>0.27</v>
      </c>
      <c r="F213" s="867"/>
      <c r="G213" s="334" t="s">
        <v>1215</v>
      </c>
      <c r="H213" s="340">
        <v>40000</v>
      </c>
      <c r="I213" s="329">
        <v>40000</v>
      </c>
      <c r="J213" s="370"/>
      <c r="K213" s="329"/>
      <c r="L213" s="885"/>
      <c r="M213" s="885"/>
      <c r="N213" s="885"/>
      <c r="O213" s="885"/>
      <c r="P213" s="889"/>
      <c r="Q213" s="332">
        <v>38094</v>
      </c>
      <c r="R213" s="891"/>
    </row>
    <row r="214" spans="1:18" ht="36" x14ac:dyDescent="0.2">
      <c r="A214" s="866"/>
      <c r="B214" s="325" t="s">
        <v>973</v>
      </c>
      <c r="C214" s="325" t="s">
        <v>1202</v>
      </c>
      <c r="D214" s="326" t="s">
        <v>1216</v>
      </c>
      <c r="E214" s="327">
        <v>0.27</v>
      </c>
      <c r="F214" s="867"/>
      <c r="G214" s="326" t="s">
        <v>1211</v>
      </c>
      <c r="H214" s="340"/>
      <c r="I214" s="340">
        <v>0</v>
      </c>
      <c r="J214" s="370"/>
      <c r="K214" s="329"/>
      <c r="L214" s="885"/>
      <c r="M214" s="885"/>
      <c r="N214" s="885"/>
      <c r="O214" s="885"/>
      <c r="P214" s="889"/>
      <c r="Q214" s="332">
        <v>63500</v>
      </c>
      <c r="R214" s="891"/>
    </row>
    <row r="215" spans="1:18" ht="24" x14ac:dyDescent="0.2">
      <c r="A215" s="867"/>
      <c r="B215" s="325" t="s">
        <v>973</v>
      </c>
      <c r="C215" s="325" t="s">
        <v>1202</v>
      </c>
      <c r="D215" s="326" t="s">
        <v>1217</v>
      </c>
      <c r="E215" s="327">
        <v>0.27</v>
      </c>
      <c r="F215" s="867"/>
      <c r="G215" s="326" t="s">
        <v>1218</v>
      </c>
      <c r="H215" s="340"/>
      <c r="I215" s="340">
        <v>9906</v>
      </c>
      <c r="J215" s="370"/>
      <c r="K215" s="329"/>
      <c r="L215" s="885"/>
      <c r="M215" s="885"/>
      <c r="N215" s="885"/>
      <c r="O215" s="885"/>
      <c r="P215" s="889"/>
      <c r="Q215" s="332">
        <v>0</v>
      </c>
      <c r="R215" s="892"/>
    </row>
    <row r="216" spans="1:18" ht="24" customHeight="1" x14ac:dyDescent="0.2">
      <c r="A216" s="865" t="s">
        <v>564</v>
      </c>
      <c r="B216" s="325" t="s">
        <v>973</v>
      </c>
      <c r="C216" s="325" t="s">
        <v>1202</v>
      </c>
      <c r="D216" s="326" t="s">
        <v>876</v>
      </c>
      <c r="E216" s="327">
        <v>0.27</v>
      </c>
      <c r="F216" s="865" t="s">
        <v>565</v>
      </c>
      <c r="G216" s="334" t="s">
        <v>566</v>
      </c>
      <c r="H216" s="340">
        <v>40000</v>
      </c>
      <c r="I216" s="340">
        <v>0</v>
      </c>
      <c r="J216" s="370"/>
      <c r="K216" s="329"/>
      <c r="L216" s="884">
        <f>SUM(H216:H217)</f>
        <v>40000</v>
      </c>
      <c r="M216" s="884">
        <f>SUM(I216:I217)</f>
        <v>33278</v>
      </c>
      <c r="N216" s="884">
        <f>SUM(J216:J217)</f>
        <v>0</v>
      </c>
      <c r="O216" s="884">
        <f>SUM(K216:K217)</f>
        <v>0</v>
      </c>
      <c r="P216" s="884">
        <f>SUM(M216,O216)</f>
        <v>33278</v>
      </c>
      <c r="Q216" s="332">
        <v>0</v>
      </c>
      <c r="R216" s="884">
        <f>SUBTOTAL(9,Q216:Q217)</f>
        <v>0</v>
      </c>
    </row>
    <row r="217" spans="1:18" ht="26.25" customHeight="1" x14ac:dyDescent="0.2">
      <c r="A217" s="866"/>
      <c r="B217" s="325" t="s">
        <v>973</v>
      </c>
      <c r="C217" s="325" t="s">
        <v>1202</v>
      </c>
      <c r="D217" s="326" t="s">
        <v>1219</v>
      </c>
      <c r="E217" s="338" t="s">
        <v>1031</v>
      </c>
      <c r="F217" s="867"/>
      <c r="G217" s="334" t="s">
        <v>1220</v>
      </c>
      <c r="H217" s="340"/>
      <c r="I217" s="340">
        <v>33278</v>
      </c>
      <c r="J217" s="370"/>
      <c r="K217" s="329"/>
      <c r="L217" s="885"/>
      <c r="M217" s="885"/>
      <c r="N217" s="885"/>
      <c r="O217" s="885"/>
      <c r="P217" s="885"/>
      <c r="Q217" s="332">
        <v>0</v>
      </c>
      <c r="R217" s="887"/>
    </row>
    <row r="218" spans="1:18" ht="24" customHeight="1" x14ac:dyDescent="0.2">
      <c r="A218" s="898" t="s">
        <v>567</v>
      </c>
      <c r="B218" s="325" t="s">
        <v>973</v>
      </c>
      <c r="C218" s="325" t="s">
        <v>1019</v>
      </c>
      <c r="D218" s="353" t="s">
        <v>1221</v>
      </c>
      <c r="E218" s="327">
        <v>0.27</v>
      </c>
      <c r="F218" s="865" t="s">
        <v>623</v>
      </c>
      <c r="G218" s="334" t="s">
        <v>568</v>
      </c>
      <c r="H218" s="340">
        <v>119</v>
      </c>
      <c r="I218" s="340">
        <v>119</v>
      </c>
      <c r="J218" s="370"/>
      <c r="K218" s="329"/>
      <c r="L218" s="884">
        <f>SUM(H218:H222)</f>
        <v>50000</v>
      </c>
      <c r="M218" s="884">
        <f>SUM(I218:I222)</f>
        <v>14230</v>
      </c>
      <c r="N218" s="884">
        <f>SUM(J218:J222)</f>
        <v>0</v>
      </c>
      <c r="O218" s="884">
        <f>SUM(K218:K222)</f>
        <v>0</v>
      </c>
      <c r="P218" s="897">
        <f>SUM(M218,O218)</f>
        <v>14230</v>
      </c>
      <c r="Q218" s="332">
        <v>0</v>
      </c>
      <c r="R218" s="884">
        <f>SUBTOTAL(9,Q218:Q222)</f>
        <v>3331</v>
      </c>
    </row>
    <row r="219" spans="1:18" ht="24" x14ac:dyDescent="0.2">
      <c r="A219" s="899"/>
      <c r="B219" s="325" t="s">
        <v>973</v>
      </c>
      <c r="C219" s="325" t="s">
        <v>1019</v>
      </c>
      <c r="D219" s="326" t="s">
        <v>876</v>
      </c>
      <c r="E219" s="327">
        <v>0.27</v>
      </c>
      <c r="F219" s="867"/>
      <c r="G219" s="334" t="s">
        <v>569</v>
      </c>
      <c r="H219" s="340">
        <v>19050</v>
      </c>
      <c r="I219" s="370">
        <v>19050</v>
      </c>
      <c r="J219" s="370"/>
      <c r="K219" s="329"/>
      <c r="L219" s="885"/>
      <c r="M219" s="885"/>
      <c r="N219" s="885"/>
      <c r="O219" s="885"/>
      <c r="P219" s="886"/>
      <c r="Q219" s="332">
        <v>0</v>
      </c>
      <c r="R219" s="885"/>
    </row>
    <row r="220" spans="1:18" ht="24" x14ac:dyDescent="0.2">
      <c r="A220" s="899"/>
      <c r="B220" s="325" t="s">
        <v>973</v>
      </c>
      <c r="C220" s="325" t="s">
        <v>1019</v>
      </c>
      <c r="D220" s="326" t="s">
        <v>876</v>
      </c>
      <c r="E220" s="327">
        <v>0.27</v>
      </c>
      <c r="F220" s="867"/>
      <c r="G220" s="334" t="s">
        <v>570</v>
      </c>
      <c r="H220" s="340">
        <v>30831</v>
      </c>
      <c r="I220" s="340">
        <v>30831</v>
      </c>
      <c r="J220" s="370"/>
      <c r="K220" s="329"/>
      <c r="L220" s="885"/>
      <c r="M220" s="885"/>
      <c r="N220" s="885"/>
      <c r="O220" s="885"/>
      <c r="P220" s="886"/>
      <c r="Q220" s="332">
        <v>0</v>
      </c>
      <c r="R220" s="885"/>
    </row>
    <row r="221" spans="1:18" x14ac:dyDescent="0.2">
      <c r="A221" s="899"/>
      <c r="B221" s="325" t="s">
        <v>973</v>
      </c>
      <c r="C221" s="325" t="s">
        <v>1019</v>
      </c>
      <c r="D221" s="326" t="s">
        <v>1034</v>
      </c>
      <c r="E221" s="327">
        <v>0.27</v>
      </c>
      <c r="F221" s="867"/>
      <c r="G221" s="334" t="s">
        <v>1222</v>
      </c>
      <c r="H221" s="340"/>
      <c r="I221" s="340">
        <v>-40000</v>
      </c>
      <c r="J221" s="370"/>
      <c r="K221" s="329"/>
      <c r="L221" s="885"/>
      <c r="M221" s="885"/>
      <c r="N221" s="885"/>
      <c r="O221" s="885"/>
      <c r="P221" s="886"/>
      <c r="Q221" s="332">
        <v>0</v>
      </c>
      <c r="R221" s="885"/>
    </row>
    <row r="222" spans="1:18" ht="24" x14ac:dyDescent="0.2">
      <c r="A222" s="899"/>
      <c r="B222" s="325" t="s">
        <v>874</v>
      </c>
      <c r="C222" s="325" t="s">
        <v>881</v>
      </c>
      <c r="D222" s="326" t="s">
        <v>1223</v>
      </c>
      <c r="E222" s="327">
        <v>0.27</v>
      </c>
      <c r="F222" s="867"/>
      <c r="G222" s="334" t="s">
        <v>1224</v>
      </c>
      <c r="H222" s="340"/>
      <c r="I222" s="340">
        <v>4230</v>
      </c>
      <c r="J222" s="370"/>
      <c r="K222" s="329"/>
      <c r="L222" s="885"/>
      <c r="M222" s="885"/>
      <c r="N222" s="885"/>
      <c r="O222" s="885"/>
      <c r="P222" s="886"/>
      <c r="Q222" s="332">
        <v>3331</v>
      </c>
      <c r="R222" s="887"/>
    </row>
    <row r="223" spans="1:18" ht="24" customHeight="1" x14ac:dyDescent="0.2">
      <c r="A223" s="898" t="s">
        <v>460</v>
      </c>
      <c r="B223" s="325" t="s">
        <v>973</v>
      </c>
      <c r="C223" s="325" t="s">
        <v>1202</v>
      </c>
      <c r="D223" s="353" t="s">
        <v>1225</v>
      </c>
      <c r="E223" s="327">
        <v>0.27</v>
      </c>
      <c r="F223" s="865" t="s">
        <v>1226</v>
      </c>
      <c r="G223" s="334" t="s">
        <v>571</v>
      </c>
      <c r="H223" s="340">
        <v>2096</v>
      </c>
      <c r="I223" s="340">
        <v>2096</v>
      </c>
      <c r="J223" s="370"/>
      <c r="K223" s="329"/>
      <c r="L223" s="884">
        <f>SUM(H223:H237)</f>
        <v>355880</v>
      </c>
      <c r="M223" s="884">
        <f>SUM(I223:I237)</f>
        <v>461595</v>
      </c>
      <c r="N223" s="884">
        <f>SUM(J223:J237)</f>
        <v>0</v>
      </c>
      <c r="O223" s="884">
        <f>SUM(K223:K237)</f>
        <v>0</v>
      </c>
      <c r="P223" s="897">
        <f>SUM(M223,O223)</f>
        <v>461595</v>
      </c>
      <c r="Q223" s="332">
        <v>0</v>
      </c>
      <c r="R223" s="884">
        <f>SUBTOTAL(9,Q223:Q237)</f>
        <v>16066</v>
      </c>
    </row>
    <row r="224" spans="1:18" x14ac:dyDescent="0.2">
      <c r="A224" s="899"/>
      <c r="B224" s="325" t="s">
        <v>973</v>
      </c>
      <c r="C224" s="325" t="s">
        <v>1202</v>
      </c>
      <c r="D224" s="326" t="s">
        <v>1227</v>
      </c>
      <c r="E224" s="327">
        <v>0.27</v>
      </c>
      <c r="F224" s="867"/>
      <c r="G224" s="334" t="s">
        <v>573</v>
      </c>
      <c r="H224" s="340">
        <v>9906</v>
      </c>
      <c r="I224" s="370">
        <v>9906</v>
      </c>
      <c r="J224" s="370"/>
      <c r="K224" s="329"/>
      <c r="L224" s="885"/>
      <c r="M224" s="885"/>
      <c r="N224" s="885"/>
      <c r="O224" s="885"/>
      <c r="P224" s="886"/>
      <c r="Q224" s="332">
        <v>9906</v>
      </c>
      <c r="R224" s="885"/>
    </row>
    <row r="225" spans="1:18" ht="24" x14ac:dyDescent="0.2">
      <c r="A225" s="899"/>
      <c r="B225" s="325" t="s">
        <v>973</v>
      </c>
      <c r="C225" s="325" t="s">
        <v>1202</v>
      </c>
      <c r="D225" s="326" t="s">
        <v>1228</v>
      </c>
      <c r="E225" s="327">
        <v>0.27</v>
      </c>
      <c r="F225" s="867"/>
      <c r="G225" s="334" t="s">
        <v>1229</v>
      </c>
      <c r="H225" s="340">
        <v>6159</v>
      </c>
      <c r="I225" s="340">
        <v>6159</v>
      </c>
      <c r="J225" s="370"/>
      <c r="K225" s="329"/>
      <c r="L225" s="885"/>
      <c r="M225" s="885"/>
      <c r="N225" s="885"/>
      <c r="O225" s="885"/>
      <c r="P225" s="886"/>
      <c r="Q225" s="332">
        <v>6160</v>
      </c>
      <c r="R225" s="885"/>
    </row>
    <row r="226" spans="1:18" ht="24" x14ac:dyDescent="0.2">
      <c r="A226" s="899"/>
      <c r="B226" s="325" t="s">
        <v>973</v>
      </c>
      <c r="C226" s="325" t="s">
        <v>1202</v>
      </c>
      <c r="D226" s="326" t="s">
        <v>1230</v>
      </c>
      <c r="E226" s="327">
        <v>0.27</v>
      </c>
      <c r="F226" s="867"/>
      <c r="G226" s="334" t="s">
        <v>1231</v>
      </c>
      <c r="H226" s="340">
        <v>10058</v>
      </c>
      <c r="I226" s="340">
        <v>10058</v>
      </c>
      <c r="J226" s="370"/>
      <c r="K226" s="329"/>
      <c r="L226" s="885"/>
      <c r="M226" s="885"/>
      <c r="N226" s="885"/>
      <c r="O226" s="885"/>
      <c r="P226" s="886"/>
      <c r="Q226" s="332">
        <v>0</v>
      </c>
      <c r="R226" s="885"/>
    </row>
    <row r="227" spans="1:18" ht="24" x14ac:dyDescent="0.2">
      <c r="A227" s="900"/>
      <c r="B227" s="325"/>
      <c r="C227" s="325"/>
      <c r="D227" s="326"/>
      <c r="E227" s="338" t="s">
        <v>990</v>
      </c>
      <c r="F227" s="867"/>
      <c r="G227" s="334" t="s">
        <v>1232</v>
      </c>
      <c r="H227" s="340"/>
      <c r="I227" s="340">
        <v>100000</v>
      </c>
      <c r="J227" s="370"/>
      <c r="K227" s="329"/>
      <c r="L227" s="885"/>
      <c r="M227" s="885"/>
      <c r="N227" s="885"/>
      <c r="O227" s="885"/>
      <c r="P227" s="886"/>
      <c r="Q227" s="332">
        <v>0</v>
      </c>
      <c r="R227" s="885"/>
    </row>
    <row r="228" spans="1:18" ht="24" x14ac:dyDescent="0.2">
      <c r="A228" s="900"/>
      <c r="B228" s="325" t="s">
        <v>973</v>
      </c>
      <c r="C228" s="325" t="s">
        <v>1202</v>
      </c>
      <c r="D228" s="326" t="s">
        <v>876</v>
      </c>
      <c r="E228" s="338" t="s">
        <v>1031</v>
      </c>
      <c r="F228" s="867"/>
      <c r="G228" s="334" t="s">
        <v>572</v>
      </c>
      <c r="H228" s="340">
        <v>275591</v>
      </c>
      <c r="I228" s="340">
        <v>17607</v>
      </c>
      <c r="J228" s="370"/>
      <c r="K228" s="329"/>
      <c r="L228" s="885"/>
      <c r="M228" s="885"/>
      <c r="N228" s="885"/>
      <c r="O228" s="885"/>
      <c r="P228" s="886"/>
      <c r="Q228" s="332">
        <v>0</v>
      </c>
      <c r="R228" s="885"/>
    </row>
    <row r="229" spans="1:18" ht="24" x14ac:dyDescent="0.2">
      <c r="A229" s="900"/>
      <c r="B229" s="325" t="s">
        <v>973</v>
      </c>
      <c r="C229" s="325" t="s">
        <v>1202</v>
      </c>
      <c r="D229" s="326" t="s">
        <v>1233</v>
      </c>
      <c r="E229" s="338" t="s">
        <v>1031</v>
      </c>
      <c r="F229" s="867"/>
      <c r="G229" s="334" t="s">
        <v>1234</v>
      </c>
      <c r="H229" s="340"/>
      <c r="I229" s="370">
        <v>128992</v>
      </c>
      <c r="J229" s="370"/>
      <c r="K229" s="329"/>
      <c r="L229" s="885"/>
      <c r="M229" s="885"/>
      <c r="N229" s="885"/>
      <c r="O229" s="885"/>
      <c r="P229" s="886"/>
      <c r="Q229" s="332">
        <v>0</v>
      </c>
      <c r="R229" s="885"/>
    </row>
    <row r="230" spans="1:18" ht="24" x14ac:dyDescent="0.2">
      <c r="A230" s="900"/>
      <c r="B230" s="325" t="s">
        <v>973</v>
      </c>
      <c r="C230" s="325" t="s">
        <v>1202</v>
      </c>
      <c r="D230" s="326" t="s">
        <v>1235</v>
      </c>
      <c r="E230" s="338" t="s">
        <v>1031</v>
      </c>
      <c r="F230" s="867"/>
      <c r="G230" s="334" t="s">
        <v>1234</v>
      </c>
      <c r="H230" s="340"/>
      <c r="I230" s="370">
        <v>128992</v>
      </c>
      <c r="J230" s="370"/>
      <c r="K230" s="329"/>
      <c r="L230" s="885"/>
      <c r="M230" s="885"/>
      <c r="N230" s="885"/>
      <c r="O230" s="885"/>
      <c r="P230" s="886"/>
      <c r="Q230" s="332">
        <v>0</v>
      </c>
      <c r="R230" s="885"/>
    </row>
    <row r="231" spans="1:18" ht="24" x14ac:dyDescent="0.2">
      <c r="A231" s="899"/>
      <c r="B231" s="325" t="s">
        <v>973</v>
      </c>
      <c r="C231" s="325" t="s">
        <v>1202</v>
      </c>
      <c r="D231" s="326" t="s">
        <v>876</v>
      </c>
      <c r="E231" s="327">
        <v>0.27</v>
      </c>
      <c r="F231" s="867"/>
      <c r="G231" s="334" t="s">
        <v>574</v>
      </c>
      <c r="H231" s="340">
        <v>52070</v>
      </c>
      <c r="I231" s="340">
        <v>4164</v>
      </c>
      <c r="J231" s="370"/>
      <c r="K231" s="329"/>
      <c r="L231" s="885"/>
      <c r="M231" s="885"/>
      <c r="N231" s="885"/>
      <c r="O231" s="885"/>
      <c r="P231" s="886"/>
      <c r="Q231" s="332">
        <v>0</v>
      </c>
      <c r="R231" s="885"/>
    </row>
    <row r="232" spans="1:18" ht="24" x14ac:dyDescent="0.2">
      <c r="A232" s="899"/>
      <c r="B232" s="325" t="s">
        <v>973</v>
      </c>
      <c r="C232" s="325" t="s">
        <v>1202</v>
      </c>
      <c r="D232" s="326" t="s">
        <v>1236</v>
      </c>
      <c r="E232" s="327">
        <v>0.27</v>
      </c>
      <c r="F232" s="867"/>
      <c r="G232" s="334" t="s">
        <v>1237</v>
      </c>
      <c r="H232" s="340"/>
      <c r="I232" s="340">
        <v>15367</v>
      </c>
      <c r="J232" s="370"/>
      <c r="K232" s="329"/>
      <c r="L232" s="885"/>
      <c r="M232" s="885"/>
      <c r="N232" s="885"/>
      <c r="O232" s="885"/>
      <c r="P232" s="886"/>
      <c r="Q232" s="332">
        <v>0</v>
      </c>
      <c r="R232" s="885"/>
    </row>
    <row r="233" spans="1:18" ht="24" x14ac:dyDescent="0.2">
      <c r="A233" s="899"/>
      <c r="B233" s="325" t="s">
        <v>973</v>
      </c>
      <c r="C233" s="325" t="s">
        <v>1202</v>
      </c>
      <c r="D233" s="326" t="s">
        <v>1238</v>
      </c>
      <c r="E233" s="327">
        <v>0.27</v>
      </c>
      <c r="F233" s="867"/>
      <c r="G233" s="334" t="s">
        <v>1239</v>
      </c>
      <c r="H233" s="340"/>
      <c r="I233" s="340">
        <v>2794</v>
      </c>
      <c r="J233" s="370"/>
      <c r="K233" s="329"/>
      <c r="L233" s="885"/>
      <c r="M233" s="885"/>
      <c r="N233" s="885"/>
      <c r="O233" s="885"/>
      <c r="P233" s="886"/>
      <c r="Q233" s="332">
        <v>0</v>
      </c>
      <c r="R233" s="885"/>
    </row>
    <row r="234" spans="1:18" ht="24" x14ac:dyDescent="0.2">
      <c r="A234" s="900"/>
      <c r="B234" s="325" t="s">
        <v>973</v>
      </c>
      <c r="C234" s="325" t="s">
        <v>1202</v>
      </c>
      <c r="D234" s="326" t="s">
        <v>1240</v>
      </c>
      <c r="E234" s="338" t="s">
        <v>879</v>
      </c>
      <c r="F234" s="867"/>
      <c r="G234" s="334" t="s">
        <v>1241</v>
      </c>
      <c r="H234" s="340"/>
      <c r="I234" s="340">
        <v>1995</v>
      </c>
      <c r="J234" s="370"/>
      <c r="K234" s="329"/>
      <c r="L234" s="885"/>
      <c r="M234" s="885"/>
      <c r="N234" s="885"/>
      <c r="O234" s="885"/>
      <c r="P234" s="886"/>
      <c r="Q234" s="332">
        <v>0</v>
      </c>
      <c r="R234" s="885"/>
    </row>
    <row r="235" spans="1:18" ht="24" x14ac:dyDescent="0.2">
      <c r="A235" s="899"/>
      <c r="B235" s="325" t="s">
        <v>973</v>
      </c>
      <c r="C235" s="325" t="s">
        <v>1202</v>
      </c>
      <c r="D235" s="326" t="s">
        <v>1242</v>
      </c>
      <c r="E235" s="327">
        <v>0.27</v>
      </c>
      <c r="F235" s="867"/>
      <c r="G235" s="334" t="s">
        <v>1243</v>
      </c>
      <c r="H235" s="340"/>
      <c r="I235" s="340">
        <v>10478</v>
      </c>
      <c r="J235" s="370"/>
      <c r="K235" s="329"/>
      <c r="L235" s="885"/>
      <c r="M235" s="885"/>
      <c r="N235" s="885"/>
      <c r="O235" s="885"/>
      <c r="P235" s="886"/>
      <c r="Q235" s="332">
        <v>0</v>
      </c>
      <c r="R235" s="885"/>
    </row>
    <row r="236" spans="1:18" ht="24" x14ac:dyDescent="0.2">
      <c r="A236" s="899"/>
      <c r="B236" s="325" t="s">
        <v>973</v>
      </c>
      <c r="C236" s="325" t="s">
        <v>1202</v>
      </c>
      <c r="D236" s="326" t="s">
        <v>1244</v>
      </c>
      <c r="E236" s="327">
        <v>0.27</v>
      </c>
      <c r="F236" s="867"/>
      <c r="G236" s="334" t="s">
        <v>1245</v>
      </c>
      <c r="H236" s="340"/>
      <c r="I236" s="340">
        <v>17272</v>
      </c>
      <c r="J236" s="370"/>
      <c r="K236" s="329"/>
      <c r="L236" s="885"/>
      <c r="M236" s="885"/>
      <c r="N236" s="885"/>
      <c r="O236" s="885"/>
      <c r="P236" s="886"/>
      <c r="Q236" s="332">
        <v>0</v>
      </c>
      <c r="R236" s="885"/>
    </row>
    <row r="237" spans="1:18" ht="24" x14ac:dyDescent="0.2">
      <c r="A237" s="899"/>
      <c r="B237" s="325" t="s">
        <v>973</v>
      </c>
      <c r="C237" s="325" t="s">
        <v>1202</v>
      </c>
      <c r="D237" s="326" t="s">
        <v>1246</v>
      </c>
      <c r="E237" s="327">
        <v>0.27</v>
      </c>
      <c r="F237" s="867"/>
      <c r="G237" s="334" t="s">
        <v>1247</v>
      </c>
      <c r="H237" s="340"/>
      <c r="I237" s="340">
        <v>5715</v>
      </c>
      <c r="J237" s="370"/>
      <c r="K237" s="329"/>
      <c r="L237" s="885"/>
      <c r="M237" s="885"/>
      <c r="N237" s="885"/>
      <c r="O237" s="885"/>
      <c r="P237" s="886"/>
      <c r="Q237" s="332">
        <v>0</v>
      </c>
      <c r="R237" s="887"/>
    </row>
    <row r="238" spans="1:18" ht="24" customHeight="1" x14ac:dyDescent="0.2">
      <c r="A238" s="875" t="s">
        <v>403</v>
      </c>
      <c r="B238" s="325" t="s">
        <v>973</v>
      </c>
      <c r="C238" s="325" t="s">
        <v>1202</v>
      </c>
      <c r="D238" s="353" t="s">
        <v>1248</v>
      </c>
      <c r="E238" s="327">
        <v>0.27</v>
      </c>
      <c r="F238" s="865" t="s">
        <v>1249</v>
      </c>
      <c r="G238" s="334" t="s">
        <v>575</v>
      </c>
      <c r="H238" s="340"/>
      <c r="I238" s="340"/>
      <c r="J238" s="340">
        <v>10147</v>
      </c>
      <c r="K238" s="340">
        <v>10147</v>
      </c>
      <c r="L238" s="907">
        <f>SUM(H238:H249)</f>
        <v>0</v>
      </c>
      <c r="M238" s="893">
        <f>SUM(I238:I249)</f>
        <v>0</v>
      </c>
      <c r="N238" s="893">
        <f>SUM(J238:J249)</f>
        <v>525372</v>
      </c>
      <c r="O238" s="893">
        <f>SUM(K238:K249)</f>
        <v>425372</v>
      </c>
      <c r="P238" s="902">
        <f>SUM(M238,O238)</f>
        <v>425372</v>
      </c>
      <c r="Q238" s="332">
        <v>10147</v>
      </c>
      <c r="R238" s="890">
        <f>SUBTOTAL(9,Q238:Q249)</f>
        <v>192536</v>
      </c>
    </row>
    <row r="239" spans="1:18" ht="24" collapsed="1" x14ac:dyDescent="0.2">
      <c r="A239" s="906"/>
      <c r="B239" s="325" t="s">
        <v>973</v>
      </c>
      <c r="C239" s="325" t="s">
        <v>1202</v>
      </c>
      <c r="D239" s="353" t="s">
        <v>1250</v>
      </c>
      <c r="E239" s="338" t="s">
        <v>1031</v>
      </c>
      <c r="F239" s="867"/>
      <c r="G239" s="334" t="s">
        <v>576</v>
      </c>
      <c r="H239" s="340"/>
      <c r="I239" s="340"/>
      <c r="J239" s="340">
        <v>130175</v>
      </c>
      <c r="K239" s="340">
        <v>130175</v>
      </c>
      <c r="L239" s="907"/>
      <c r="M239" s="893"/>
      <c r="N239" s="893"/>
      <c r="O239" s="893"/>
      <c r="P239" s="902"/>
      <c r="Q239" s="332">
        <v>127880</v>
      </c>
      <c r="R239" s="891"/>
    </row>
    <row r="240" spans="1:18" ht="24" x14ac:dyDescent="0.2">
      <c r="A240" s="875"/>
      <c r="B240" s="325" t="s">
        <v>973</v>
      </c>
      <c r="C240" s="325" t="s">
        <v>1202</v>
      </c>
      <c r="D240" s="353" t="s">
        <v>1251</v>
      </c>
      <c r="E240" s="327">
        <v>0.27</v>
      </c>
      <c r="F240" s="867"/>
      <c r="G240" s="334" t="s">
        <v>577</v>
      </c>
      <c r="H240" s="340"/>
      <c r="I240" s="340"/>
      <c r="J240" s="340">
        <v>1809</v>
      </c>
      <c r="K240" s="340">
        <v>1809</v>
      </c>
      <c r="L240" s="907"/>
      <c r="M240" s="893"/>
      <c r="N240" s="893"/>
      <c r="O240" s="893"/>
      <c r="P240" s="902"/>
      <c r="Q240" s="332">
        <v>1746</v>
      </c>
      <c r="R240" s="891"/>
    </row>
    <row r="241" spans="1:18" ht="24" x14ac:dyDescent="0.2">
      <c r="A241" s="875"/>
      <c r="B241" s="325" t="s">
        <v>973</v>
      </c>
      <c r="C241" s="325" t="s">
        <v>1202</v>
      </c>
      <c r="D241" s="353" t="s">
        <v>1252</v>
      </c>
      <c r="E241" s="327">
        <v>0.27</v>
      </c>
      <c r="F241" s="867"/>
      <c r="G241" s="334" t="s">
        <v>578</v>
      </c>
      <c r="H241" s="340"/>
      <c r="I241" s="340"/>
      <c r="J241" s="340">
        <v>444</v>
      </c>
      <c r="K241" s="340">
        <v>444</v>
      </c>
      <c r="L241" s="907"/>
      <c r="M241" s="893"/>
      <c r="N241" s="893"/>
      <c r="O241" s="893"/>
      <c r="P241" s="902"/>
      <c r="Q241" s="332">
        <v>445</v>
      </c>
      <c r="R241" s="891"/>
    </row>
    <row r="242" spans="1:18" ht="24" x14ac:dyDescent="0.2">
      <c r="A242" s="875"/>
      <c r="B242" s="325" t="s">
        <v>973</v>
      </c>
      <c r="C242" s="325" t="s">
        <v>1202</v>
      </c>
      <c r="D242" s="353" t="s">
        <v>1253</v>
      </c>
      <c r="E242" s="327">
        <v>0.27</v>
      </c>
      <c r="F242" s="867"/>
      <c r="G242" s="334" t="s">
        <v>579</v>
      </c>
      <c r="H242" s="340"/>
      <c r="I242" s="340"/>
      <c r="J242" s="340">
        <v>635</v>
      </c>
      <c r="K242" s="340">
        <v>635</v>
      </c>
      <c r="L242" s="907"/>
      <c r="M242" s="893"/>
      <c r="N242" s="893"/>
      <c r="O242" s="893"/>
      <c r="P242" s="902"/>
      <c r="Q242" s="332">
        <v>635</v>
      </c>
      <c r="R242" s="891"/>
    </row>
    <row r="243" spans="1:18" ht="24" x14ac:dyDescent="0.2">
      <c r="A243" s="875"/>
      <c r="B243" s="325" t="s">
        <v>973</v>
      </c>
      <c r="C243" s="325" t="s">
        <v>1202</v>
      </c>
      <c r="D243" s="353" t="s">
        <v>1254</v>
      </c>
      <c r="E243" s="327">
        <v>0.27</v>
      </c>
      <c r="F243" s="867"/>
      <c r="G243" s="334" t="s">
        <v>580</v>
      </c>
      <c r="H243" s="340"/>
      <c r="I243" s="340"/>
      <c r="J243" s="356">
        <v>23773</v>
      </c>
      <c r="K243" s="356">
        <v>23773</v>
      </c>
      <c r="L243" s="907"/>
      <c r="M243" s="893"/>
      <c r="N243" s="893"/>
      <c r="O243" s="893"/>
      <c r="P243" s="902"/>
      <c r="Q243" s="332">
        <v>23774</v>
      </c>
      <c r="R243" s="891"/>
    </row>
    <row r="244" spans="1:18" ht="24" x14ac:dyDescent="0.2">
      <c r="A244" s="906"/>
      <c r="B244" s="325" t="s">
        <v>973</v>
      </c>
      <c r="C244" s="325" t="s">
        <v>1202</v>
      </c>
      <c r="D244" s="353" t="s">
        <v>1255</v>
      </c>
      <c r="E244" s="373" t="s">
        <v>879</v>
      </c>
      <c r="F244" s="877"/>
      <c r="G244" s="334" t="s">
        <v>581</v>
      </c>
      <c r="H244" s="340"/>
      <c r="I244" s="340"/>
      <c r="J244" s="356">
        <v>4271</v>
      </c>
      <c r="K244" s="356">
        <v>4271</v>
      </c>
      <c r="L244" s="907"/>
      <c r="M244" s="893"/>
      <c r="N244" s="893"/>
      <c r="O244" s="893"/>
      <c r="P244" s="902"/>
      <c r="Q244" s="332">
        <v>4271</v>
      </c>
      <c r="R244" s="891"/>
    </row>
    <row r="245" spans="1:18" ht="24" x14ac:dyDescent="0.2">
      <c r="A245" s="875"/>
      <c r="B245" s="325" t="s">
        <v>973</v>
      </c>
      <c r="C245" s="325" t="s">
        <v>1202</v>
      </c>
      <c r="D245" s="326" t="s">
        <v>876</v>
      </c>
      <c r="E245" s="327">
        <v>0.27</v>
      </c>
      <c r="F245" s="374" t="s">
        <v>1256</v>
      </c>
      <c r="G245" s="334" t="s">
        <v>585</v>
      </c>
      <c r="H245" s="340"/>
      <c r="I245" s="340"/>
      <c r="J245" s="356">
        <v>30480</v>
      </c>
      <c r="K245" s="356">
        <v>30480</v>
      </c>
      <c r="L245" s="907"/>
      <c r="M245" s="893"/>
      <c r="N245" s="893"/>
      <c r="O245" s="893"/>
      <c r="P245" s="902"/>
      <c r="Q245" s="332">
        <v>0</v>
      </c>
      <c r="R245" s="891"/>
    </row>
    <row r="246" spans="1:18" ht="24" customHeight="1" x14ac:dyDescent="0.2">
      <c r="A246" s="875"/>
      <c r="B246" s="325" t="s">
        <v>973</v>
      </c>
      <c r="C246" s="325" t="s">
        <v>1202</v>
      </c>
      <c r="D246" s="353" t="s">
        <v>1257</v>
      </c>
      <c r="E246" s="327">
        <v>0.27</v>
      </c>
      <c r="F246" s="903" t="s">
        <v>622</v>
      </c>
      <c r="G246" s="334" t="s">
        <v>583</v>
      </c>
      <c r="H246" s="340"/>
      <c r="I246" s="340"/>
      <c r="J246" s="356">
        <v>23368</v>
      </c>
      <c r="K246" s="356">
        <v>23368</v>
      </c>
      <c r="L246" s="907"/>
      <c r="M246" s="893"/>
      <c r="N246" s="893"/>
      <c r="O246" s="893"/>
      <c r="P246" s="902"/>
      <c r="Q246" s="332">
        <v>23368</v>
      </c>
      <c r="R246" s="891"/>
    </row>
    <row r="247" spans="1:18" ht="17.25" customHeight="1" x14ac:dyDescent="0.2">
      <c r="A247" s="906"/>
      <c r="B247" s="325" t="s">
        <v>973</v>
      </c>
      <c r="C247" s="325" t="s">
        <v>1202</v>
      </c>
      <c r="D247" s="326" t="s">
        <v>876</v>
      </c>
      <c r="E247" s="373" t="s">
        <v>1031</v>
      </c>
      <c r="F247" s="904"/>
      <c r="G247" s="334" t="s">
        <v>584</v>
      </c>
      <c r="H247" s="340"/>
      <c r="I247" s="340"/>
      <c r="J247" s="356">
        <v>300000</v>
      </c>
      <c r="K247" s="356">
        <v>300000</v>
      </c>
      <c r="L247" s="907"/>
      <c r="M247" s="893"/>
      <c r="N247" s="893"/>
      <c r="O247" s="893"/>
      <c r="P247" s="902"/>
      <c r="Q247" s="332">
        <v>0</v>
      </c>
      <c r="R247" s="891"/>
    </row>
    <row r="248" spans="1:18" ht="29.25" customHeight="1" x14ac:dyDescent="0.2">
      <c r="A248" s="906"/>
      <c r="B248" s="325" t="s">
        <v>973</v>
      </c>
      <c r="C248" s="325" t="s">
        <v>1202</v>
      </c>
      <c r="D248" s="326"/>
      <c r="E248" s="373" t="s">
        <v>990</v>
      </c>
      <c r="F248" s="904"/>
      <c r="G248" s="334" t="s">
        <v>1258</v>
      </c>
      <c r="H248" s="340"/>
      <c r="I248" s="340"/>
      <c r="J248" s="356"/>
      <c r="K248" s="356">
        <v>-100000</v>
      </c>
      <c r="L248" s="907"/>
      <c r="M248" s="893"/>
      <c r="N248" s="893"/>
      <c r="O248" s="893"/>
      <c r="P248" s="902"/>
      <c r="Q248" s="332">
        <v>0</v>
      </c>
      <c r="R248" s="891"/>
    </row>
    <row r="249" spans="1:18" ht="43.5" customHeight="1" x14ac:dyDescent="0.2">
      <c r="A249" s="906"/>
      <c r="B249" s="325" t="s">
        <v>874</v>
      </c>
      <c r="C249" s="325" t="s">
        <v>1146</v>
      </c>
      <c r="D249" s="353" t="s">
        <v>1259</v>
      </c>
      <c r="E249" s="373" t="s">
        <v>879</v>
      </c>
      <c r="F249" s="375" t="s">
        <v>763</v>
      </c>
      <c r="G249" s="334" t="s">
        <v>582</v>
      </c>
      <c r="H249" s="340"/>
      <c r="I249" s="340"/>
      <c r="J249" s="356">
        <v>270</v>
      </c>
      <c r="K249" s="356">
        <v>270</v>
      </c>
      <c r="L249" s="907"/>
      <c r="M249" s="893"/>
      <c r="N249" s="893"/>
      <c r="O249" s="893"/>
      <c r="P249" s="902"/>
      <c r="Q249" s="332">
        <v>270</v>
      </c>
      <c r="R249" s="892"/>
    </row>
    <row r="250" spans="1:18" ht="57.75" customHeight="1" x14ac:dyDescent="0.2">
      <c r="A250" s="905" t="s">
        <v>586</v>
      </c>
      <c r="B250" s="325" t="s">
        <v>1260</v>
      </c>
      <c r="C250" s="325"/>
      <c r="D250" s="353" t="s">
        <v>1261</v>
      </c>
      <c r="E250" s="327">
        <v>0.27</v>
      </c>
      <c r="F250" s="376" t="s">
        <v>621</v>
      </c>
      <c r="G250" s="334" t="s">
        <v>587</v>
      </c>
      <c r="H250" s="340">
        <v>813</v>
      </c>
      <c r="I250" s="340">
        <v>813</v>
      </c>
      <c r="J250" s="356"/>
      <c r="K250" s="329"/>
      <c r="L250" s="884">
        <f>SUM(H250:H251)</f>
        <v>31813</v>
      </c>
      <c r="M250" s="884">
        <f>SUM(I250:I251)</f>
        <v>31813</v>
      </c>
      <c r="N250" s="893">
        <f>SUM(J250:J251)</f>
        <v>0</v>
      </c>
      <c r="O250" s="893">
        <f>SUM(K250:K251)</f>
        <v>0</v>
      </c>
      <c r="P250" s="893">
        <f>SUM(M250,O250)</f>
        <v>31813</v>
      </c>
      <c r="Q250" s="332">
        <v>811</v>
      </c>
      <c r="R250" s="884">
        <f>SUBTOTAL(9,Q250:Q251)</f>
        <v>811</v>
      </c>
    </row>
    <row r="251" spans="1:18" ht="60" customHeight="1" x14ac:dyDescent="0.2">
      <c r="A251" s="905"/>
      <c r="B251" s="325" t="s">
        <v>973</v>
      </c>
      <c r="C251" s="325"/>
      <c r="D251" s="326" t="s">
        <v>876</v>
      </c>
      <c r="E251" s="327">
        <v>0.27</v>
      </c>
      <c r="F251" s="376" t="s">
        <v>1262</v>
      </c>
      <c r="G251" s="334" t="s">
        <v>588</v>
      </c>
      <c r="H251" s="356">
        <v>31000</v>
      </c>
      <c r="I251" s="356">
        <v>31000</v>
      </c>
      <c r="J251" s="356"/>
      <c r="K251" s="329"/>
      <c r="L251" s="887"/>
      <c r="M251" s="887"/>
      <c r="N251" s="893"/>
      <c r="O251" s="893"/>
      <c r="P251" s="893"/>
      <c r="Q251" s="332">
        <v>0</v>
      </c>
      <c r="R251" s="887"/>
    </row>
    <row r="252" spans="1:18" ht="55.5" customHeight="1" x14ac:dyDescent="0.2">
      <c r="A252" s="377" t="s">
        <v>1263</v>
      </c>
      <c r="B252" s="325"/>
      <c r="C252" s="325"/>
      <c r="D252" s="326" t="s">
        <v>1034</v>
      </c>
      <c r="E252" s="327">
        <v>0.27</v>
      </c>
      <c r="F252" s="376" t="s">
        <v>1264</v>
      </c>
      <c r="G252" s="378" t="s">
        <v>1265</v>
      </c>
      <c r="H252" s="356"/>
      <c r="I252" s="356">
        <v>29999.940000000002</v>
      </c>
      <c r="J252" s="356"/>
      <c r="K252" s="329"/>
      <c r="L252" s="379">
        <f>SUM(H252)</f>
        <v>0</v>
      </c>
      <c r="M252" s="380">
        <f>SUM(I252)</f>
        <v>29999.940000000002</v>
      </c>
      <c r="N252" s="380">
        <f>SUM(J252)</f>
        <v>0</v>
      </c>
      <c r="O252" s="380">
        <f>SUM(K252)</f>
        <v>0</v>
      </c>
      <c r="P252" s="381">
        <f>SUM(M252,O252)</f>
        <v>29999.940000000002</v>
      </c>
      <c r="Q252" s="332">
        <v>0</v>
      </c>
      <c r="R252" s="805">
        <f>SUBTOTAL(9,Q252)</f>
        <v>0</v>
      </c>
    </row>
    <row r="253" spans="1:18" ht="30" x14ac:dyDescent="0.2">
      <c r="A253" s="901"/>
      <c r="B253" s="901"/>
      <c r="C253" s="901"/>
      <c r="D253" s="901"/>
      <c r="E253" s="901"/>
      <c r="F253" s="330"/>
      <c r="G253" s="382" t="s">
        <v>589</v>
      </c>
      <c r="H253" s="380">
        <v>1721754</v>
      </c>
      <c r="I253" s="383">
        <v>1533576.94</v>
      </c>
      <c r="J253" s="383">
        <v>1452452</v>
      </c>
      <c r="K253" s="383">
        <v>1734087</v>
      </c>
      <c r="L253" s="383">
        <f>SUM(L4:L252)</f>
        <v>991058</v>
      </c>
      <c r="M253" s="383">
        <f>SUM(M4:M252)</f>
        <v>1533576.94</v>
      </c>
      <c r="N253" s="383">
        <f>SUM(N4:N252)</f>
        <v>1452452</v>
      </c>
      <c r="O253" s="383">
        <f>SUM(O4:O252)</f>
        <v>1742591</v>
      </c>
      <c r="P253" s="383">
        <f>SUM(P4:P252)</f>
        <v>3276167.94</v>
      </c>
      <c r="Q253" s="383">
        <v>1347570</v>
      </c>
      <c r="R253" s="804">
        <f>SUM(R4:R252)</f>
        <v>1348568</v>
      </c>
    </row>
    <row r="254" spans="1:18" s="391" customFormat="1" x14ac:dyDescent="0.2">
      <c r="A254" s="384"/>
      <c r="B254" s="385"/>
      <c r="C254" s="385"/>
      <c r="D254" s="386"/>
      <c r="E254" s="387"/>
      <c r="F254" s="388"/>
      <c r="G254" s="389"/>
      <c r="H254" s="387"/>
      <c r="I254" s="387"/>
      <c r="J254" s="387"/>
      <c r="K254" s="390"/>
      <c r="M254" s="392"/>
      <c r="N254" s="392"/>
      <c r="O254" s="392"/>
      <c r="P254" s="392"/>
      <c r="Q254" s="392"/>
      <c r="R254" s="392"/>
    </row>
    <row r="255" spans="1:18" s="391" customFormat="1" x14ac:dyDescent="0.2">
      <c r="A255" s="384"/>
      <c r="B255" s="385"/>
      <c r="C255" s="385"/>
      <c r="D255" s="386"/>
      <c r="E255" s="387"/>
      <c r="F255" s="388"/>
      <c r="G255" s="389"/>
      <c r="H255" s="387"/>
      <c r="I255" s="387"/>
      <c r="J255" s="387"/>
      <c r="K255" s="393"/>
      <c r="M255" s="392"/>
      <c r="N255" s="392"/>
      <c r="O255" s="392"/>
      <c r="P255" s="807"/>
      <c r="Q255" s="392"/>
    </row>
    <row r="256" spans="1:18" s="391" customFormat="1" x14ac:dyDescent="0.2">
      <c r="A256" s="384"/>
      <c r="B256" s="385"/>
      <c r="C256" s="385"/>
      <c r="D256" s="386"/>
      <c r="E256" s="387"/>
      <c r="F256" s="388"/>
      <c r="G256" s="389"/>
      <c r="H256" s="387"/>
      <c r="I256" s="387"/>
      <c r="J256" s="387"/>
      <c r="K256" s="393"/>
      <c r="M256" s="392"/>
      <c r="N256" s="392"/>
      <c r="O256" s="392"/>
      <c r="P256" s="392"/>
      <c r="Q256" s="392"/>
      <c r="R256" s="392"/>
    </row>
    <row r="257" spans="1:15" s="391" customFormat="1" x14ac:dyDescent="0.2">
      <c r="A257" s="394"/>
      <c r="B257" s="385"/>
      <c r="C257" s="385"/>
      <c r="D257" s="386"/>
      <c r="E257" s="387"/>
      <c r="F257" s="388"/>
      <c r="G257" s="389"/>
      <c r="H257" s="387"/>
      <c r="I257" s="387"/>
      <c r="J257" s="387"/>
      <c r="K257" s="387"/>
      <c r="M257" s="392"/>
      <c r="N257" s="392"/>
      <c r="O257" s="392"/>
    </row>
    <row r="258" spans="1:15" s="391" customFormat="1" x14ac:dyDescent="0.2">
      <c r="A258" s="384"/>
      <c r="B258" s="385"/>
      <c r="C258" s="385"/>
      <c r="E258" s="387"/>
      <c r="F258" s="388"/>
      <c r="G258" s="389"/>
      <c r="H258" s="387"/>
      <c r="I258" s="387"/>
      <c r="J258" s="387"/>
      <c r="K258" s="387"/>
      <c r="M258" s="392"/>
      <c r="N258" s="392"/>
      <c r="O258" s="392"/>
    </row>
    <row r="259" spans="1:15" s="391" customFormat="1" x14ac:dyDescent="0.2">
      <c r="A259" s="384"/>
      <c r="B259" s="385"/>
      <c r="C259" s="385"/>
      <c r="D259" s="386"/>
      <c r="E259" s="387"/>
      <c r="F259" s="388"/>
      <c r="G259" s="389"/>
      <c r="H259" s="387"/>
      <c r="I259" s="387"/>
      <c r="J259" s="387"/>
      <c r="K259" s="387"/>
      <c r="M259" s="392"/>
      <c r="N259" s="392"/>
      <c r="O259" s="392"/>
    </row>
    <row r="260" spans="1:15" s="391" customFormat="1" x14ac:dyDescent="0.2">
      <c r="A260" s="384"/>
      <c r="B260" s="385"/>
      <c r="C260" s="385"/>
      <c r="D260" s="386"/>
      <c r="E260" s="387"/>
      <c r="F260" s="388"/>
      <c r="G260" s="389"/>
      <c r="H260" s="387"/>
      <c r="I260" s="387"/>
      <c r="J260" s="387"/>
      <c r="K260" s="387"/>
      <c r="M260" s="392"/>
      <c r="N260" s="392"/>
      <c r="O260" s="392"/>
    </row>
    <row r="261" spans="1:15" s="391" customFormat="1" x14ac:dyDescent="0.2">
      <c r="A261" s="384"/>
      <c r="B261" s="385"/>
      <c r="C261" s="385"/>
      <c r="D261" s="386"/>
      <c r="E261" s="387"/>
      <c r="F261" s="388"/>
      <c r="G261" s="389"/>
      <c r="H261" s="387"/>
      <c r="I261" s="387"/>
      <c r="J261" s="387"/>
      <c r="K261" s="387"/>
      <c r="M261" s="392"/>
      <c r="N261" s="392"/>
      <c r="O261" s="392"/>
    </row>
    <row r="262" spans="1:15" s="391" customFormat="1" x14ac:dyDescent="0.2">
      <c r="A262" s="384"/>
      <c r="B262" s="385"/>
      <c r="C262" s="385"/>
      <c r="D262" s="386"/>
      <c r="E262" s="387"/>
      <c r="F262" s="388"/>
      <c r="G262" s="389"/>
      <c r="H262" s="387"/>
      <c r="I262" s="387"/>
      <c r="J262" s="387"/>
      <c r="K262" s="387"/>
      <c r="M262" s="392"/>
      <c r="N262" s="392"/>
      <c r="O262" s="392"/>
    </row>
    <row r="263" spans="1:15" s="391" customFormat="1" x14ac:dyDescent="0.2">
      <c r="A263" s="384"/>
      <c r="B263" s="385"/>
      <c r="C263" s="385"/>
      <c r="D263" s="386"/>
      <c r="E263" s="387"/>
      <c r="F263" s="388"/>
      <c r="G263" s="389"/>
      <c r="H263" s="387"/>
      <c r="I263" s="387"/>
      <c r="J263" s="387"/>
      <c r="K263" s="387"/>
      <c r="M263" s="392"/>
      <c r="N263" s="392"/>
      <c r="O263" s="392"/>
    </row>
    <row r="264" spans="1:15" s="391" customFormat="1" x14ac:dyDescent="0.2">
      <c r="A264" s="384"/>
      <c r="B264" s="385"/>
      <c r="C264" s="385"/>
      <c r="D264" s="386"/>
      <c r="E264" s="387"/>
      <c r="F264" s="388"/>
      <c r="G264" s="389"/>
      <c r="H264" s="387"/>
      <c r="I264" s="387"/>
      <c r="J264" s="387"/>
      <c r="K264" s="387"/>
      <c r="M264" s="392"/>
      <c r="N264" s="392"/>
      <c r="O264" s="392"/>
    </row>
    <row r="265" spans="1:15" s="391" customFormat="1" x14ac:dyDescent="0.2">
      <c r="A265" s="384"/>
      <c r="B265" s="385"/>
      <c r="C265" s="385"/>
      <c r="D265" s="386"/>
      <c r="E265" s="387"/>
      <c r="F265" s="388"/>
      <c r="G265" s="389"/>
      <c r="H265" s="387"/>
      <c r="I265" s="387"/>
      <c r="J265" s="387"/>
      <c r="K265" s="387"/>
      <c r="M265" s="392"/>
      <c r="N265" s="392"/>
      <c r="O265" s="392"/>
    </row>
    <row r="266" spans="1:15" s="391" customFormat="1" x14ac:dyDescent="0.2">
      <c r="A266" s="384"/>
      <c r="B266" s="385"/>
      <c r="C266" s="385"/>
      <c r="D266" s="386"/>
      <c r="E266" s="387"/>
      <c r="F266" s="388"/>
      <c r="G266" s="389"/>
      <c r="H266" s="387"/>
      <c r="I266" s="387"/>
      <c r="J266" s="387"/>
      <c r="K266" s="387"/>
      <c r="M266" s="392"/>
      <c r="N266" s="392"/>
      <c r="O266" s="392"/>
    </row>
    <row r="267" spans="1:15" s="391" customFormat="1" x14ac:dyDescent="0.2">
      <c r="A267" s="384"/>
      <c r="B267" s="385"/>
      <c r="C267" s="385"/>
      <c r="D267" s="386"/>
      <c r="E267" s="387"/>
      <c r="F267" s="388"/>
      <c r="G267" s="389"/>
      <c r="H267" s="387"/>
      <c r="I267" s="387"/>
      <c r="J267" s="387"/>
      <c r="K267" s="387"/>
      <c r="M267" s="392"/>
      <c r="N267" s="392"/>
      <c r="O267" s="392"/>
    </row>
    <row r="268" spans="1:15" s="391" customFormat="1" x14ac:dyDescent="0.2">
      <c r="A268" s="384"/>
      <c r="B268" s="385"/>
      <c r="C268" s="385"/>
      <c r="D268" s="386"/>
      <c r="E268" s="387"/>
      <c r="F268" s="388"/>
      <c r="G268" s="389"/>
      <c r="H268" s="387"/>
      <c r="I268" s="387"/>
      <c r="J268" s="387"/>
      <c r="K268" s="387"/>
      <c r="M268" s="392"/>
      <c r="N268" s="392"/>
      <c r="O268" s="392"/>
    </row>
    <row r="269" spans="1:15" s="391" customFormat="1" x14ac:dyDescent="0.2">
      <c r="A269" s="384"/>
      <c r="B269" s="385"/>
      <c r="C269" s="385"/>
      <c r="D269" s="386"/>
      <c r="E269" s="387"/>
      <c r="F269" s="388"/>
      <c r="G269" s="389"/>
      <c r="H269" s="387"/>
      <c r="I269" s="387"/>
      <c r="J269" s="387"/>
      <c r="K269" s="387"/>
      <c r="M269" s="392"/>
      <c r="N269" s="392"/>
      <c r="O269" s="392"/>
    </row>
    <row r="270" spans="1:15" s="391" customFormat="1" x14ac:dyDescent="0.2">
      <c r="A270" s="384"/>
      <c r="B270" s="385"/>
      <c r="C270" s="385"/>
      <c r="D270" s="386"/>
      <c r="E270" s="387"/>
      <c r="F270" s="388"/>
      <c r="G270" s="389"/>
      <c r="H270" s="387"/>
      <c r="I270" s="387"/>
      <c r="J270" s="387"/>
      <c r="K270" s="387"/>
      <c r="M270" s="392"/>
      <c r="N270" s="392"/>
      <c r="O270" s="392"/>
    </row>
    <row r="271" spans="1:15" s="391" customFormat="1" x14ac:dyDescent="0.2">
      <c r="A271" s="384"/>
      <c r="B271" s="385"/>
      <c r="C271" s="385"/>
      <c r="D271" s="386"/>
      <c r="E271" s="387"/>
      <c r="F271" s="388"/>
      <c r="G271" s="389"/>
      <c r="H271" s="387"/>
      <c r="I271" s="387"/>
      <c r="J271" s="387"/>
      <c r="K271" s="387"/>
      <c r="M271" s="392"/>
      <c r="N271" s="392"/>
      <c r="O271" s="392"/>
    </row>
  </sheetData>
  <mergeCells count="153">
    <mergeCell ref="A253:E253"/>
    <mergeCell ref="P238:P249"/>
    <mergeCell ref="R238:R249"/>
    <mergeCell ref="F246:F248"/>
    <mergeCell ref="A250:A251"/>
    <mergeCell ref="L250:L251"/>
    <mergeCell ref="M250:M251"/>
    <mergeCell ref="N250:N251"/>
    <mergeCell ref="O250:O251"/>
    <mergeCell ref="P250:P251"/>
    <mergeCell ref="R250:R251"/>
    <mergeCell ref="A238:A249"/>
    <mergeCell ref="F238:F244"/>
    <mergeCell ref="L238:L249"/>
    <mergeCell ref="M238:M249"/>
    <mergeCell ref="N238:N249"/>
    <mergeCell ref="O238:O249"/>
    <mergeCell ref="P218:P222"/>
    <mergeCell ref="R218:R222"/>
    <mergeCell ref="A223:A237"/>
    <mergeCell ref="F223:F237"/>
    <mergeCell ref="L223:L237"/>
    <mergeCell ref="M223:M237"/>
    <mergeCell ref="N223:N237"/>
    <mergeCell ref="O223:O237"/>
    <mergeCell ref="P223:P237"/>
    <mergeCell ref="R223:R237"/>
    <mergeCell ref="A218:A222"/>
    <mergeCell ref="F218:F222"/>
    <mergeCell ref="L218:L222"/>
    <mergeCell ref="M218:M222"/>
    <mergeCell ref="N218:N222"/>
    <mergeCell ref="O218:O222"/>
    <mergeCell ref="P209:P215"/>
    <mergeCell ref="R209:R215"/>
    <mergeCell ref="A216:A217"/>
    <mergeCell ref="F216:F217"/>
    <mergeCell ref="L216:L217"/>
    <mergeCell ref="M216:M217"/>
    <mergeCell ref="N216:N217"/>
    <mergeCell ref="O216:O217"/>
    <mergeCell ref="P216:P217"/>
    <mergeCell ref="R216:R217"/>
    <mergeCell ref="A209:A215"/>
    <mergeCell ref="F209:F215"/>
    <mergeCell ref="L209:L215"/>
    <mergeCell ref="M209:M215"/>
    <mergeCell ref="N209:N215"/>
    <mergeCell ref="O209:O215"/>
    <mergeCell ref="A204:A208"/>
    <mergeCell ref="F204:F208"/>
    <mergeCell ref="L204:L208"/>
    <mergeCell ref="M204:M208"/>
    <mergeCell ref="N204:N208"/>
    <mergeCell ref="O204:O208"/>
    <mergeCell ref="P204:P208"/>
    <mergeCell ref="R204:R208"/>
    <mergeCell ref="A185:A203"/>
    <mergeCell ref="F185:F199"/>
    <mergeCell ref="L185:L203"/>
    <mergeCell ref="M185:M203"/>
    <mergeCell ref="N185:N203"/>
    <mergeCell ref="O185:O203"/>
    <mergeCell ref="A174:A184"/>
    <mergeCell ref="F174:F184"/>
    <mergeCell ref="L174:L184"/>
    <mergeCell ref="M174:M184"/>
    <mergeCell ref="N174:N184"/>
    <mergeCell ref="O174:O184"/>
    <mergeCell ref="P174:P184"/>
    <mergeCell ref="R174:R184"/>
    <mergeCell ref="P185:P203"/>
    <mergeCell ref="R185:R203"/>
    <mergeCell ref="P165:P170"/>
    <mergeCell ref="R165:R170"/>
    <mergeCell ref="F168:F170"/>
    <mergeCell ref="A171:A173"/>
    <mergeCell ref="F171:F173"/>
    <mergeCell ref="L171:L173"/>
    <mergeCell ref="M171:M173"/>
    <mergeCell ref="N171:N173"/>
    <mergeCell ref="O171:O173"/>
    <mergeCell ref="P171:P173"/>
    <mergeCell ref="A165:A170"/>
    <mergeCell ref="F165:F166"/>
    <mergeCell ref="L165:L170"/>
    <mergeCell ref="M165:M170"/>
    <mergeCell ref="N165:N170"/>
    <mergeCell ref="O165:O170"/>
    <mergeCell ref="R171:R173"/>
    <mergeCell ref="A107:A164"/>
    <mergeCell ref="L107:L164"/>
    <mergeCell ref="M107:M164"/>
    <mergeCell ref="N107:N164"/>
    <mergeCell ref="O107:O164"/>
    <mergeCell ref="P107:P164"/>
    <mergeCell ref="R107:R164"/>
    <mergeCell ref="A99:A106"/>
    <mergeCell ref="F99:F106"/>
    <mergeCell ref="L99:L106"/>
    <mergeCell ref="M99:M106"/>
    <mergeCell ref="N99:N106"/>
    <mergeCell ref="O99:O106"/>
    <mergeCell ref="A90:A98"/>
    <mergeCell ref="F90:F98"/>
    <mergeCell ref="L90:L98"/>
    <mergeCell ref="M90:M98"/>
    <mergeCell ref="N90:N98"/>
    <mergeCell ref="O90:O98"/>
    <mergeCell ref="P90:P98"/>
    <mergeCell ref="R90:R98"/>
    <mergeCell ref="P99:P106"/>
    <mergeCell ref="R99:R106"/>
    <mergeCell ref="P10:P83"/>
    <mergeCell ref="R10:R83"/>
    <mergeCell ref="F55:F78"/>
    <mergeCell ref="F79:F83"/>
    <mergeCell ref="A85:A89"/>
    <mergeCell ref="F85:F89"/>
    <mergeCell ref="L85:L89"/>
    <mergeCell ref="M85:M89"/>
    <mergeCell ref="N85:N89"/>
    <mergeCell ref="O85:O89"/>
    <mergeCell ref="A10:A83"/>
    <mergeCell ref="F10:F54"/>
    <mergeCell ref="L10:L83"/>
    <mergeCell ref="M10:M83"/>
    <mergeCell ref="N10:N83"/>
    <mergeCell ref="O10:O83"/>
    <mergeCell ref="P85:P89"/>
    <mergeCell ref="R85:R89"/>
    <mergeCell ref="Q1:Q3"/>
    <mergeCell ref="R1:R3"/>
    <mergeCell ref="A4:A8"/>
    <mergeCell ref="F4:F7"/>
    <mergeCell ref="L4:L8"/>
    <mergeCell ref="M4:M8"/>
    <mergeCell ref="N4:N8"/>
    <mergeCell ref="O4:O8"/>
    <mergeCell ref="P4:P8"/>
    <mergeCell ref="R4:R8"/>
    <mergeCell ref="G1:G3"/>
    <mergeCell ref="L1:L3"/>
    <mergeCell ref="M1:M3"/>
    <mergeCell ref="N1:N3"/>
    <mergeCell ref="O1:O3"/>
    <mergeCell ref="P1:P3"/>
    <mergeCell ref="A1:A3"/>
    <mergeCell ref="B1:B3"/>
    <mergeCell ref="C1:C3"/>
    <mergeCell ref="D1:D3"/>
    <mergeCell ref="E1:E3"/>
    <mergeCell ref="F1:F3"/>
  </mergeCells>
  <printOptions horizontalCentered="1"/>
  <pageMargins left="0" right="0" top="0.59055118110236227" bottom="0.39370078740157483" header="0.23622047244094491" footer="0.11811023622047245"/>
  <pageSetup paperSize="8" scale="65" orientation="portrait" r:id="rId1"/>
  <headerFooter>
    <oddHeader>&amp;LVeresegyház Város Önkormányzat&amp;C&amp;"Arial CE,Félkövér"K6 Beruházások&amp;R13.1 mellékletadatok ezer Ft-ban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R59"/>
  <sheetViews>
    <sheetView view="pageLayout" zoomScale="70" zoomScaleNormal="100" zoomScaleSheetLayoutView="100" zoomScalePageLayoutView="70" workbookViewId="0">
      <selection activeCell="J11" sqref="J11"/>
    </sheetView>
  </sheetViews>
  <sheetFormatPr defaultColWidth="10" defaultRowHeight="12.75" outlineLevelCol="1" x14ac:dyDescent="0.2"/>
  <cols>
    <col min="1" max="1" width="13.42578125" style="713" customWidth="1"/>
    <col min="2" max="2" width="6.140625" style="707" customWidth="1" collapsed="1"/>
    <col min="3" max="3" width="10" style="432" hidden="1" customWidth="1" outlineLevel="1"/>
    <col min="4" max="4" width="13.5703125" style="705" customWidth="1"/>
    <col min="5" max="5" width="5.28515625" style="719" customWidth="1"/>
    <col min="6" max="6" width="11.5703125" style="734" customWidth="1"/>
    <col min="7" max="7" width="43.140625" style="702" customWidth="1"/>
    <col min="8" max="8" width="11.28515625" style="719" customWidth="1"/>
    <col min="9" max="9" width="11.140625" style="719" customWidth="1"/>
    <col min="10" max="11" width="10.85546875" style="719" customWidth="1"/>
    <col min="12" max="12" width="10.28515625" style="704" customWidth="1"/>
    <col min="13" max="13" width="10.5703125" style="733" customWidth="1"/>
    <col min="14" max="14" width="10.140625" style="733" customWidth="1"/>
    <col min="15" max="15" width="10.5703125" style="733" customWidth="1"/>
    <col min="16" max="16" width="9.7109375" style="704" customWidth="1" collapsed="1"/>
    <col min="17" max="17" width="9.85546875" style="704" customWidth="1"/>
    <col min="18" max="18" width="11.28515625" style="733" customWidth="1"/>
    <col min="19" max="16384" width="10" style="719"/>
  </cols>
  <sheetData>
    <row r="1" spans="1:18" s="704" customFormat="1" ht="35.25" customHeight="1" x14ac:dyDescent="0.2">
      <c r="A1" s="925" t="s">
        <v>590</v>
      </c>
      <c r="B1" s="926" t="s">
        <v>860</v>
      </c>
      <c r="C1" s="927" t="s">
        <v>861</v>
      </c>
      <c r="D1" s="928" t="s">
        <v>862</v>
      </c>
      <c r="E1" s="925" t="s">
        <v>863</v>
      </c>
      <c r="F1" s="925" t="s">
        <v>591</v>
      </c>
      <c r="G1" s="923" t="s">
        <v>592</v>
      </c>
      <c r="H1" s="335" t="s">
        <v>864</v>
      </c>
      <c r="I1" s="335" t="s">
        <v>865</v>
      </c>
      <c r="J1" s="335" t="s">
        <v>864</v>
      </c>
      <c r="K1" s="335" t="s">
        <v>865</v>
      </c>
      <c r="L1" s="923" t="s">
        <v>866</v>
      </c>
      <c r="M1" s="923" t="s">
        <v>867</v>
      </c>
      <c r="N1" s="923" t="s">
        <v>868</v>
      </c>
      <c r="O1" s="923" t="s">
        <v>869</v>
      </c>
      <c r="P1" s="924" t="s">
        <v>593</v>
      </c>
      <c r="Q1" s="923" t="s">
        <v>870</v>
      </c>
      <c r="R1" s="931" t="s">
        <v>871</v>
      </c>
    </row>
    <row r="2" spans="1:18" s="704" customFormat="1" ht="41.25" customHeight="1" x14ac:dyDescent="0.2">
      <c r="A2" s="925"/>
      <c r="B2" s="926"/>
      <c r="C2" s="927"/>
      <c r="D2" s="929"/>
      <c r="E2" s="925"/>
      <c r="F2" s="925"/>
      <c r="G2" s="923"/>
      <c r="H2" s="335" t="s">
        <v>872</v>
      </c>
      <c r="I2" s="708" t="s">
        <v>872</v>
      </c>
      <c r="J2" s="335" t="s">
        <v>873</v>
      </c>
      <c r="K2" s="709" t="s">
        <v>873</v>
      </c>
      <c r="L2" s="923"/>
      <c r="M2" s="923"/>
      <c r="N2" s="923"/>
      <c r="O2" s="923"/>
      <c r="P2" s="924"/>
      <c r="Q2" s="923"/>
      <c r="R2" s="932"/>
    </row>
    <row r="3" spans="1:18" s="704" customFormat="1" ht="18.75" customHeight="1" x14ac:dyDescent="0.2">
      <c r="A3" s="925"/>
      <c r="B3" s="926"/>
      <c r="C3" s="927"/>
      <c r="D3" s="930"/>
      <c r="E3" s="925"/>
      <c r="F3" s="925"/>
      <c r="G3" s="923"/>
      <c r="H3" s="335" t="s">
        <v>399</v>
      </c>
      <c r="I3" s="335" t="s">
        <v>399</v>
      </c>
      <c r="J3" s="335" t="s">
        <v>399</v>
      </c>
      <c r="K3" s="335" t="s">
        <v>399</v>
      </c>
      <c r="L3" s="923"/>
      <c r="M3" s="923"/>
      <c r="N3" s="923"/>
      <c r="O3" s="923"/>
      <c r="P3" s="924"/>
      <c r="Q3" s="923"/>
      <c r="R3" s="933"/>
    </row>
    <row r="4" spans="1:18" x14ac:dyDescent="0.2">
      <c r="A4" s="931" t="s">
        <v>478</v>
      </c>
      <c r="B4" s="410" t="s">
        <v>885</v>
      </c>
      <c r="C4" s="735" t="s">
        <v>886</v>
      </c>
      <c r="D4" s="371" t="s">
        <v>876</v>
      </c>
      <c r="E4" s="714"/>
      <c r="F4" s="931" t="s">
        <v>599</v>
      </c>
      <c r="G4" s="700" t="s">
        <v>600</v>
      </c>
      <c r="H4" s="715">
        <v>3000</v>
      </c>
      <c r="I4" s="715">
        <v>3000</v>
      </c>
      <c r="J4" s="716"/>
      <c r="K4" s="717"/>
      <c r="L4" s="936">
        <f>SUM(H4:H39)</f>
        <v>16609</v>
      </c>
      <c r="M4" s="936">
        <f>SUM(I4:I39)</f>
        <v>16609</v>
      </c>
      <c r="N4" s="938">
        <f>SUM(J4:J39)</f>
        <v>0</v>
      </c>
      <c r="O4" s="938">
        <f>SUM(K4:K39)</f>
        <v>0</v>
      </c>
      <c r="P4" s="939">
        <f>SUM(M4,O4)</f>
        <v>16609</v>
      </c>
      <c r="Q4" s="718">
        <v>0</v>
      </c>
      <c r="R4" s="938">
        <v>3089</v>
      </c>
    </row>
    <row r="5" spans="1:18" x14ac:dyDescent="0.2">
      <c r="A5" s="932"/>
      <c r="B5" s="410" t="s">
        <v>885</v>
      </c>
      <c r="C5" s="735" t="s">
        <v>886</v>
      </c>
      <c r="D5" s="371" t="s">
        <v>876</v>
      </c>
      <c r="E5" s="714"/>
      <c r="F5" s="932"/>
      <c r="G5" s="700" t="s">
        <v>601</v>
      </c>
      <c r="H5" s="715">
        <v>5000</v>
      </c>
      <c r="I5" s="715">
        <v>5000</v>
      </c>
      <c r="J5" s="720"/>
      <c r="K5" s="717"/>
      <c r="L5" s="937"/>
      <c r="M5" s="937"/>
      <c r="N5" s="938"/>
      <c r="O5" s="938"/>
      <c r="P5" s="940"/>
      <c r="Q5" s="718">
        <v>0</v>
      </c>
      <c r="R5" s="938"/>
    </row>
    <row r="6" spans="1:18" x14ac:dyDescent="0.2">
      <c r="A6" s="932"/>
      <c r="B6" s="410" t="s">
        <v>885</v>
      </c>
      <c r="C6" s="735" t="s">
        <v>886</v>
      </c>
      <c r="D6" s="371" t="s">
        <v>876</v>
      </c>
      <c r="E6" s="714"/>
      <c r="F6" s="932"/>
      <c r="G6" s="700" t="s">
        <v>602</v>
      </c>
      <c r="H6" s="715">
        <v>500</v>
      </c>
      <c r="I6" s="715">
        <v>500</v>
      </c>
      <c r="J6" s="720"/>
      <c r="K6" s="717"/>
      <c r="L6" s="937"/>
      <c r="M6" s="937"/>
      <c r="N6" s="938"/>
      <c r="O6" s="938"/>
      <c r="P6" s="940"/>
      <c r="Q6" s="718">
        <v>0</v>
      </c>
      <c r="R6" s="938"/>
    </row>
    <row r="7" spans="1:18" x14ac:dyDescent="0.2">
      <c r="A7" s="932"/>
      <c r="B7" s="410" t="s">
        <v>885</v>
      </c>
      <c r="C7" s="735" t="s">
        <v>886</v>
      </c>
      <c r="D7" s="371" t="s">
        <v>876</v>
      </c>
      <c r="E7" s="714"/>
      <c r="F7" s="932"/>
      <c r="G7" s="700" t="s">
        <v>603</v>
      </c>
      <c r="H7" s="715">
        <v>300</v>
      </c>
      <c r="I7" s="715">
        <v>300</v>
      </c>
      <c r="J7" s="720"/>
      <c r="K7" s="717"/>
      <c r="L7" s="937"/>
      <c r="M7" s="937"/>
      <c r="N7" s="938"/>
      <c r="O7" s="938"/>
      <c r="P7" s="940"/>
      <c r="Q7" s="718">
        <v>0</v>
      </c>
      <c r="R7" s="938"/>
    </row>
    <row r="8" spans="1:18" x14ac:dyDescent="0.2">
      <c r="A8" s="932"/>
      <c r="B8" s="410" t="s">
        <v>885</v>
      </c>
      <c r="C8" s="735" t="s">
        <v>886</v>
      </c>
      <c r="D8" s="371" t="s">
        <v>876</v>
      </c>
      <c r="E8" s="714"/>
      <c r="F8" s="932"/>
      <c r="G8" s="700" t="s">
        <v>604</v>
      </c>
      <c r="H8" s="715">
        <v>541</v>
      </c>
      <c r="I8" s="715">
        <v>541</v>
      </c>
      <c r="J8" s="720"/>
      <c r="K8" s="717"/>
      <c r="L8" s="937"/>
      <c r="M8" s="937"/>
      <c r="N8" s="938"/>
      <c r="O8" s="938"/>
      <c r="P8" s="940"/>
      <c r="Q8" s="718">
        <v>0</v>
      </c>
      <c r="R8" s="938"/>
    </row>
    <row r="9" spans="1:18" x14ac:dyDescent="0.2">
      <c r="A9" s="932"/>
      <c r="B9" s="410" t="s">
        <v>885</v>
      </c>
      <c r="C9" s="735" t="s">
        <v>886</v>
      </c>
      <c r="D9" s="371" t="s">
        <v>876</v>
      </c>
      <c r="E9" s="714"/>
      <c r="F9" s="932"/>
      <c r="G9" s="702" t="s">
        <v>605</v>
      </c>
      <c r="H9" s="715">
        <v>300</v>
      </c>
      <c r="I9" s="715">
        <v>300</v>
      </c>
      <c r="J9" s="720"/>
      <c r="K9" s="717"/>
      <c r="L9" s="937"/>
      <c r="M9" s="937"/>
      <c r="N9" s="938"/>
      <c r="O9" s="938"/>
      <c r="P9" s="940"/>
      <c r="Q9" s="718">
        <v>0</v>
      </c>
      <c r="R9" s="938"/>
    </row>
    <row r="10" spans="1:18" x14ac:dyDescent="0.2">
      <c r="A10" s="932"/>
      <c r="B10" s="410" t="s">
        <v>885</v>
      </c>
      <c r="C10" s="735" t="s">
        <v>886</v>
      </c>
      <c r="D10" s="371" t="s">
        <v>876</v>
      </c>
      <c r="E10" s="714"/>
      <c r="F10" s="932"/>
      <c r="G10" s="700" t="s">
        <v>606</v>
      </c>
      <c r="H10" s="715">
        <v>299</v>
      </c>
      <c r="I10" s="715">
        <v>299</v>
      </c>
      <c r="J10" s="720"/>
      <c r="K10" s="717"/>
      <c r="L10" s="937"/>
      <c r="M10" s="937"/>
      <c r="N10" s="938"/>
      <c r="O10" s="938"/>
      <c r="P10" s="940"/>
      <c r="Q10" s="718">
        <v>0</v>
      </c>
      <c r="R10" s="938"/>
    </row>
    <row r="11" spans="1:18" ht="22.5" x14ac:dyDescent="0.2">
      <c r="A11" s="932"/>
      <c r="B11" s="410" t="s">
        <v>885</v>
      </c>
      <c r="C11" s="736" t="s">
        <v>1198</v>
      </c>
      <c r="D11" s="371" t="s">
        <v>1301</v>
      </c>
      <c r="E11" s="714"/>
      <c r="F11" s="931" t="s">
        <v>607</v>
      </c>
      <c r="G11" s="378" t="s">
        <v>1302</v>
      </c>
      <c r="H11" s="715">
        <v>500</v>
      </c>
      <c r="I11" s="715">
        <v>500</v>
      </c>
      <c r="J11" s="720"/>
      <c r="K11" s="717"/>
      <c r="L11" s="937"/>
      <c r="M11" s="937"/>
      <c r="N11" s="938"/>
      <c r="O11" s="938"/>
      <c r="P11" s="940"/>
      <c r="Q11" s="718">
        <v>0</v>
      </c>
      <c r="R11" s="938"/>
    </row>
    <row r="12" spans="1:18" x14ac:dyDescent="0.2">
      <c r="A12" s="932"/>
      <c r="B12" s="410" t="s">
        <v>885</v>
      </c>
      <c r="C12" s="736" t="s">
        <v>1198</v>
      </c>
      <c r="D12" s="371" t="s">
        <v>876</v>
      </c>
      <c r="E12" s="714"/>
      <c r="F12" s="932"/>
      <c r="G12" s="700" t="s">
        <v>594</v>
      </c>
      <c r="H12" s="715">
        <v>200</v>
      </c>
      <c r="I12" s="715">
        <v>200</v>
      </c>
      <c r="J12" s="720"/>
      <c r="K12" s="717"/>
      <c r="L12" s="937"/>
      <c r="M12" s="937"/>
      <c r="N12" s="938"/>
      <c r="O12" s="938"/>
      <c r="P12" s="940"/>
      <c r="Q12" s="718">
        <v>0</v>
      </c>
      <c r="R12" s="938"/>
    </row>
    <row r="13" spans="1:18" x14ac:dyDescent="0.2">
      <c r="A13" s="932"/>
      <c r="B13" s="410" t="s">
        <v>885</v>
      </c>
      <c r="C13" s="736" t="s">
        <v>1198</v>
      </c>
      <c r="D13" s="371" t="s">
        <v>876</v>
      </c>
      <c r="E13" s="714"/>
      <c r="F13" s="932"/>
      <c r="G13" s="700" t="s">
        <v>595</v>
      </c>
      <c r="H13" s="715">
        <v>200</v>
      </c>
      <c r="I13" s="715">
        <v>200</v>
      </c>
      <c r="J13" s="720"/>
      <c r="K13" s="717"/>
      <c r="L13" s="937"/>
      <c r="M13" s="937"/>
      <c r="N13" s="938"/>
      <c r="O13" s="938"/>
      <c r="P13" s="940"/>
      <c r="Q13" s="718">
        <v>0</v>
      </c>
      <c r="R13" s="938"/>
    </row>
    <row r="14" spans="1:18" s="704" customFormat="1" x14ac:dyDescent="0.2">
      <c r="A14" s="932"/>
      <c r="B14" s="410" t="s">
        <v>885</v>
      </c>
      <c r="C14" s="736" t="s">
        <v>1198</v>
      </c>
      <c r="D14" s="371" t="s">
        <v>876</v>
      </c>
      <c r="E14" s="721"/>
      <c r="F14" s="932"/>
      <c r="G14" s="371" t="s">
        <v>596</v>
      </c>
      <c r="H14" s="715">
        <v>500</v>
      </c>
      <c r="I14" s="715">
        <v>500</v>
      </c>
      <c r="J14" s="717"/>
      <c r="K14" s="717"/>
      <c r="L14" s="937"/>
      <c r="M14" s="937"/>
      <c r="N14" s="938"/>
      <c r="O14" s="938"/>
      <c r="P14" s="940"/>
      <c r="Q14" s="718">
        <v>0</v>
      </c>
      <c r="R14" s="938"/>
    </row>
    <row r="15" spans="1:18" s="704" customFormat="1" x14ac:dyDescent="0.2">
      <c r="A15" s="932"/>
      <c r="B15" s="410" t="s">
        <v>885</v>
      </c>
      <c r="C15" s="736" t="s">
        <v>1198</v>
      </c>
      <c r="D15" s="371" t="s">
        <v>876</v>
      </c>
      <c r="E15" s="721"/>
      <c r="F15" s="932"/>
      <c r="G15" s="371" t="s">
        <v>597</v>
      </c>
      <c r="H15" s="715">
        <v>500</v>
      </c>
      <c r="I15" s="715">
        <v>500</v>
      </c>
      <c r="J15" s="717"/>
      <c r="K15" s="717"/>
      <c r="L15" s="937"/>
      <c r="M15" s="937"/>
      <c r="N15" s="938"/>
      <c r="O15" s="938"/>
      <c r="P15" s="940"/>
      <c r="Q15" s="718">
        <v>0</v>
      </c>
      <c r="R15" s="938"/>
    </row>
    <row r="16" spans="1:18" s="704" customFormat="1" x14ac:dyDescent="0.2">
      <c r="A16" s="932"/>
      <c r="B16" s="410" t="s">
        <v>885</v>
      </c>
      <c r="C16" s="736" t="s">
        <v>1198</v>
      </c>
      <c r="D16" s="371" t="s">
        <v>876</v>
      </c>
      <c r="E16" s="721"/>
      <c r="F16" s="932"/>
      <c r="G16" s="371" t="s">
        <v>598</v>
      </c>
      <c r="H16" s="715">
        <v>80</v>
      </c>
      <c r="I16" s="715">
        <v>80</v>
      </c>
      <c r="J16" s="722"/>
      <c r="K16" s="717"/>
      <c r="L16" s="937"/>
      <c r="M16" s="937"/>
      <c r="N16" s="938"/>
      <c r="O16" s="938"/>
      <c r="P16" s="940"/>
      <c r="Q16" s="718">
        <v>0</v>
      </c>
      <c r="R16" s="938"/>
    </row>
    <row r="17" spans="1:18" ht="22.5" x14ac:dyDescent="0.2">
      <c r="A17" s="932"/>
      <c r="B17" s="410" t="s">
        <v>885</v>
      </c>
      <c r="C17" s="736" t="s">
        <v>1198</v>
      </c>
      <c r="D17" s="371" t="s">
        <v>1303</v>
      </c>
      <c r="E17" s="723"/>
      <c r="F17" s="932"/>
      <c r="G17" s="378" t="s">
        <v>608</v>
      </c>
      <c r="H17" s="715">
        <v>48</v>
      </c>
      <c r="I17" s="715">
        <v>48</v>
      </c>
      <c r="J17" s="717"/>
      <c r="K17" s="717"/>
      <c r="L17" s="937"/>
      <c r="M17" s="937"/>
      <c r="N17" s="938"/>
      <c r="O17" s="938"/>
      <c r="P17" s="940"/>
      <c r="Q17" s="718">
        <v>48</v>
      </c>
      <c r="R17" s="938"/>
    </row>
    <row r="18" spans="1:18" x14ac:dyDescent="0.2">
      <c r="A18" s="932"/>
      <c r="B18" s="410" t="s">
        <v>885</v>
      </c>
      <c r="C18" s="736" t="s">
        <v>1198</v>
      </c>
      <c r="D18" s="371" t="s">
        <v>876</v>
      </c>
      <c r="E18" s="714"/>
      <c r="F18" s="932"/>
      <c r="G18" s="700" t="s">
        <v>609</v>
      </c>
      <c r="H18" s="715">
        <v>100</v>
      </c>
      <c r="I18" s="715">
        <v>100</v>
      </c>
      <c r="J18" s="720"/>
      <c r="K18" s="717"/>
      <c r="L18" s="937"/>
      <c r="M18" s="937"/>
      <c r="N18" s="938"/>
      <c r="O18" s="938"/>
      <c r="P18" s="940"/>
      <c r="Q18" s="718">
        <v>0</v>
      </c>
      <c r="R18" s="938"/>
    </row>
    <row r="19" spans="1:18" x14ac:dyDescent="0.2">
      <c r="A19" s="932"/>
      <c r="B19" s="410" t="s">
        <v>885</v>
      </c>
      <c r="C19" s="736" t="s">
        <v>1198</v>
      </c>
      <c r="D19" s="371" t="s">
        <v>876</v>
      </c>
      <c r="E19" s="724"/>
      <c r="F19" s="932"/>
      <c r="G19" s="700" t="s">
        <v>610</v>
      </c>
      <c r="H19" s="715">
        <v>100</v>
      </c>
      <c r="I19" s="715">
        <v>100</v>
      </c>
      <c r="J19" s="720"/>
      <c r="K19" s="717"/>
      <c r="L19" s="937"/>
      <c r="M19" s="937"/>
      <c r="N19" s="938"/>
      <c r="O19" s="938"/>
      <c r="P19" s="940"/>
      <c r="Q19" s="718">
        <v>0</v>
      </c>
      <c r="R19" s="938"/>
    </row>
    <row r="20" spans="1:18" s="704" customFormat="1" x14ac:dyDescent="0.2">
      <c r="A20" s="932"/>
      <c r="B20" s="410" t="s">
        <v>885</v>
      </c>
      <c r="C20" s="736" t="s">
        <v>1198</v>
      </c>
      <c r="D20" s="371" t="s">
        <v>876</v>
      </c>
      <c r="E20" s="721"/>
      <c r="F20" s="932"/>
      <c r="G20" s="371" t="s">
        <v>611</v>
      </c>
      <c r="H20" s="715">
        <v>1000</v>
      </c>
      <c r="I20" s="715">
        <v>1000</v>
      </c>
      <c r="J20" s="717"/>
      <c r="K20" s="717"/>
      <c r="L20" s="937"/>
      <c r="M20" s="937"/>
      <c r="N20" s="938"/>
      <c r="O20" s="938"/>
      <c r="P20" s="940"/>
      <c r="Q20" s="718">
        <v>0</v>
      </c>
      <c r="R20" s="938"/>
    </row>
    <row r="21" spans="1:18" s="704" customFormat="1" x14ac:dyDescent="0.2">
      <c r="A21" s="932"/>
      <c r="B21" s="410" t="s">
        <v>885</v>
      </c>
      <c r="C21" s="736" t="s">
        <v>1198</v>
      </c>
      <c r="D21" s="371" t="s">
        <v>876</v>
      </c>
      <c r="E21" s="721"/>
      <c r="F21" s="932"/>
      <c r="G21" s="371" t="s">
        <v>612</v>
      </c>
      <c r="H21" s="715">
        <v>254</v>
      </c>
      <c r="I21" s="715">
        <v>254</v>
      </c>
      <c r="J21" s="717"/>
      <c r="K21" s="717"/>
      <c r="L21" s="937"/>
      <c r="M21" s="937"/>
      <c r="N21" s="938"/>
      <c r="O21" s="938"/>
      <c r="P21" s="940"/>
      <c r="Q21" s="718">
        <v>0</v>
      </c>
      <c r="R21" s="938"/>
    </row>
    <row r="22" spans="1:18" s="704" customFormat="1" ht="12" x14ac:dyDescent="0.2">
      <c r="A22" s="932"/>
      <c r="B22" s="410" t="s">
        <v>885</v>
      </c>
      <c r="C22" s="737"/>
      <c r="D22" s="371" t="s">
        <v>1304</v>
      </c>
      <c r="E22" s="724"/>
      <c r="F22" s="932"/>
      <c r="G22" s="371" t="s">
        <v>1305</v>
      </c>
      <c r="H22" s="715"/>
      <c r="I22" s="715"/>
      <c r="J22" s="717"/>
      <c r="K22" s="717"/>
      <c r="L22" s="937"/>
      <c r="M22" s="937"/>
      <c r="N22" s="938"/>
      <c r="O22" s="938"/>
      <c r="P22" s="940"/>
      <c r="Q22" s="718">
        <v>47</v>
      </c>
      <c r="R22" s="938"/>
    </row>
    <row r="23" spans="1:18" ht="22.5" x14ac:dyDescent="0.2">
      <c r="A23" s="932"/>
      <c r="B23" s="410" t="s">
        <v>885</v>
      </c>
      <c r="C23" s="736" t="s">
        <v>1198</v>
      </c>
      <c r="D23" s="371" t="s">
        <v>1306</v>
      </c>
      <c r="E23" s="714"/>
      <c r="F23" s="932"/>
      <c r="G23" s="378" t="s">
        <v>1307</v>
      </c>
      <c r="H23" s="715"/>
      <c r="I23" s="715"/>
      <c r="J23" s="720"/>
      <c r="K23" s="717"/>
      <c r="L23" s="937"/>
      <c r="M23" s="937"/>
      <c r="N23" s="938"/>
      <c r="O23" s="938"/>
      <c r="P23" s="940"/>
      <c r="Q23" s="718">
        <v>183</v>
      </c>
      <c r="R23" s="938"/>
    </row>
    <row r="24" spans="1:18" x14ac:dyDescent="0.2">
      <c r="A24" s="932"/>
      <c r="B24" s="410" t="s">
        <v>885</v>
      </c>
      <c r="C24" s="736" t="s">
        <v>1198</v>
      </c>
      <c r="D24" s="371" t="s">
        <v>1306</v>
      </c>
      <c r="E24" s="714"/>
      <c r="F24" s="932"/>
      <c r="G24" s="700" t="s">
        <v>1308</v>
      </c>
      <c r="H24" s="715"/>
      <c r="I24" s="715"/>
      <c r="J24" s="720"/>
      <c r="K24" s="717"/>
      <c r="L24" s="937"/>
      <c r="M24" s="937"/>
      <c r="N24" s="938"/>
      <c r="O24" s="938"/>
      <c r="P24" s="940"/>
      <c r="Q24" s="718">
        <v>330</v>
      </c>
      <c r="R24" s="938"/>
    </row>
    <row r="25" spans="1:18" ht="22.5" x14ac:dyDescent="0.2">
      <c r="A25" s="932"/>
      <c r="B25" s="410" t="s">
        <v>885</v>
      </c>
      <c r="C25" s="736" t="s">
        <v>1198</v>
      </c>
      <c r="D25" s="371" t="s">
        <v>1309</v>
      </c>
      <c r="E25" s="714"/>
      <c r="F25" s="932"/>
      <c r="G25" s="371" t="s">
        <v>1310</v>
      </c>
      <c r="H25" s="715"/>
      <c r="I25" s="715"/>
      <c r="J25" s="720"/>
      <c r="K25" s="717"/>
      <c r="L25" s="937"/>
      <c r="M25" s="937"/>
      <c r="N25" s="938"/>
      <c r="O25" s="938"/>
      <c r="P25" s="940"/>
      <c r="Q25" s="718">
        <v>4</v>
      </c>
      <c r="R25" s="938"/>
    </row>
    <row r="26" spans="1:18" ht="22.5" x14ac:dyDescent="0.2">
      <c r="A26" s="932"/>
      <c r="B26" s="706" t="s">
        <v>874</v>
      </c>
      <c r="C26" s="736" t="s">
        <v>1146</v>
      </c>
      <c r="D26" s="371" t="s">
        <v>1311</v>
      </c>
      <c r="E26" s="723"/>
      <c r="F26" s="931" t="s">
        <v>763</v>
      </c>
      <c r="G26" s="378" t="s">
        <v>613</v>
      </c>
      <c r="H26" s="715">
        <v>51</v>
      </c>
      <c r="I26" s="715">
        <v>51</v>
      </c>
      <c r="J26" s="717"/>
      <c r="K26" s="717"/>
      <c r="L26" s="937"/>
      <c r="M26" s="937"/>
      <c r="N26" s="938"/>
      <c r="O26" s="938"/>
      <c r="P26" s="940"/>
      <c r="Q26" s="718">
        <v>51</v>
      </c>
      <c r="R26" s="938"/>
    </row>
    <row r="27" spans="1:18" x14ac:dyDescent="0.2">
      <c r="A27" s="932"/>
      <c r="B27" s="706" t="s">
        <v>874</v>
      </c>
      <c r="C27" s="736" t="s">
        <v>1146</v>
      </c>
      <c r="D27" s="371" t="s">
        <v>876</v>
      </c>
      <c r="E27" s="714"/>
      <c r="F27" s="932"/>
      <c r="G27" s="700" t="s">
        <v>614</v>
      </c>
      <c r="H27" s="715">
        <v>635</v>
      </c>
      <c r="I27" s="715">
        <v>635</v>
      </c>
      <c r="J27" s="720"/>
      <c r="K27" s="717"/>
      <c r="L27" s="937"/>
      <c r="M27" s="937"/>
      <c r="N27" s="938"/>
      <c r="O27" s="938"/>
      <c r="P27" s="940"/>
      <c r="Q27" s="718">
        <v>0</v>
      </c>
      <c r="R27" s="938"/>
    </row>
    <row r="28" spans="1:18" ht="22.5" x14ac:dyDescent="0.2">
      <c r="A28" s="932"/>
      <c r="B28" s="706" t="s">
        <v>874</v>
      </c>
      <c r="C28" s="736" t="s">
        <v>1146</v>
      </c>
      <c r="D28" s="371" t="s">
        <v>899</v>
      </c>
      <c r="E28" s="724"/>
      <c r="F28" s="932"/>
      <c r="G28" s="378" t="s">
        <v>1312</v>
      </c>
      <c r="H28" s="715"/>
      <c r="I28" s="715"/>
      <c r="J28" s="720"/>
      <c r="K28" s="717"/>
      <c r="L28" s="937"/>
      <c r="M28" s="937"/>
      <c r="N28" s="938"/>
      <c r="O28" s="938"/>
      <c r="P28" s="940"/>
      <c r="Q28" s="718">
        <v>111</v>
      </c>
      <c r="R28" s="938"/>
    </row>
    <row r="29" spans="1:18" ht="22.5" x14ac:dyDescent="0.2">
      <c r="A29" s="932"/>
      <c r="B29" s="706" t="s">
        <v>874</v>
      </c>
      <c r="C29" s="736" t="s">
        <v>1146</v>
      </c>
      <c r="D29" s="371" t="s">
        <v>900</v>
      </c>
      <c r="E29" s="724"/>
      <c r="F29" s="932"/>
      <c r="G29" s="378" t="s">
        <v>1312</v>
      </c>
      <c r="H29" s="715"/>
      <c r="I29" s="715"/>
      <c r="J29" s="720"/>
      <c r="K29" s="717"/>
      <c r="L29" s="937"/>
      <c r="M29" s="937"/>
      <c r="N29" s="938"/>
      <c r="O29" s="938"/>
      <c r="P29" s="940"/>
      <c r="Q29" s="718">
        <v>123</v>
      </c>
      <c r="R29" s="938"/>
    </row>
    <row r="30" spans="1:18" s="704" customFormat="1" ht="22.5" x14ac:dyDescent="0.2">
      <c r="A30" s="932"/>
      <c r="B30" s="706" t="s">
        <v>874</v>
      </c>
      <c r="C30" s="736" t="s">
        <v>1146</v>
      </c>
      <c r="D30" s="371" t="s">
        <v>1259</v>
      </c>
      <c r="E30" s="721"/>
      <c r="F30" s="932"/>
      <c r="G30" s="371" t="s">
        <v>1313</v>
      </c>
      <c r="H30" s="715">
        <v>240</v>
      </c>
      <c r="I30" s="715">
        <v>240</v>
      </c>
      <c r="J30" s="717"/>
      <c r="K30" s="717"/>
      <c r="L30" s="937"/>
      <c r="M30" s="937"/>
      <c r="N30" s="938"/>
      <c r="O30" s="938"/>
      <c r="P30" s="940"/>
      <c r="Q30" s="718">
        <v>240</v>
      </c>
      <c r="R30" s="938"/>
    </row>
    <row r="31" spans="1:18" s="704" customFormat="1" ht="22.5" x14ac:dyDescent="0.2">
      <c r="A31" s="932"/>
      <c r="B31" s="706" t="s">
        <v>874</v>
      </c>
      <c r="C31" s="736" t="s">
        <v>1146</v>
      </c>
      <c r="D31" s="371" t="s">
        <v>876</v>
      </c>
      <c r="E31" s="721"/>
      <c r="F31" s="932"/>
      <c r="G31" s="371" t="s">
        <v>615</v>
      </c>
      <c r="H31" s="715">
        <v>129</v>
      </c>
      <c r="I31" s="715">
        <v>129</v>
      </c>
      <c r="J31" s="717"/>
      <c r="K31" s="717"/>
      <c r="L31" s="937"/>
      <c r="M31" s="937"/>
      <c r="N31" s="938"/>
      <c r="O31" s="938"/>
      <c r="P31" s="940"/>
      <c r="Q31" s="718">
        <v>0</v>
      </c>
      <c r="R31" s="938"/>
    </row>
    <row r="32" spans="1:18" s="704" customFormat="1" x14ac:dyDescent="0.2">
      <c r="A32" s="932"/>
      <c r="B32" s="706" t="s">
        <v>874</v>
      </c>
      <c r="C32" s="736" t="s">
        <v>1146</v>
      </c>
      <c r="D32" s="371" t="s">
        <v>876</v>
      </c>
      <c r="E32" s="721"/>
      <c r="F32" s="932"/>
      <c r="G32" s="371" t="s">
        <v>616</v>
      </c>
      <c r="H32" s="715">
        <v>1270</v>
      </c>
      <c r="I32" s="715">
        <v>1270</v>
      </c>
      <c r="J32" s="717"/>
      <c r="K32" s="717"/>
      <c r="L32" s="937"/>
      <c r="M32" s="937"/>
      <c r="N32" s="938"/>
      <c r="O32" s="938"/>
      <c r="P32" s="940"/>
      <c r="Q32" s="718">
        <v>0</v>
      </c>
      <c r="R32" s="938"/>
    </row>
    <row r="33" spans="1:18" s="704" customFormat="1" ht="22.5" x14ac:dyDescent="0.2">
      <c r="A33" s="932"/>
      <c r="B33" s="706" t="s">
        <v>874</v>
      </c>
      <c r="C33" s="736" t="s">
        <v>1146</v>
      </c>
      <c r="D33" s="371" t="s">
        <v>1090</v>
      </c>
      <c r="E33" s="721"/>
      <c r="F33" s="932"/>
      <c r="G33" s="371" t="s">
        <v>1314</v>
      </c>
      <c r="H33" s="715"/>
      <c r="I33" s="715"/>
      <c r="J33" s="717"/>
      <c r="K33" s="717"/>
      <c r="L33" s="937"/>
      <c r="M33" s="937"/>
      <c r="N33" s="938"/>
      <c r="O33" s="938"/>
      <c r="P33" s="940"/>
      <c r="Q33" s="718">
        <v>358</v>
      </c>
      <c r="R33" s="938"/>
    </row>
    <row r="34" spans="1:18" s="704" customFormat="1" x14ac:dyDescent="0.2">
      <c r="A34" s="932"/>
      <c r="B34" s="706" t="s">
        <v>874</v>
      </c>
      <c r="C34" s="736" t="s">
        <v>1146</v>
      </c>
      <c r="D34" s="371" t="s">
        <v>1315</v>
      </c>
      <c r="E34" s="721"/>
      <c r="F34" s="932"/>
      <c r="G34" s="371" t="s">
        <v>1316</v>
      </c>
      <c r="H34" s="715"/>
      <c r="I34" s="715"/>
      <c r="J34" s="717"/>
      <c r="K34" s="717"/>
      <c r="L34" s="937"/>
      <c r="M34" s="937"/>
      <c r="N34" s="938"/>
      <c r="O34" s="938"/>
      <c r="P34" s="940"/>
      <c r="Q34" s="718">
        <v>631</v>
      </c>
      <c r="R34" s="938"/>
    </row>
    <row r="35" spans="1:18" s="704" customFormat="1" x14ac:dyDescent="0.2">
      <c r="A35" s="932"/>
      <c r="B35" s="706" t="s">
        <v>874</v>
      </c>
      <c r="C35" s="736" t="s">
        <v>1146</v>
      </c>
      <c r="D35" s="371" t="s">
        <v>876</v>
      </c>
      <c r="E35" s="721"/>
      <c r="F35" s="932"/>
      <c r="G35" s="371" t="s">
        <v>617</v>
      </c>
      <c r="H35" s="715">
        <v>635</v>
      </c>
      <c r="I35" s="715">
        <v>635</v>
      </c>
      <c r="J35" s="717"/>
      <c r="K35" s="717"/>
      <c r="L35" s="937"/>
      <c r="M35" s="937"/>
      <c r="N35" s="938"/>
      <c r="O35" s="938"/>
      <c r="P35" s="940"/>
      <c r="Q35" s="718">
        <v>0</v>
      </c>
      <c r="R35" s="938"/>
    </row>
    <row r="36" spans="1:18" s="704" customFormat="1" x14ac:dyDescent="0.2">
      <c r="A36" s="932"/>
      <c r="B36" s="706" t="s">
        <v>874</v>
      </c>
      <c r="C36" s="736" t="s">
        <v>1146</v>
      </c>
      <c r="D36" s="371" t="s">
        <v>1317</v>
      </c>
      <c r="E36" s="721"/>
      <c r="F36" s="932"/>
      <c r="G36" s="371" t="s">
        <v>1318</v>
      </c>
      <c r="H36" s="715"/>
      <c r="I36" s="715"/>
      <c r="J36" s="717"/>
      <c r="K36" s="717"/>
      <c r="L36" s="937"/>
      <c r="M36" s="937"/>
      <c r="N36" s="938"/>
      <c r="O36" s="938"/>
      <c r="P36" s="940"/>
      <c r="Q36" s="718">
        <v>46</v>
      </c>
      <c r="R36" s="938"/>
    </row>
    <row r="37" spans="1:18" s="704" customFormat="1" ht="22.5" x14ac:dyDescent="0.2">
      <c r="A37" s="932"/>
      <c r="B37" s="706" t="s">
        <v>874</v>
      </c>
      <c r="C37" s="736" t="s">
        <v>1146</v>
      </c>
      <c r="D37" s="371" t="s">
        <v>1309</v>
      </c>
      <c r="E37" s="721"/>
      <c r="F37" s="933"/>
      <c r="G37" s="371" t="s">
        <v>1319</v>
      </c>
      <c r="H37" s="715"/>
      <c r="I37" s="715"/>
      <c r="J37" s="717"/>
      <c r="K37" s="717"/>
      <c r="L37" s="937"/>
      <c r="M37" s="937"/>
      <c r="N37" s="938"/>
      <c r="O37" s="938"/>
      <c r="P37" s="940"/>
      <c r="Q37" s="718">
        <v>18</v>
      </c>
      <c r="R37" s="938"/>
    </row>
    <row r="38" spans="1:18" s="704" customFormat="1" ht="24" customHeight="1" x14ac:dyDescent="0.2">
      <c r="A38" s="932"/>
      <c r="B38" s="706" t="s">
        <v>874</v>
      </c>
      <c r="C38" s="736" t="s">
        <v>1146</v>
      </c>
      <c r="D38" s="371" t="s">
        <v>876</v>
      </c>
      <c r="E38" s="721"/>
      <c r="F38" s="725" t="s">
        <v>764</v>
      </c>
      <c r="G38" s="371" t="s">
        <v>618</v>
      </c>
      <c r="H38" s="715">
        <v>227</v>
      </c>
      <c r="I38" s="715">
        <v>227</v>
      </c>
      <c r="J38" s="717"/>
      <c r="K38" s="717"/>
      <c r="L38" s="937"/>
      <c r="M38" s="937"/>
      <c r="N38" s="938"/>
      <c r="O38" s="938"/>
      <c r="P38" s="940"/>
      <c r="Q38" s="718">
        <v>0</v>
      </c>
      <c r="R38" s="938"/>
    </row>
    <row r="39" spans="1:18" s="704" customFormat="1" ht="33.75" x14ac:dyDescent="0.2">
      <c r="A39" s="933"/>
      <c r="B39" s="706" t="s">
        <v>874</v>
      </c>
      <c r="C39" s="736" t="s">
        <v>1146</v>
      </c>
      <c r="D39" s="371" t="s">
        <v>1320</v>
      </c>
      <c r="E39" s="726"/>
      <c r="F39" s="335" t="s">
        <v>1321</v>
      </c>
      <c r="G39" s="371" t="s">
        <v>1322</v>
      </c>
      <c r="H39" s="715"/>
      <c r="I39" s="715"/>
      <c r="J39" s="717"/>
      <c r="K39" s="717"/>
      <c r="L39" s="937"/>
      <c r="M39" s="937"/>
      <c r="N39" s="938"/>
      <c r="O39" s="938"/>
      <c r="P39" s="940"/>
      <c r="Q39" s="718">
        <v>899</v>
      </c>
      <c r="R39" s="938"/>
    </row>
    <row r="40" spans="1:18" s="704" customFormat="1" ht="45" x14ac:dyDescent="0.2">
      <c r="A40" s="738" t="s">
        <v>1323</v>
      </c>
      <c r="B40" s="706" t="s">
        <v>874</v>
      </c>
      <c r="C40" s="736" t="s">
        <v>1146</v>
      </c>
      <c r="D40" s="371" t="s">
        <v>1324</v>
      </c>
      <c r="E40" s="721"/>
      <c r="F40" s="725" t="s">
        <v>763</v>
      </c>
      <c r="G40" s="371" t="s">
        <v>1325</v>
      </c>
      <c r="H40" s="715"/>
      <c r="I40" s="715"/>
      <c r="J40" s="717"/>
      <c r="K40" s="717"/>
      <c r="L40" s="727">
        <f>SUM(H40:H40)</f>
        <v>0</v>
      </c>
      <c r="M40" s="727">
        <f>SUM(I40:I40)</f>
        <v>0</v>
      </c>
      <c r="N40" s="728">
        <f>SUM(J40:J40)</f>
        <v>0</v>
      </c>
      <c r="O40" s="728">
        <f>SUM(K40:K40)</f>
        <v>0</v>
      </c>
      <c r="P40" s="728">
        <f>SUM(M40,O40)</f>
        <v>0</v>
      </c>
      <c r="Q40" s="718">
        <v>20</v>
      </c>
      <c r="R40" s="728">
        <v>20</v>
      </c>
    </row>
    <row r="41" spans="1:18" s="704" customFormat="1" ht="22.5" x14ac:dyDescent="0.2">
      <c r="A41" s="934"/>
      <c r="B41" s="934"/>
      <c r="C41" s="935"/>
      <c r="D41" s="934"/>
      <c r="E41" s="934"/>
      <c r="F41" s="934"/>
      <c r="G41" s="701" t="s">
        <v>1345</v>
      </c>
      <c r="H41" s="729">
        <v>16609</v>
      </c>
      <c r="I41" s="730">
        <v>16609</v>
      </c>
      <c r="J41" s="730">
        <v>0</v>
      </c>
      <c r="K41" s="730">
        <v>0</v>
      </c>
      <c r="L41" s="730">
        <f>SUM(L4:L40)</f>
        <v>16609</v>
      </c>
      <c r="M41" s="730">
        <f>SUM(M4:M40)</f>
        <v>16609</v>
      </c>
      <c r="N41" s="730">
        <f>SUM(N4:N40)</f>
        <v>0</v>
      </c>
      <c r="O41" s="730">
        <f>SUM(O4:O40)</f>
        <v>0</v>
      </c>
      <c r="P41" s="730">
        <f>SUM(P4:P40)</f>
        <v>16609</v>
      </c>
      <c r="Q41" s="730">
        <v>3109</v>
      </c>
      <c r="R41" s="729">
        <v>3109</v>
      </c>
    </row>
    <row r="42" spans="1:18" s="704" customFormat="1" x14ac:dyDescent="0.2">
      <c r="A42" s="710"/>
      <c r="B42" s="707"/>
      <c r="C42" s="432"/>
      <c r="D42" s="703"/>
      <c r="E42" s="731"/>
      <c r="F42" s="732"/>
      <c r="G42" s="702"/>
      <c r="H42" s="731"/>
      <c r="I42" s="731"/>
      <c r="J42" s="731"/>
      <c r="K42" s="731"/>
      <c r="M42" s="733"/>
      <c r="N42" s="733"/>
      <c r="O42" s="733"/>
      <c r="R42" s="733"/>
    </row>
    <row r="43" spans="1:18" s="704" customFormat="1" x14ac:dyDescent="0.2">
      <c r="A43" s="711"/>
      <c r="B43" s="707"/>
      <c r="C43" s="432"/>
      <c r="D43" s="703"/>
      <c r="E43" s="731"/>
      <c r="F43" s="732"/>
      <c r="G43" s="702"/>
      <c r="H43" s="731"/>
      <c r="I43" s="731"/>
      <c r="J43" s="731"/>
      <c r="K43" s="731"/>
      <c r="M43" s="733"/>
      <c r="N43" s="733"/>
      <c r="O43" s="733"/>
      <c r="R43" s="733"/>
    </row>
    <row r="44" spans="1:18" s="704" customFormat="1" x14ac:dyDescent="0.2">
      <c r="A44" s="712"/>
      <c r="B44" s="707"/>
      <c r="C44" s="432"/>
      <c r="D44" s="703"/>
      <c r="E44" s="731"/>
      <c r="F44" s="732"/>
      <c r="G44" s="702"/>
      <c r="H44" s="731"/>
      <c r="I44" s="731"/>
      <c r="J44" s="731"/>
      <c r="K44" s="731"/>
      <c r="M44" s="733"/>
      <c r="N44" s="733"/>
      <c r="O44" s="733"/>
      <c r="R44" s="733"/>
    </row>
    <row r="45" spans="1:18" s="704" customFormat="1" x14ac:dyDescent="0.2">
      <c r="A45" s="712"/>
      <c r="B45" s="707"/>
      <c r="C45" s="432"/>
      <c r="D45" s="703"/>
      <c r="E45" s="731"/>
      <c r="F45" s="732"/>
      <c r="G45" s="702"/>
      <c r="H45" s="731"/>
      <c r="I45" s="731"/>
      <c r="J45" s="731"/>
      <c r="K45" s="731"/>
      <c r="M45" s="733"/>
      <c r="N45" s="733"/>
      <c r="O45" s="733"/>
      <c r="R45" s="733"/>
    </row>
    <row r="46" spans="1:18" s="704" customFormat="1" x14ac:dyDescent="0.2">
      <c r="A46" s="712"/>
      <c r="B46" s="707"/>
      <c r="C46" s="432"/>
      <c r="E46" s="731"/>
      <c r="F46" s="732"/>
      <c r="G46" s="702"/>
      <c r="H46" s="731"/>
      <c r="I46" s="731"/>
      <c r="J46" s="731"/>
      <c r="K46" s="731"/>
      <c r="M46" s="733"/>
      <c r="N46" s="733"/>
      <c r="O46" s="733"/>
      <c r="R46" s="733"/>
    </row>
    <row r="47" spans="1:18" s="704" customFormat="1" x14ac:dyDescent="0.2">
      <c r="A47" s="712"/>
      <c r="B47" s="707"/>
      <c r="C47" s="432"/>
      <c r="D47" s="703"/>
      <c r="E47" s="731"/>
      <c r="F47" s="732"/>
      <c r="G47" s="702"/>
      <c r="H47" s="731"/>
      <c r="I47" s="731"/>
      <c r="J47" s="731"/>
      <c r="K47" s="731"/>
      <c r="M47" s="733"/>
      <c r="N47" s="733"/>
      <c r="O47" s="733"/>
      <c r="R47" s="733"/>
    </row>
    <row r="48" spans="1:18" s="704" customFormat="1" x14ac:dyDescent="0.2">
      <c r="A48" s="712"/>
      <c r="B48" s="707"/>
      <c r="C48" s="432"/>
      <c r="D48" s="703"/>
      <c r="E48" s="731"/>
      <c r="F48" s="732"/>
      <c r="G48" s="702"/>
      <c r="H48" s="731"/>
      <c r="I48" s="731"/>
      <c r="J48" s="731"/>
      <c r="K48" s="731"/>
      <c r="M48" s="733"/>
      <c r="N48" s="733"/>
      <c r="O48" s="733"/>
      <c r="R48" s="733"/>
    </row>
    <row r="49" spans="1:18" s="704" customFormat="1" x14ac:dyDescent="0.2">
      <c r="A49" s="712"/>
      <c r="B49" s="707"/>
      <c r="C49" s="432"/>
      <c r="D49" s="703"/>
      <c r="E49" s="731"/>
      <c r="F49" s="732"/>
      <c r="G49" s="702"/>
      <c r="H49" s="731"/>
      <c r="I49" s="731"/>
      <c r="J49" s="731"/>
      <c r="K49" s="731"/>
      <c r="M49" s="733"/>
      <c r="N49" s="733"/>
      <c r="O49" s="733"/>
      <c r="R49" s="733"/>
    </row>
    <row r="50" spans="1:18" s="704" customFormat="1" x14ac:dyDescent="0.2">
      <c r="A50" s="712"/>
      <c r="B50" s="707"/>
      <c r="C50" s="432"/>
      <c r="D50" s="703"/>
      <c r="E50" s="731"/>
      <c r="F50" s="732"/>
      <c r="G50" s="702"/>
      <c r="H50" s="731"/>
      <c r="I50" s="731"/>
      <c r="J50" s="731"/>
      <c r="K50" s="731"/>
      <c r="M50" s="733"/>
      <c r="N50" s="733"/>
      <c r="O50" s="733"/>
      <c r="R50" s="733"/>
    </row>
    <row r="51" spans="1:18" s="704" customFormat="1" x14ac:dyDescent="0.2">
      <c r="A51" s="712"/>
      <c r="B51" s="707"/>
      <c r="C51" s="432"/>
      <c r="D51" s="703"/>
      <c r="E51" s="731"/>
      <c r="F51" s="732"/>
      <c r="G51" s="702"/>
      <c r="H51" s="731"/>
      <c r="I51" s="731"/>
      <c r="J51" s="731"/>
      <c r="K51" s="731"/>
      <c r="M51" s="733"/>
      <c r="N51" s="733"/>
      <c r="O51" s="733"/>
      <c r="R51" s="733"/>
    </row>
    <row r="52" spans="1:18" s="704" customFormat="1" x14ac:dyDescent="0.2">
      <c r="A52" s="712"/>
      <c r="B52" s="707"/>
      <c r="C52" s="432"/>
      <c r="D52" s="703"/>
      <c r="E52" s="731"/>
      <c r="F52" s="732"/>
      <c r="G52" s="702"/>
      <c r="H52" s="731"/>
      <c r="I52" s="731"/>
      <c r="J52" s="731"/>
      <c r="K52" s="731"/>
      <c r="M52" s="733"/>
      <c r="N52" s="733"/>
      <c r="O52" s="733"/>
      <c r="R52" s="733"/>
    </row>
    <row r="53" spans="1:18" s="704" customFormat="1" x14ac:dyDescent="0.2">
      <c r="A53" s="712"/>
      <c r="B53" s="707"/>
      <c r="C53" s="432"/>
      <c r="D53" s="703"/>
      <c r="E53" s="731"/>
      <c r="F53" s="732"/>
      <c r="G53" s="702"/>
      <c r="H53" s="731"/>
      <c r="I53" s="731"/>
      <c r="J53" s="731"/>
      <c r="K53" s="731"/>
      <c r="M53" s="733"/>
      <c r="N53" s="733"/>
      <c r="O53" s="733"/>
      <c r="R53" s="733"/>
    </row>
    <row r="54" spans="1:18" s="704" customFormat="1" x14ac:dyDescent="0.2">
      <c r="A54" s="712"/>
      <c r="B54" s="707"/>
      <c r="C54" s="432"/>
      <c r="D54" s="703"/>
      <c r="E54" s="731"/>
      <c r="F54" s="732"/>
      <c r="G54" s="702"/>
      <c r="H54" s="731"/>
      <c r="I54" s="731"/>
      <c r="J54" s="731"/>
      <c r="K54" s="731"/>
      <c r="M54" s="733"/>
      <c r="N54" s="733"/>
      <c r="O54" s="733"/>
      <c r="R54" s="733"/>
    </row>
    <row r="55" spans="1:18" s="704" customFormat="1" x14ac:dyDescent="0.2">
      <c r="A55" s="712"/>
      <c r="B55" s="707"/>
      <c r="C55" s="432"/>
      <c r="D55" s="703"/>
      <c r="E55" s="731"/>
      <c r="F55" s="732"/>
      <c r="G55" s="702"/>
      <c r="H55" s="731"/>
      <c r="I55" s="731"/>
      <c r="J55" s="731"/>
      <c r="K55" s="731"/>
      <c r="M55" s="733"/>
      <c r="N55" s="733"/>
      <c r="O55" s="733"/>
      <c r="R55" s="733"/>
    </row>
    <row r="56" spans="1:18" s="704" customFormat="1" x14ac:dyDescent="0.2">
      <c r="A56" s="712"/>
      <c r="B56" s="707"/>
      <c r="C56" s="432"/>
      <c r="D56" s="703"/>
      <c r="E56" s="731"/>
      <c r="F56" s="732"/>
      <c r="G56" s="702"/>
      <c r="H56" s="731"/>
      <c r="I56" s="731"/>
      <c r="J56" s="731"/>
      <c r="K56" s="731"/>
      <c r="M56" s="733"/>
      <c r="N56" s="733"/>
      <c r="O56" s="733"/>
      <c r="R56" s="733"/>
    </row>
    <row r="57" spans="1:18" s="704" customFormat="1" x14ac:dyDescent="0.2">
      <c r="A57" s="712"/>
      <c r="B57" s="707"/>
      <c r="C57" s="432"/>
      <c r="D57" s="703"/>
      <c r="E57" s="731"/>
      <c r="F57" s="732"/>
      <c r="G57" s="702"/>
      <c r="H57" s="731"/>
      <c r="I57" s="731"/>
      <c r="J57" s="731"/>
      <c r="K57" s="731"/>
      <c r="M57" s="733"/>
      <c r="N57" s="733"/>
      <c r="O57" s="733"/>
      <c r="R57" s="733"/>
    </row>
    <row r="58" spans="1:18" s="704" customFormat="1" x14ac:dyDescent="0.2">
      <c r="A58" s="712"/>
      <c r="B58" s="707"/>
      <c r="C58" s="432"/>
      <c r="D58" s="703"/>
      <c r="E58" s="731"/>
      <c r="F58" s="732"/>
      <c r="G58" s="702"/>
      <c r="H58" s="731"/>
      <c r="I58" s="731"/>
      <c r="J58" s="731"/>
      <c r="K58" s="731"/>
      <c r="M58" s="733"/>
      <c r="N58" s="733"/>
      <c r="O58" s="733"/>
      <c r="R58" s="733"/>
    </row>
    <row r="59" spans="1:18" s="704" customFormat="1" x14ac:dyDescent="0.2">
      <c r="A59" s="712"/>
      <c r="B59" s="707"/>
      <c r="C59" s="432"/>
      <c r="D59" s="703"/>
      <c r="E59" s="731"/>
      <c r="F59" s="732"/>
      <c r="G59" s="702"/>
      <c r="H59" s="731"/>
      <c r="I59" s="731"/>
      <c r="J59" s="731"/>
      <c r="K59" s="731"/>
      <c r="M59" s="733"/>
      <c r="N59" s="733"/>
      <c r="O59" s="733"/>
      <c r="R59" s="733"/>
    </row>
  </sheetData>
  <autoFilter ref="A1:R41">
    <filterColumn colId="4">
      <colorFilter dxfId="0"/>
    </filterColumn>
  </autoFilter>
  <mergeCells count="25">
    <mergeCell ref="F11:F25"/>
    <mergeCell ref="F26:F37"/>
    <mergeCell ref="A41:F41"/>
    <mergeCell ref="Q1:Q3"/>
    <mergeCell ref="R1:R3"/>
    <mergeCell ref="A4:A39"/>
    <mergeCell ref="F4:F10"/>
    <mergeCell ref="L4:L39"/>
    <mergeCell ref="M4:M39"/>
    <mergeCell ref="N4:N39"/>
    <mergeCell ref="O4:O39"/>
    <mergeCell ref="P4:P39"/>
    <mergeCell ref="R4:R39"/>
    <mergeCell ref="G1:G3"/>
    <mergeCell ref="L1:L3"/>
    <mergeCell ref="M1:M3"/>
    <mergeCell ref="N1:N3"/>
    <mergeCell ref="O1:O3"/>
    <mergeCell ref="P1:P3"/>
    <mergeCell ref="A1:A3"/>
    <mergeCell ref="B1:B3"/>
    <mergeCell ref="C1:C3"/>
    <mergeCell ref="D1:D3"/>
    <mergeCell ref="E1:E3"/>
    <mergeCell ref="F1:F3"/>
  </mergeCells>
  <printOptions horizontalCentered="1"/>
  <pageMargins left="0" right="0" top="0.47244094488188981" bottom="0.19685039370078741" header="0.11811023622047245" footer="0"/>
  <pageSetup paperSize="9" scale="70" orientation="landscape" r:id="rId1"/>
  <headerFooter>
    <oddHeader>&amp;LVeresegyházi Polgármesteri Hivatal&amp;C&amp;"Arial CE,Félkövér"K6 Beruházások&amp;R14.1 mellékletadatok ezer Ft-ban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58"/>
  <sheetViews>
    <sheetView tabSelected="1" view="pageLayout" topLeftCell="A35" zoomScale="85" zoomScaleNormal="100" zoomScaleSheetLayoutView="100" zoomScalePageLayoutView="85" workbookViewId="0">
      <selection activeCell="L47" sqref="L47"/>
    </sheetView>
  </sheetViews>
  <sheetFormatPr defaultRowHeight="12" x14ac:dyDescent="0.2"/>
  <cols>
    <col min="1" max="1" width="17" style="1118" customWidth="1"/>
    <col min="2" max="2" width="45.140625" style="1117" customWidth="1"/>
    <col min="3" max="10" width="14.7109375" style="1115" customWidth="1"/>
    <col min="11" max="14" width="14.7109375" style="1116" customWidth="1"/>
    <col min="15" max="16384" width="9.140625" style="1115"/>
  </cols>
  <sheetData>
    <row r="1" spans="1:15" ht="30" customHeight="1" x14ac:dyDescent="0.2">
      <c r="A1" s="1233" t="s">
        <v>1396</v>
      </c>
      <c r="B1" s="1232" t="s">
        <v>1395</v>
      </c>
      <c r="C1" s="1231" t="s">
        <v>1394</v>
      </c>
      <c r="D1" s="1230" t="s">
        <v>1393</v>
      </c>
      <c r="E1" s="1229" t="s">
        <v>1392</v>
      </c>
      <c r="F1" s="1228" t="s">
        <v>1391</v>
      </c>
      <c r="G1" s="1231" t="s">
        <v>1394</v>
      </c>
      <c r="H1" s="1230" t="s">
        <v>1393</v>
      </c>
      <c r="I1" s="1229" t="s">
        <v>1392</v>
      </c>
      <c r="J1" s="1228" t="s">
        <v>1391</v>
      </c>
      <c r="K1" s="1231" t="s">
        <v>1394</v>
      </c>
      <c r="L1" s="1230" t="s">
        <v>1393</v>
      </c>
      <c r="M1" s="1229" t="s">
        <v>1392</v>
      </c>
      <c r="N1" s="1228" t="s">
        <v>1391</v>
      </c>
    </row>
    <row r="2" spans="1:15" x14ac:dyDescent="0.2">
      <c r="A2" s="1227"/>
      <c r="B2" s="1226"/>
      <c r="C2" s="1225" t="s">
        <v>1390</v>
      </c>
      <c r="D2" s="1224"/>
      <c r="E2" s="1224"/>
      <c r="F2" s="1223"/>
      <c r="G2" s="1225" t="s">
        <v>1389</v>
      </c>
      <c r="H2" s="1224"/>
      <c r="I2" s="1224"/>
      <c r="J2" s="1223"/>
      <c r="K2" s="1222" t="s">
        <v>1388</v>
      </c>
      <c r="L2" s="1221"/>
      <c r="M2" s="1220"/>
      <c r="N2" s="1219"/>
    </row>
    <row r="3" spans="1:15" ht="12.75" thickBot="1" x14ac:dyDescent="0.25">
      <c r="A3" s="1218"/>
      <c r="B3" s="1217"/>
      <c r="C3" s="1216" t="s">
        <v>399</v>
      </c>
      <c r="D3" s="1215"/>
      <c r="E3" s="1214" t="s">
        <v>399</v>
      </c>
      <c r="F3" s="1213" t="s">
        <v>399</v>
      </c>
      <c r="G3" s="1216" t="s">
        <v>399</v>
      </c>
      <c r="H3" s="1215"/>
      <c r="I3" s="1214" t="s">
        <v>399</v>
      </c>
      <c r="J3" s="1213" t="s">
        <v>399</v>
      </c>
      <c r="K3" s="1216" t="s">
        <v>399</v>
      </c>
      <c r="L3" s="1215"/>
      <c r="M3" s="1214" t="s">
        <v>399</v>
      </c>
      <c r="N3" s="1213" t="s">
        <v>399</v>
      </c>
    </row>
    <row r="4" spans="1:15" ht="23.45" customHeight="1" x14ac:dyDescent="0.2">
      <c r="A4" s="1165" t="s">
        <v>390</v>
      </c>
      <c r="B4" s="1164" t="s">
        <v>1387</v>
      </c>
      <c r="C4" s="1163">
        <v>4910</v>
      </c>
      <c r="D4" s="1162">
        <f>+E4-C4</f>
        <v>-1818</v>
      </c>
      <c r="E4" s="1161">
        <v>3092</v>
      </c>
      <c r="F4" s="1160">
        <v>1332</v>
      </c>
      <c r="G4" s="1159">
        <v>2150</v>
      </c>
      <c r="H4" s="1158">
        <f>+I4-G4</f>
        <v>850</v>
      </c>
      <c r="I4" s="1157">
        <v>3000</v>
      </c>
      <c r="J4" s="1156">
        <v>2156</v>
      </c>
      <c r="K4" s="1155">
        <f>SUM(C4:C26,G4:G26)</f>
        <v>42407</v>
      </c>
      <c r="L4" s="1154">
        <f>SUM(D4:D26,H4:H26)</f>
        <v>9400</v>
      </c>
      <c r="M4" s="1154">
        <f>SUM(E4:E26,I4:I26)</f>
        <v>51807</v>
      </c>
      <c r="N4" s="1153">
        <f>SUM(F4:F26,J4:J26)</f>
        <v>41040</v>
      </c>
    </row>
    <row r="5" spans="1:15" ht="23.45" customHeight="1" x14ac:dyDescent="0.2">
      <c r="A5" s="1152" t="s">
        <v>390</v>
      </c>
      <c r="B5" s="1151" t="s">
        <v>1386</v>
      </c>
      <c r="C5" s="1150"/>
      <c r="D5" s="1149"/>
      <c r="E5" s="1148"/>
      <c r="F5" s="1147"/>
      <c r="G5" s="1150"/>
      <c r="H5" s="1149">
        <f>+I5-G5</f>
        <v>50</v>
      </c>
      <c r="I5" s="1148">
        <v>50</v>
      </c>
      <c r="J5" s="1147">
        <v>6</v>
      </c>
      <c r="K5" s="1212"/>
      <c r="L5" s="1211"/>
      <c r="M5" s="1211"/>
      <c r="N5" s="1210"/>
    </row>
    <row r="6" spans="1:15" ht="33.75" x14ac:dyDescent="0.2">
      <c r="A6" s="1152" t="s">
        <v>390</v>
      </c>
      <c r="B6" s="1151" t="s">
        <v>1385</v>
      </c>
      <c r="C6" s="1150"/>
      <c r="D6" s="1149"/>
      <c r="E6" s="1148"/>
      <c r="F6" s="1147"/>
      <c r="G6" s="1150">
        <v>2629</v>
      </c>
      <c r="H6" s="1149">
        <f>+I6-G6</f>
        <v>-869</v>
      </c>
      <c r="I6" s="1148">
        <v>1760</v>
      </c>
      <c r="J6" s="1147">
        <v>935</v>
      </c>
      <c r="K6" s="1142"/>
      <c r="L6" s="1141"/>
      <c r="M6" s="1141"/>
      <c r="N6" s="1140"/>
    </row>
    <row r="7" spans="1:15" x14ac:dyDescent="0.2">
      <c r="A7" s="1152" t="s">
        <v>390</v>
      </c>
      <c r="B7" s="1151" t="s">
        <v>1384</v>
      </c>
      <c r="C7" s="1150"/>
      <c r="D7" s="1149"/>
      <c r="E7" s="1148"/>
      <c r="F7" s="1147"/>
      <c r="G7" s="1150"/>
      <c r="H7" s="1149">
        <f>+I7-G7</f>
        <v>150</v>
      </c>
      <c r="I7" s="1148">
        <v>150</v>
      </c>
      <c r="J7" s="1147">
        <v>53</v>
      </c>
      <c r="K7" s="1142"/>
      <c r="L7" s="1141"/>
      <c r="M7" s="1141"/>
      <c r="N7" s="1140"/>
    </row>
    <row r="8" spans="1:15" ht="23.45" customHeight="1" x14ac:dyDescent="0.2">
      <c r="A8" s="1152" t="s">
        <v>390</v>
      </c>
      <c r="B8" s="1151" t="s">
        <v>1383</v>
      </c>
      <c r="C8" s="1150"/>
      <c r="D8" s="1149"/>
      <c r="E8" s="1148"/>
      <c r="F8" s="1147"/>
      <c r="G8" s="1150">
        <v>635</v>
      </c>
      <c r="H8" s="1149">
        <f>+I8-G8</f>
        <v>0</v>
      </c>
      <c r="I8" s="1148">
        <v>635</v>
      </c>
      <c r="J8" s="1147">
        <v>18</v>
      </c>
      <c r="K8" s="1142"/>
      <c r="L8" s="1141"/>
      <c r="M8" s="1141"/>
      <c r="N8" s="1140"/>
    </row>
    <row r="9" spans="1:15" ht="23.45" customHeight="1" x14ac:dyDescent="0.2">
      <c r="A9" s="1152" t="s">
        <v>390</v>
      </c>
      <c r="B9" s="1151" t="s">
        <v>1382</v>
      </c>
      <c r="C9" s="1150"/>
      <c r="D9" s="1149"/>
      <c r="E9" s="1148"/>
      <c r="F9" s="1147"/>
      <c r="G9" s="1150">
        <v>1115</v>
      </c>
      <c r="H9" s="1149">
        <f>+I9-G9</f>
        <v>5600</v>
      </c>
      <c r="I9" s="1148">
        <v>6715</v>
      </c>
      <c r="J9" s="1147">
        <v>3946</v>
      </c>
      <c r="K9" s="1142"/>
      <c r="L9" s="1141"/>
      <c r="M9" s="1141"/>
      <c r="N9" s="1140"/>
    </row>
    <row r="10" spans="1:15" ht="23.45" customHeight="1" x14ac:dyDescent="0.2">
      <c r="A10" s="1152" t="s">
        <v>390</v>
      </c>
      <c r="B10" s="1151" t="s">
        <v>1381</v>
      </c>
      <c r="C10" s="1150"/>
      <c r="D10" s="1149"/>
      <c r="E10" s="1148"/>
      <c r="F10" s="1147"/>
      <c r="G10" s="1150">
        <v>1185</v>
      </c>
      <c r="H10" s="1149">
        <f>+I10-G10</f>
        <v>0</v>
      </c>
      <c r="I10" s="1148">
        <v>1185</v>
      </c>
      <c r="J10" s="1147">
        <v>146</v>
      </c>
      <c r="K10" s="1142"/>
      <c r="L10" s="1141"/>
      <c r="M10" s="1141"/>
      <c r="N10" s="1140"/>
    </row>
    <row r="11" spans="1:15" ht="23.45" customHeight="1" x14ac:dyDescent="0.2">
      <c r="A11" s="1152" t="s">
        <v>390</v>
      </c>
      <c r="B11" s="1151" t="s">
        <v>1380</v>
      </c>
      <c r="C11" s="1150">
        <v>508</v>
      </c>
      <c r="D11" s="1149">
        <f>+E11-C11</f>
        <v>0</v>
      </c>
      <c r="E11" s="1148">
        <v>508</v>
      </c>
      <c r="F11" s="1147">
        <v>10</v>
      </c>
      <c r="G11" s="1150"/>
      <c r="H11" s="1149"/>
      <c r="I11" s="1148"/>
      <c r="J11" s="1147"/>
      <c r="K11" s="1142"/>
      <c r="L11" s="1141"/>
      <c r="M11" s="1141"/>
      <c r="N11" s="1140"/>
    </row>
    <row r="12" spans="1:15" ht="23.45" customHeight="1" x14ac:dyDescent="0.2">
      <c r="A12" s="1152" t="s">
        <v>390</v>
      </c>
      <c r="B12" s="1151" t="s">
        <v>1379</v>
      </c>
      <c r="C12" s="1150"/>
      <c r="D12" s="1149">
        <f>+E12-C12</f>
        <v>318</v>
      </c>
      <c r="E12" s="1148">
        <v>318</v>
      </c>
      <c r="F12" s="1147">
        <v>318</v>
      </c>
      <c r="G12" s="1150"/>
      <c r="H12" s="1149"/>
      <c r="I12" s="1148"/>
      <c r="J12" s="1147"/>
      <c r="K12" s="1142"/>
      <c r="L12" s="1141"/>
      <c r="M12" s="1141"/>
      <c r="N12" s="1140"/>
    </row>
    <row r="13" spans="1:15" s="1116" customFormat="1" ht="23.45" customHeight="1" x14ac:dyDescent="0.2">
      <c r="A13" s="1152" t="s">
        <v>390</v>
      </c>
      <c r="B13" s="1151" t="s">
        <v>1378</v>
      </c>
      <c r="C13" s="1150">
        <v>1858</v>
      </c>
      <c r="D13" s="1149">
        <f>+E13-C13</f>
        <v>-120</v>
      </c>
      <c r="E13" s="1148">
        <v>1738</v>
      </c>
      <c r="F13" s="1147">
        <v>1482</v>
      </c>
      <c r="G13" s="1150"/>
      <c r="H13" s="1149"/>
      <c r="I13" s="1148"/>
      <c r="J13" s="1147"/>
      <c r="K13" s="1142"/>
      <c r="L13" s="1141"/>
      <c r="M13" s="1141"/>
      <c r="N13" s="1140"/>
    </row>
    <row r="14" spans="1:15" s="1116" customFormat="1" ht="23.45" customHeight="1" x14ac:dyDescent="0.2">
      <c r="A14" s="1152" t="s">
        <v>390</v>
      </c>
      <c r="B14" s="1151" t="s">
        <v>1377</v>
      </c>
      <c r="C14" s="1150"/>
      <c r="D14" s="1149">
        <f>+E14-C14</f>
        <v>1588</v>
      </c>
      <c r="E14" s="1148">
        <v>1588</v>
      </c>
      <c r="F14" s="1147">
        <v>1588</v>
      </c>
      <c r="G14" s="1150"/>
      <c r="H14" s="1149"/>
      <c r="I14" s="1148"/>
      <c r="J14" s="1147"/>
      <c r="K14" s="1142"/>
      <c r="L14" s="1141"/>
      <c r="M14" s="1141"/>
      <c r="N14" s="1140"/>
      <c r="O14" s="1209"/>
    </row>
    <row r="15" spans="1:15" s="1116" customFormat="1" ht="23.45" customHeight="1" x14ac:dyDescent="0.2">
      <c r="A15" s="1152" t="s">
        <v>390</v>
      </c>
      <c r="B15" s="1151" t="s">
        <v>1376</v>
      </c>
      <c r="C15" s="1150"/>
      <c r="D15" s="1149">
        <f>+E15-C15</f>
        <v>521</v>
      </c>
      <c r="E15" s="1148">
        <v>521</v>
      </c>
      <c r="F15" s="1147">
        <v>521</v>
      </c>
      <c r="G15" s="1150"/>
      <c r="H15" s="1149"/>
      <c r="I15" s="1148"/>
      <c r="J15" s="1147"/>
      <c r="K15" s="1142"/>
      <c r="L15" s="1141"/>
      <c r="M15" s="1141"/>
      <c r="N15" s="1140"/>
    </row>
    <row r="16" spans="1:15" s="1116" customFormat="1" ht="23.45" customHeight="1" x14ac:dyDescent="0.2">
      <c r="A16" s="1152" t="s">
        <v>390</v>
      </c>
      <c r="B16" s="1151" t="s">
        <v>1375</v>
      </c>
      <c r="C16" s="1150">
        <v>1007</v>
      </c>
      <c r="D16" s="1149">
        <f>+E16-C16</f>
        <v>0</v>
      </c>
      <c r="E16" s="1148">
        <v>1007</v>
      </c>
      <c r="F16" s="1147">
        <v>1007</v>
      </c>
      <c r="G16" s="1150"/>
      <c r="H16" s="1149"/>
      <c r="I16" s="1148"/>
      <c r="J16" s="1147"/>
      <c r="K16" s="1142"/>
      <c r="L16" s="1141"/>
      <c r="M16" s="1141"/>
      <c r="N16" s="1140"/>
    </row>
    <row r="17" spans="1:14" s="1116" customFormat="1" ht="23.45" customHeight="1" x14ac:dyDescent="0.2">
      <c r="A17" s="1152" t="s">
        <v>390</v>
      </c>
      <c r="B17" s="1151" t="s">
        <v>1373</v>
      </c>
      <c r="C17" s="1150">
        <v>386</v>
      </c>
      <c r="D17" s="1149">
        <f>+E17-C17</f>
        <v>0</v>
      </c>
      <c r="E17" s="1148">
        <v>386</v>
      </c>
      <c r="F17" s="1147"/>
      <c r="G17" s="1150"/>
      <c r="H17" s="1149"/>
      <c r="I17" s="1148"/>
      <c r="J17" s="1147"/>
      <c r="K17" s="1142"/>
      <c r="L17" s="1141"/>
      <c r="M17" s="1141"/>
      <c r="N17" s="1140"/>
    </row>
    <row r="18" spans="1:14" s="1116" customFormat="1" ht="23.45" customHeight="1" x14ac:dyDescent="0.2">
      <c r="A18" s="1152" t="s">
        <v>390</v>
      </c>
      <c r="B18" s="1151" t="s">
        <v>1374</v>
      </c>
      <c r="C18" s="1150">
        <v>356</v>
      </c>
      <c r="D18" s="1149">
        <f>+E18-C18</f>
        <v>0</v>
      </c>
      <c r="E18" s="1148">
        <v>356</v>
      </c>
      <c r="F18" s="1147">
        <v>356</v>
      </c>
      <c r="G18" s="1150"/>
      <c r="H18" s="1149"/>
      <c r="I18" s="1148"/>
      <c r="J18" s="1147"/>
      <c r="K18" s="1142"/>
      <c r="L18" s="1141"/>
      <c r="M18" s="1141"/>
      <c r="N18" s="1140"/>
    </row>
    <row r="19" spans="1:14" s="1116" customFormat="1" ht="23.45" customHeight="1" x14ac:dyDescent="0.2">
      <c r="A19" s="1152" t="s">
        <v>390</v>
      </c>
      <c r="B19" s="1151" t="s">
        <v>1373</v>
      </c>
      <c r="C19" s="1150">
        <v>213</v>
      </c>
      <c r="D19" s="1149">
        <f>+E19-C19</f>
        <v>0</v>
      </c>
      <c r="E19" s="1148">
        <v>213</v>
      </c>
      <c r="F19" s="1147">
        <v>213</v>
      </c>
      <c r="G19" s="1150"/>
      <c r="H19" s="1149"/>
      <c r="I19" s="1148"/>
      <c r="J19" s="1147"/>
      <c r="K19" s="1142"/>
      <c r="L19" s="1141"/>
      <c r="M19" s="1141"/>
      <c r="N19" s="1140"/>
    </row>
    <row r="20" spans="1:14" s="1116" customFormat="1" ht="23.45" customHeight="1" x14ac:dyDescent="0.2">
      <c r="A20" s="1152" t="s">
        <v>390</v>
      </c>
      <c r="B20" s="1151" t="s">
        <v>1372</v>
      </c>
      <c r="C20" s="1150">
        <v>245</v>
      </c>
      <c r="D20" s="1149">
        <f>+E20-C20</f>
        <v>0</v>
      </c>
      <c r="E20" s="1148">
        <v>245</v>
      </c>
      <c r="F20" s="1147">
        <v>245</v>
      </c>
      <c r="G20" s="1150"/>
      <c r="H20" s="1149"/>
      <c r="I20" s="1148"/>
      <c r="J20" s="1147"/>
      <c r="K20" s="1142"/>
      <c r="L20" s="1141"/>
      <c r="M20" s="1141"/>
      <c r="N20" s="1140"/>
    </row>
    <row r="21" spans="1:14" s="1116" customFormat="1" ht="23.45" customHeight="1" x14ac:dyDescent="0.2">
      <c r="A21" s="1152" t="s">
        <v>390</v>
      </c>
      <c r="B21" s="1151" t="s">
        <v>1371</v>
      </c>
      <c r="C21" s="1150">
        <v>254</v>
      </c>
      <c r="D21" s="1149">
        <f>+E21-C21</f>
        <v>0</v>
      </c>
      <c r="E21" s="1148">
        <v>254</v>
      </c>
      <c r="F21" s="1147">
        <v>254</v>
      </c>
      <c r="G21" s="1150"/>
      <c r="H21" s="1149"/>
      <c r="I21" s="1148"/>
      <c r="J21" s="1147"/>
      <c r="K21" s="1142"/>
      <c r="L21" s="1141"/>
      <c r="M21" s="1141"/>
      <c r="N21" s="1140"/>
    </row>
    <row r="22" spans="1:14" s="1116" customFormat="1" ht="23.45" customHeight="1" x14ac:dyDescent="0.2">
      <c r="A22" s="1152" t="s">
        <v>390</v>
      </c>
      <c r="B22" s="1151" t="s">
        <v>1370</v>
      </c>
      <c r="C22" s="1150">
        <v>282</v>
      </c>
      <c r="D22" s="1149">
        <f>+E22-C22</f>
        <v>0</v>
      </c>
      <c r="E22" s="1148">
        <v>282</v>
      </c>
      <c r="F22" s="1147">
        <v>282</v>
      </c>
      <c r="G22" s="1150"/>
      <c r="H22" s="1149"/>
      <c r="I22" s="1148"/>
      <c r="J22" s="1147"/>
      <c r="K22" s="1142"/>
      <c r="L22" s="1141"/>
      <c r="M22" s="1141"/>
      <c r="N22" s="1140"/>
    </row>
    <row r="23" spans="1:14" s="1116" customFormat="1" ht="23.45" customHeight="1" x14ac:dyDescent="0.2">
      <c r="A23" s="1152" t="s">
        <v>390</v>
      </c>
      <c r="B23" s="1151" t="s">
        <v>1369</v>
      </c>
      <c r="C23" s="1146">
        <f>203+254</f>
        <v>457</v>
      </c>
      <c r="D23" s="1145">
        <f>+E23-C23</f>
        <v>0</v>
      </c>
      <c r="E23" s="1148">
        <v>457</v>
      </c>
      <c r="F23" s="1143">
        <v>338</v>
      </c>
      <c r="G23" s="1146"/>
      <c r="H23" s="1145"/>
      <c r="I23" s="1144"/>
      <c r="J23" s="1143"/>
      <c r="K23" s="1142"/>
      <c r="L23" s="1141"/>
      <c r="M23" s="1141"/>
      <c r="N23" s="1140"/>
    </row>
    <row r="24" spans="1:14" s="1116" customFormat="1" ht="23.45" customHeight="1" x14ac:dyDescent="0.2">
      <c r="A24" s="1152" t="s">
        <v>390</v>
      </c>
      <c r="B24" s="1151" t="s">
        <v>1368</v>
      </c>
      <c r="C24" s="1146">
        <v>2032</v>
      </c>
      <c r="D24" s="1145">
        <f>+E24-C24</f>
        <v>0</v>
      </c>
      <c r="E24" s="1148">
        <v>2032</v>
      </c>
      <c r="F24" s="1143">
        <v>1855</v>
      </c>
      <c r="G24" s="1146"/>
      <c r="H24" s="1145"/>
      <c r="I24" s="1144"/>
      <c r="J24" s="1143"/>
      <c r="K24" s="1142"/>
      <c r="L24" s="1141"/>
      <c r="M24" s="1141"/>
      <c r="N24" s="1140"/>
    </row>
    <row r="25" spans="1:14" s="1116" customFormat="1" ht="23.45" customHeight="1" x14ac:dyDescent="0.2">
      <c r="A25" s="1152" t="s">
        <v>390</v>
      </c>
      <c r="B25" s="1151" t="s">
        <v>1367</v>
      </c>
      <c r="C25" s="1146">
        <v>4151</v>
      </c>
      <c r="D25" s="1145">
        <f>+E25-C25</f>
        <v>164</v>
      </c>
      <c r="E25" s="1148">
        <v>4315</v>
      </c>
      <c r="F25" s="1143">
        <v>4315</v>
      </c>
      <c r="G25" s="1146"/>
      <c r="H25" s="1145"/>
      <c r="I25" s="1144"/>
      <c r="J25" s="1143"/>
      <c r="K25" s="1142"/>
      <c r="L25" s="1141"/>
      <c r="M25" s="1141"/>
      <c r="N25" s="1140"/>
    </row>
    <row r="26" spans="1:14" s="1116" customFormat="1" ht="23.45" customHeight="1" thickBot="1" x14ac:dyDescent="0.25">
      <c r="A26" s="1139" t="s">
        <v>390</v>
      </c>
      <c r="B26" s="1138" t="s">
        <v>1366</v>
      </c>
      <c r="C26" s="1133">
        <v>18034</v>
      </c>
      <c r="D26" s="1132">
        <f>+E26-C26</f>
        <v>2966</v>
      </c>
      <c r="E26" s="1131">
        <v>21000</v>
      </c>
      <c r="F26" s="1130">
        <v>19664</v>
      </c>
      <c r="G26" s="1133"/>
      <c r="H26" s="1132"/>
      <c r="I26" s="1131"/>
      <c r="J26" s="1130"/>
      <c r="K26" s="1129"/>
      <c r="L26" s="1128"/>
      <c r="M26" s="1128"/>
      <c r="N26" s="1127"/>
    </row>
    <row r="27" spans="1:14" s="1126" customFormat="1" ht="34.15" customHeight="1" x14ac:dyDescent="0.2">
      <c r="A27" s="1165" t="s">
        <v>336</v>
      </c>
      <c r="B27" s="1164" t="s">
        <v>1365</v>
      </c>
      <c r="C27" s="1163"/>
      <c r="D27" s="1162"/>
      <c r="E27" s="1161"/>
      <c r="F27" s="1160"/>
      <c r="G27" s="1159">
        <v>572</v>
      </c>
      <c r="H27" s="1158">
        <f>+I27-G27</f>
        <v>0</v>
      </c>
      <c r="I27" s="1157">
        <f>+G27</f>
        <v>572</v>
      </c>
      <c r="J27" s="1156"/>
      <c r="K27" s="1208">
        <f>SUM(C27:C30,G27:G30)</f>
        <v>2704</v>
      </c>
      <c r="L27" s="1207">
        <f>SUM(D27:D30,H27:H30)</f>
        <v>0</v>
      </c>
      <c r="M27" s="1207">
        <f>SUM(E27:E30,I27:I30)</f>
        <v>2704</v>
      </c>
      <c r="N27" s="1206">
        <f>SUM(F27:F30,J27:J30)</f>
        <v>910</v>
      </c>
    </row>
    <row r="28" spans="1:14" s="1126" customFormat="1" ht="34.15" customHeight="1" x14ac:dyDescent="0.2">
      <c r="A28" s="1152" t="s">
        <v>336</v>
      </c>
      <c r="B28" s="1205" t="s">
        <v>1364</v>
      </c>
      <c r="C28" s="1150"/>
      <c r="D28" s="1149"/>
      <c r="E28" s="1148"/>
      <c r="F28" s="1147"/>
      <c r="G28" s="1146">
        <v>762</v>
      </c>
      <c r="H28" s="1145">
        <f>+I28-G28</f>
        <v>0</v>
      </c>
      <c r="I28" s="1144">
        <f>+G28</f>
        <v>762</v>
      </c>
      <c r="J28" s="1143">
        <v>109</v>
      </c>
      <c r="K28" s="1204"/>
      <c r="L28" s="1203"/>
      <c r="M28" s="1203"/>
      <c r="N28" s="1202"/>
    </row>
    <row r="29" spans="1:14" s="1126" customFormat="1" ht="34.15" customHeight="1" x14ac:dyDescent="0.2">
      <c r="A29" s="1174" t="s">
        <v>336</v>
      </c>
      <c r="B29" s="1201" t="s">
        <v>1363</v>
      </c>
      <c r="C29" s="1137"/>
      <c r="D29" s="1136"/>
      <c r="E29" s="1135"/>
      <c r="F29" s="1134"/>
      <c r="G29" s="1172">
        <v>0</v>
      </c>
      <c r="H29" s="1171">
        <f>+I29-G29</f>
        <v>500</v>
      </c>
      <c r="I29" s="1170">
        <v>500</v>
      </c>
      <c r="J29" s="1169">
        <v>261</v>
      </c>
      <c r="K29" s="1200"/>
      <c r="L29" s="1199"/>
      <c r="M29" s="1199"/>
      <c r="N29" s="1198"/>
    </row>
    <row r="30" spans="1:14" s="1126" customFormat="1" ht="34.15" customHeight="1" thickBot="1" x14ac:dyDescent="0.25">
      <c r="A30" s="1139" t="s">
        <v>336</v>
      </c>
      <c r="B30" s="1197" t="s">
        <v>1362</v>
      </c>
      <c r="C30" s="1178"/>
      <c r="D30" s="1177"/>
      <c r="E30" s="1176"/>
      <c r="F30" s="1175"/>
      <c r="G30" s="1133">
        <v>1370</v>
      </c>
      <c r="H30" s="1132">
        <f>+I30-G30</f>
        <v>-500</v>
      </c>
      <c r="I30" s="1131">
        <f>1370-500</f>
        <v>870</v>
      </c>
      <c r="J30" s="1130">
        <v>540</v>
      </c>
      <c r="K30" s="1196"/>
      <c r="L30" s="1195"/>
      <c r="M30" s="1195"/>
      <c r="N30" s="1194"/>
    </row>
    <row r="31" spans="1:14" s="1116" customFormat="1" ht="34.15" customHeight="1" x14ac:dyDescent="0.2">
      <c r="A31" s="1165" t="s">
        <v>1360</v>
      </c>
      <c r="B31" s="1193" t="s">
        <v>1361</v>
      </c>
      <c r="C31" s="1163"/>
      <c r="D31" s="1162"/>
      <c r="E31" s="1161"/>
      <c r="F31" s="1160"/>
      <c r="G31" s="1159">
        <v>445</v>
      </c>
      <c r="H31" s="1158">
        <f>+I31-G31</f>
        <v>0</v>
      </c>
      <c r="I31" s="1157">
        <v>445</v>
      </c>
      <c r="J31" s="1156">
        <v>419</v>
      </c>
      <c r="K31" s="1155">
        <f>SUM(C31:C32,G31:G32)</f>
        <v>546</v>
      </c>
      <c r="L31" s="1154">
        <f>SUM(D31:D32,H31:H32)</f>
        <v>200</v>
      </c>
      <c r="M31" s="1154">
        <f>SUM(E31:E32,I31:I32)</f>
        <v>746</v>
      </c>
      <c r="N31" s="1153">
        <f>SUM(F31:F32,J31:J32)</f>
        <v>611</v>
      </c>
    </row>
    <row r="32" spans="1:14" s="1116" customFormat="1" ht="34.15" customHeight="1" thickBot="1" x14ac:dyDescent="0.25">
      <c r="A32" s="1139" t="s">
        <v>1360</v>
      </c>
      <c r="B32" s="1192" t="s">
        <v>1359</v>
      </c>
      <c r="C32" s="1178"/>
      <c r="D32" s="1177"/>
      <c r="E32" s="1176"/>
      <c r="F32" s="1175"/>
      <c r="G32" s="1133">
        <v>101</v>
      </c>
      <c r="H32" s="1132">
        <f>+I32-G32</f>
        <v>200</v>
      </c>
      <c r="I32" s="1131">
        <v>301</v>
      </c>
      <c r="J32" s="1130">
        <v>192</v>
      </c>
      <c r="K32" s="1129"/>
      <c r="L32" s="1128"/>
      <c r="M32" s="1128"/>
      <c r="N32" s="1127"/>
    </row>
    <row r="33" spans="1:14" s="1126" customFormat="1" ht="34.15" customHeight="1" x14ac:dyDescent="0.2">
      <c r="A33" s="1165" t="s">
        <v>416</v>
      </c>
      <c r="B33" s="1164" t="s">
        <v>1358</v>
      </c>
      <c r="C33" s="1163"/>
      <c r="D33" s="1162"/>
      <c r="E33" s="1161"/>
      <c r="F33" s="1160"/>
      <c r="G33" s="1159">
        <v>556</v>
      </c>
      <c r="H33" s="1158">
        <f>+I33-G33</f>
        <v>0</v>
      </c>
      <c r="I33" s="1157">
        <v>556</v>
      </c>
      <c r="J33" s="1156">
        <v>0</v>
      </c>
      <c r="K33" s="1155">
        <f>SUM(C33:C35,G33:G35)</f>
        <v>2461</v>
      </c>
      <c r="L33" s="1154">
        <f>SUM(D33:D35,H33:H35)</f>
        <v>0</v>
      </c>
      <c r="M33" s="1154">
        <f>SUM(E33:E35,I33:I35)</f>
        <v>2461</v>
      </c>
      <c r="N33" s="1153">
        <f>SUM(F33:F35,J33:J35)</f>
        <v>704</v>
      </c>
    </row>
    <row r="34" spans="1:14" s="1126" customFormat="1" ht="34.15" customHeight="1" x14ac:dyDescent="0.2">
      <c r="A34" s="1191" t="s">
        <v>416</v>
      </c>
      <c r="B34" s="1190" t="s">
        <v>1351</v>
      </c>
      <c r="C34" s="1189"/>
      <c r="D34" s="1188"/>
      <c r="E34" s="1187"/>
      <c r="F34" s="1186"/>
      <c r="G34" s="1185">
        <v>0</v>
      </c>
      <c r="H34" s="1184">
        <f>+I34-G34</f>
        <v>152</v>
      </c>
      <c r="I34" s="1183">
        <v>152</v>
      </c>
      <c r="J34" s="1182">
        <v>152</v>
      </c>
      <c r="K34" s="1181"/>
      <c r="L34" s="1180"/>
      <c r="M34" s="1180"/>
      <c r="N34" s="1179"/>
    </row>
    <row r="35" spans="1:14" s="1126" customFormat="1" ht="34.15" customHeight="1" thickBot="1" x14ac:dyDescent="0.25">
      <c r="A35" s="1139" t="s">
        <v>416</v>
      </c>
      <c r="B35" s="1138" t="s">
        <v>1357</v>
      </c>
      <c r="C35" s="1178"/>
      <c r="D35" s="1177"/>
      <c r="E35" s="1176"/>
      <c r="F35" s="1175"/>
      <c r="G35" s="1133">
        <v>1905</v>
      </c>
      <c r="H35" s="1132">
        <f>+I35-G35</f>
        <v>-152</v>
      </c>
      <c r="I35" s="1131">
        <f>1905-152</f>
        <v>1753</v>
      </c>
      <c r="J35" s="1130">
        <v>552</v>
      </c>
      <c r="K35" s="1129"/>
      <c r="L35" s="1128"/>
      <c r="M35" s="1128"/>
      <c r="N35" s="1127"/>
    </row>
    <row r="36" spans="1:14" s="1126" customFormat="1" ht="34.15" customHeight="1" x14ac:dyDescent="0.2">
      <c r="A36" s="1165" t="s">
        <v>1354</v>
      </c>
      <c r="B36" s="1164" t="s">
        <v>1356</v>
      </c>
      <c r="C36" s="1163"/>
      <c r="D36" s="1162"/>
      <c r="E36" s="1161"/>
      <c r="F36" s="1160"/>
      <c r="G36" s="1159">
        <v>1355</v>
      </c>
      <c r="H36" s="1158">
        <f>+I36-G36</f>
        <v>0</v>
      </c>
      <c r="I36" s="1157">
        <f>+G36</f>
        <v>1355</v>
      </c>
      <c r="J36" s="1156">
        <v>796</v>
      </c>
      <c r="K36" s="1155">
        <f>SUM(C36:C38,G36:G38)</f>
        <v>3235</v>
      </c>
      <c r="L36" s="1154">
        <f>SUM(D36:D38,H36:H38)</f>
        <v>664</v>
      </c>
      <c r="M36" s="1154">
        <f>SUM(E36:E38,I36:I38)</f>
        <v>3899</v>
      </c>
      <c r="N36" s="1153">
        <f>SUM(F36:F38,J36:J38)</f>
        <v>1432</v>
      </c>
    </row>
    <row r="37" spans="1:14" s="1126" customFormat="1" ht="34.15" customHeight="1" x14ac:dyDescent="0.2">
      <c r="A37" s="1152" t="s">
        <v>1354</v>
      </c>
      <c r="B37" s="1151" t="s">
        <v>1355</v>
      </c>
      <c r="C37" s="1150"/>
      <c r="D37" s="1149"/>
      <c r="E37" s="1148"/>
      <c r="F37" s="1147"/>
      <c r="G37" s="1146">
        <v>1575</v>
      </c>
      <c r="H37" s="1145">
        <f>+I37-G37</f>
        <v>664</v>
      </c>
      <c r="I37" s="1144">
        <f>+G37+664</f>
        <v>2239</v>
      </c>
      <c r="J37" s="1143">
        <v>611</v>
      </c>
      <c r="K37" s="1142"/>
      <c r="L37" s="1141"/>
      <c r="M37" s="1141"/>
      <c r="N37" s="1140"/>
    </row>
    <row r="38" spans="1:14" s="1126" customFormat="1" ht="34.15" customHeight="1" thickBot="1" x14ac:dyDescent="0.25">
      <c r="A38" s="1174" t="s">
        <v>1354</v>
      </c>
      <c r="B38" s="1173" t="s">
        <v>1353</v>
      </c>
      <c r="C38" s="1137"/>
      <c r="D38" s="1136"/>
      <c r="E38" s="1135"/>
      <c r="F38" s="1134"/>
      <c r="G38" s="1172">
        <v>305</v>
      </c>
      <c r="H38" s="1171">
        <f>+I38-G38</f>
        <v>0</v>
      </c>
      <c r="I38" s="1170">
        <f>+G38</f>
        <v>305</v>
      </c>
      <c r="J38" s="1169">
        <v>25</v>
      </c>
      <c r="K38" s="1168"/>
      <c r="L38" s="1167"/>
      <c r="M38" s="1167"/>
      <c r="N38" s="1166"/>
    </row>
    <row r="39" spans="1:14" s="1126" customFormat="1" ht="34.15" customHeight="1" x14ac:dyDescent="0.2">
      <c r="A39" s="1165" t="s">
        <v>853</v>
      </c>
      <c r="B39" s="1164" t="s">
        <v>1352</v>
      </c>
      <c r="C39" s="1163"/>
      <c r="D39" s="1162">
        <f>+E39-C39</f>
        <v>1270</v>
      </c>
      <c r="E39" s="1161">
        <v>1270</v>
      </c>
      <c r="F39" s="1160">
        <v>0</v>
      </c>
      <c r="G39" s="1159"/>
      <c r="H39" s="1158"/>
      <c r="I39" s="1157"/>
      <c r="J39" s="1156"/>
      <c r="K39" s="1155">
        <f>SUM(C39:C42,G39:G42)</f>
        <v>0</v>
      </c>
      <c r="L39" s="1154">
        <f>SUM(D39:D42,H39:H42)</f>
        <v>5544</v>
      </c>
      <c r="M39" s="1154">
        <f>SUM(E39:E42,I39:I42)</f>
        <v>5544</v>
      </c>
      <c r="N39" s="1153">
        <f>SUM(F39:F42,J39:J42)</f>
        <v>0</v>
      </c>
    </row>
    <row r="40" spans="1:14" s="1126" customFormat="1" ht="34.15" customHeight="1" x14ac:dyDescent="0.2">
      <c r="A40" s="1152" t="s">
        <v>853</v>
      </c>
      <c r="B40" s="1151" t="s">
        <v>1351</v>
      </c>
      <c r="C40" s="1150"/>
      <c r="D40" s="1149">
        <f>+E40-C40</f>
        <v>1080</v>
      </c>
      <c r="E40" s="1148">
        <v>1080</v>
      </c>
      <c r="F40" s="1147">
        <v>0</v>
      </c>
      <c r="G40" s="1146"/>
      <c r="H40" s="1145"/>
      <c r="I40" s="1144"/>
      <c r="J40" s="1143"/>
      <c r="K40" s="1142"/>
      <c r="L40" s="1141"/>
      <c r="M40" s="1141"/>
      <c r="N40" s="1140"/>
    </row>
    <row r="41" spans="1:14" s="1126" customFormat="1" ht="34.15" customHeight="1" x14ac:dyDescent="0.2">
      <c r="A41" s="1152" t="s">
        <v>853</v>
      </c>
      <c r="B41" s="1151" t="s">
        <v>1350</v>
      </c>
      <c r="C41" s="1150"/>
      <c r="D41" s="1149">
        <f>+E41-C41</f>
        <v>1334</v>
      </c>
      <c r="E41" s="1148">
        <v>1334</v>
      </c>
      <c r="F41" s="1147">
        <v>0</v>
      </c>
      <c r="G41" s="1146"/>
      <c r="H41" s="1145"/>
      <c r="I41" s="1144"/>
      <c r="J41" s="1143"/>
      <c r="K41" s="1142"/>
      <c r="L41" s="1141"/>
      <c r="M41" s="1141"/>
      <c r="N41" s="1140"/>
    </row>
    <row r="42" spans="1:14" s="1126" customFormat="1" ht="34.15" customHeight="1" thickBot="1" x14ac:dyDescent="0.25">
      <c r="A42" s="1139" t="s">
        <v>853</v>
      </c>
      <c r="B42" s="1138" t="s">
        <v>1349</v>
      </c>
      <c r="C42" s="1137"/>
      <c r="D42" s="1136">
        <f>+E42-C42</f>
        <v>1860</v>
      </c>
      <c r="E42" s="1135">
        <v>1860</v>
      </c>
      <c r="F42" s="1134">
        <v>0</v>
      </c>
      <c r="G42" s="1133"/>
      <c r="H42" s="1132"/>
      <c r="I42" s="1131"/>
      <c r="J42" s="1130"/>
      <c r="K42" s="1129"/>
      <c r="L42" s="1128"/>
      <c r="M42" s="1128"/>
      <c r="N42" s="1127"/>
    </row>
    <row r="43" spans="1:14" s="1126" customFormat="1" ht="42" customHeight="1" thickBot="1" x14ac:dyDescent="0.25">
      <c r="A43" s="808" t="s">
        <v>1409</v>
      </c>
      <c r="B43" s="1138"/>
      <c r="C43" s="1333"/>
      <c r="D43" s="1334"/>
      <c r="E43" s="1335"/>
      <c r="F43" s="1336"/>
      <c r="G43" s="1133"/>
      <c r="H43" s="1132">
        <v>453</v>
      </c>
      <c r="I43" s="1131">
        <v>453</v>
      </c>
      <c r="J43" s="1130">
        <v>187</v>
      </c>
      <c r="K43" s="1330">
        <f>SUM(C43,G43)</f>
        <v>0</v>
      </c>
      <c r="L43" s="1331">
        <f>SUM(D43,H43)</f>
        <v>453</v>
      </c>
      <c r="M43" s="1331">
        <f>SUM(E43,I43)</f>
        <v>453</v>
      </c>
      <c r="N43" s="1332">
        <f>SUM(F43,J43)</f>
        <v>187</v>
      </c>
    </row>
    <row r="44" spans="1:14" s="1116" customFormat="1" ht="26.45" customHeight="1" thickBot="1" x14ac:dyDescent="0.25">
      <c r="A44" s="1125" t="s">
        <v>1348</v>
      </c>
      <c r="B44" s="1124"/>
      <c r="C44" s="1123">
        <f t="shared" ref="C44:J44" si="0">SUM(C4:C43)</f>
        <v>34693</v>
      </c>
      <c r="D44" s="1122">
        <f t="shared" si="0"/>
        <v>9163</v>
      </c>
      <c r="E44" s="1122">
        <f t="shared" si="0"/>
        <v>43856</v>
      </c>
      <c r="F44" s="1121">
        <f t="shared" si="0"/>
        <v>33780</v>
      </c>
      <c r="G44" s="1123">
        <f t="shared" si="0"/>
        <v>16660</v>
      </c>
      <c r="H44" s="1122">
        <f t="shared" si="0"/>
        <v>7098</v>
      </c>
      <c r="I44" s="1122">
        <f t="shared" si="0"/>
        <v>23758</v>
      </c>
      <c r="J44" s="1121">
        <f t="shared" si="0"/>
        <v>11104</v>
      </c>
      <c r="K44" s="1123">
        <f>SUM(K4:K43)</f>
        <v>51353</v>
      </c>
      <c r="L44" s="1122">
        <f t="shared" ref="L44:N44" si="1">SUM(L4:L43)</f>
        <v>16261</v>
      </c>
      <c r="M44" s="1122">
        <f t="shared" si="1"/>
        <v>67614</v>
      </c>
      <c r="N44" s="1121">
        <f t="shared" si="1"/>
        <v>44884</v>
      </c>
    </row>
    <row r="45" spans="1:14" s="1116" customFormat="1" x14ac:dyDescent="0.2">
      <c r="A45" s="1120"/>
      <c r="B45" s="1117"/>
      <c r="C45" s="1119"/>
      <c r="D45" s="1119"/>
      <c r="E45" s="1119"/>
      <c r="F45" s="1119"/>
      <c r="G45" s="1119"/>
      <c r="H45" s="1119"/>
      <c r="I45" s="1119"/>
      <c r="J45" s="1119"/>
    </row>
    <row r="46" spans="1:14" s="1116" customFormat="1" x14ac:dyDescent="0.2">
      <c r="A46" s="1120"/>
      <c r="B46" s="1117"/>
      <c r="C46" s="1119"/>
      <c r="D46" s="1119"/>
      <c r="E46" s="1119"/>
      <c r="F46" s="1119"/>
      <c r="G46" s="1119"/>
      <c r="H46" s="1119"/>
      <c r="I46" s="1119"/>
      <c r="J46" s="1119"/>
    </row>
    <row r="47" spans="1:14" s="1116" customFormat="1" x14ac:dyDescent="0.2">
      <c r="A47" s="1120"/>
      <c r="B47" s="1117"/>
      <c r="C47" s="1119"/>
      <c r="D47" s="1119"/>
      <c r="E47" s="1119"/>
      <c r="F47" s="1119"/>
      <c r="G47" s="1119"/>
      <c r="H47" s="1119"/>
      <c r="I47" s="1119"/>
      <c r="J47" s="1119"/>
    </row>
    <row r="48" spans="1:14" s="1116" customFormat="1" x14ac:dyDescent="0.2">
      <c r="A48" s="1120"/>
      <c r="B48" s="1117"/>
      <c r="C48" s="1119"/>
      <c r="D48" s="1119"/>
      <c r="E48" s="1119"/>
      <c r="F48" s="1119"/>
      <c r="G48" s="1119"/>
      <c r="H48" s="1119"/>
      <c r="I48" s="1119"/>
      <c r="J48" s="1119"/>
    </row>
    <row r="49" spans="1:10" s="1116" customFormat="1" x14ac:dyDescent="0.2">
      <c r="A49" s="1120"/>
      <c r="B49" s="1117"/>
      <c r="C49" s="1119"/>
      <c r="D49" s="1119"/>
      <c r="E49" s="1119"/>
      <c r="F49" s="1119"/>
      <c r="G49" s="1119"/>
      <c r="H49" s="1119"/>
      <c r="I49" s="1119"/>
      <c r="J49" s="1119"/>
    </row>
    <row r="50" spans="1:10" s="1116" customFormat="1" x14ac:dyDescent="0.2">
      <c r="A50" s="1120"/>
      <c r="B50" s="1117"/>
      <c r="C50" s="1119"/>
      <c r="D50" s="1119"/>
      <c r="E50" s="1119"/>
      <c r="F50" s="1119"/>
      <c r="G50" s="1119"/>
      <c r="H50" s="1119"/>
      <c r="I50" s="1119"/>
      <c r="J50" s="1119"/>
    </row>
    <row r="51" spans="1:10" s="1116" customFormat="1" x14ac:dyDescent="0.2">
      <c r="A51" s="1120"/>
      <c r="B51" s="1117"/>
      <c r="C51" s="1119"/>
      <c r="D51" s="1119"/>
      <c r="E51" s="1119"/>
      <c r="F51" s="1119"/>
      <c r="G51" s="1119"/>
      <c r="H51" s="1119"/>
      <c r="I51" s="1119"/>
      <c r="J51" s="1119"/>
    </row>
    <row r="52" spans="1:10" s="1116" customFormat="1" x14ac:dyDescent="0.2">
      <c r="A52" s="1120"/>
      <c r="B52" s="1117"/>
      <c r="C52" s="1119"/>
      <c r="D52" s="1119"/>
      <c r="E52" s="1119"/>
      <c r="F52" s="1119"/>
      <c r="G52" s="1119"/>
      <c r="H52" s="1119"/>
      <c r="I52" s="1119"/>
      <c r="J52" s="1119"/>
    </row>
    <row r="53" spans="1:10" s="1116" customFormat="1" x14ac:dyDescent="0.2">
      <c r="A53" s="1120"/>
      <c r="B53" s="1117"/>
      <c r="C53" s="1119"/>
      <c r="D53" s="1119"/>
      <c r="E53" s="1119"/>
      <c r="F53" s="1119"/>
      <c r="G53" s="1119"/>
      <c r="H53" s="1119"/>
      <c r="I53" s="1119"/>
      <c r="J53" s="1119"/>
    </row>
    <row r="54" spans="1:10" s="1116" customFormat="1" x14ac:dyDescent="0.2">
      <c r="A54" s="1120"/>
      <c r="B54" s="1117"/>
      <c r="C54" s="1119"/>
      <c r="D54" s="1119"/>
      <c r="E54" s="1119"/>
      <c r="F54" s="1119"/>
      <c r="G54" s="1119"/>
      <c r="H54" s="1119"/>
      <c r="I54" s="1119"/>
      <c r="J54" s="1119"/>
    </row>
    <row r="55" spans="1:10" s="1116" customFormat="1" x14ac:dyDescent="0.2">
      <c r="A55" s="1120"/>
      <c r="B55" s="1117"/>
      <c r="C55" s="1119"/>
      <c r="D55" s="1119"/>
      <c r="E55" s="1119"/>
      <c r="F55" s="1119"/>
      <c r="G55" s="1119"/>
      <c r="H55" s="1119"/>
      <c r="I55" s="1119"/>
      <c r="J55" s="1119"/>
    </row>
    <row r="56" spans="1:10" s="1116" customFormat="1" x14ac:dyDescent="0.2">
      <c r="A56" s="1120"/>
      <c r="B56" s="1117"/>
      <c r="C56" s="1119"/>
      <c r="D56" s="1119"/>
      <c r="E56" s="1119"/>
      <c r="F56" s="1119"/>
      <c r="G56" s="1119"/>
      <c r="H56" s="1119"/>
      <c r="I56" s="1119"/>
      <c r="J56" s="1119"/>
    </row>
    <row r="57" spans="1:10" s="1116" customFormat="1" x14ac:dyDescent="0.2">
      <c r="A57" s="1120"/>
      <c r="B57" s="1117"/>
      <c r="C57" s="1119"/>
      <c r="D57" s="1119"/>
      <c r="E57" s="1119"/>
      <c r="F57" s="1119"/>
      <c r="G57" s="1119"/>
      <c r="H57" s="1119"/>
      <c r="I57" s="1119"/>
      <c r="J57" s="1119"/>
    </row>
    <row r="58" spans="1:10" s="1116" customFormat="1" x14ac:dyDescent="0.2">
      <c r="A58" s="1120"/>
      <c r="B58" s="1117"/>
      <c r="C58" s="1119"/>
      <c r="D58" s="1119"/>
      <c r="E58" s="1119"/>
      <c r="F58" s="1119"/>
      <c r="G58" s="1119"/>
      <c r="H58" s="1119"/>
      <c r="I58" s="1119"/>
      <c r="J58" s="1119"/>
    </row>
  </sheetData>
  <mergeCells count="30">
    <mergeCell ref="L27:L30"/>
    <mergeCell ref="L31:L32"/>
    <mergeCell ref="L33:L35"/>
    <mergeCell ref="L36:L38"/>
    <mergeCell ref="N39:N42"/>
    <mergeCell ref="C2:F2"/>
    <mergeCell ref="G2:J2"/>
    <mergeCell ref="N4:N26"/>
    <mergeCell ref="N27:N30"/>
    <mergeCell ref="N31:N32"/>
    <mergeCell ref="N33:N35"/>
    <mergeCell ref="N36:N38"/>
    <mergeCell ref="K2:N2"/>
    <mergeCell ref="K33:K35"/>
    <mergeCell ref="M4:M26"/>
    <mergeCell ref="M27:M30"/>
    <mergeCell ref="M31:M32"/>
    <mergeCell ref="M33:M35"/>
    <mergeCell ref="M36:M38"/>
    <mergeCell ref="K39:K42"/>
    <mergeCell ref="M39:M42"/>
    <mergeCell ref="L39:L42"/>
    <mergeCell ref="K36:K38"/>
    <mergeCell ref="L4:L26"/>
    <mergeCell ref="A1:A3"/>
    <mergeCell ref="B1:B3"/>
    <mergeCell ref="K4:K26"/>
    <mergeCell ref="K27:K30"/>
    <mergeCell ref="K31:K32"/>
    <mergeCell ref="A44:B44"/>
  </mergeCells>
  <printOptions horizontalCentered="1"/>
  <pageMargins left="0.23622047244094491" right="0.23622047244094491" top="0.59055118110236227" bottom="0.39370078740157483" header="0.19685039370078741" footer="0.19685039370078741"/>
  <pageSetup paperSize="8" scale="85" orientation="landscape" r:id="rId1"/>
  <headerFooter>
    <oddHeader>&amp;LKöltségvetési intézmények&amp;C&amp;"Arial CE,Félkövér"K6 BERUHÁZÁSOK&amp;R13.3 melléklet
adatok ezer Ft-ban</oddHeader>
    <oddFooter>&amp;LVeresegyház, 2015. augusztus 31.&amp;C&amp;P</oddFooter>
  </headerFooter>
  <rowBreaks count="1" manualBreakCount="1">
    <brk id="35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45"/>
  <sheetViews>
    <sheetView view="pageLayout" zoomScale="85" zoomScaleNormal="100" zoomScaleSheetLayoutView="100" zoomScalePageLayoutView="85" workbookViewId="0">
      <selection activeCell="M6" sqref="M6:M7"/>
    </sheetView>
  </sheetViews>
  <sheetFormatPr defaultRowHeight="12" outlineLevelCol="1" x14ac:dyDescent="0.2"/>
  <cols>
    <col min="1" max="1" width="15" style="429" customWidth="1"/>
    <col min="2" max="2" width="7.140625" style="398" bestFit="1" customWidth="1" collapsed="1"/>
    <col min="3" max="3" width="10.42578125" style="398" hidden="1" customWidth="1" outlineLevel="1" collapsed="1"/>
    <col min="4" max="4" width="10.42578125" style="431" hidden="1" customWidth="1" outlineLevel="1"/>
    <col min="5" max="5" width="4.42578125" style="398" bestFit="1" customWidth="1"/>
    <col min="6" max="6" width="11.42578125" style="427" customWidth="1"/>
    <col min="7" max="7" width="40.140625" style="399" customWidth="1"/>
    <col min="8" max="9" width="24.7109375" style="398" hidden="1" customWidth="1" collapsed="1"/>
    <col min="10" max="10" width="19.140625" style="398" hidden="1" customWidth="1" collapsed="1"/>
    <col min="11" max="11" width="24.7109375" style="398" hidden="1" customWidth="1" collapsed="1"/>
    <col min="12" max="12" width="10.140625" style="428" customWidth="1" collapsed="1"/>
    <col min="13" max="13" width="11.5703125" style="428" customWidth="1" collapsed="1"/>
    <col min="14" max="14" width="10.42578125" style="428" customWidth="1" collapsed="1"/>
    <col min="15" max="15" width="11.140625" style="428" customWidth="1" collapsed="1"/>
    <col min="16" max="16" width="11.42578125" style="428" customWidth="1" collapsed="1"/>
    <col min="17" max="17" width="9.7109375" style="428" customWidth="1"/>
    <col min="18" max="18" width="11.5703125" style="428" customWidth="1"/>
    <col min="19" max="16384" width="9.140625" style="398"/>
  </cols>
  <sheetData>
    <row r="1" spans="1:25" s="399" customFormat="1" ht="54.75" customHeight="1" x14ac:dyDescent="0.2">
      <c r="A1" s="908" t="s">
        <v>459</v>
      </c>
      <c r="B1" s="909" t="s">
        <v>860</v>
      </c>
      <c r="C1" s="909" t="s">
        <v>861</v>
      </c>
      <c r="D1" s="908" t="s">
        <v>862</v>
      </c>
      <c r="E1" s="908" t="s">
        <v>863</v>
      </c>
      <c r="F1" s="910" t="s">
        <v>461</v>
      </c>
      <c r="G1" s="915" t="s">
        <v>462</v>
      </c>
      <c r="H1" s="436" t="s">
        <v>864</v>
      </c>
      <c r="I1" s="436" t="s">
        <v>865</v>
      </c>
      <c r="J1" s="436" t="s">
        <v>864</v>
      </c>
      <c r="K1" s="436" t="s">
        <v>865</v>
      </c>
      <c r="L1" s="868" t="s">
        <v>866</v>
      </c>
      <c r="M1" s="868" t="s">
        <v>867</v>
      </c>
      <c r="N1" s="868" t="s">
        <v>868</v>
      </c>
      <c r="O1" s="868" t="s">
        <v>869</v>
      </c>
      <c r="P1" s="868" t="s">
        <v>398</v>
      </c>
      <c r="Q1" s="915" t="s">
        <v>870</v>
      </c>
      <c r="R1" s="868" t="s">
        <v>871</v>
      </c>
      <c r="S1" s="398"/>
      <c r="T1" s="398"/>
      <c r="U1" s="398"/>
      <c r="V1" s="398"/>
      <c r="W1" s="398"/>
      <c r="X1" s="398"/>
      <c r="Y1" s="398"/>
    </row>
    <row r="2" spans="1:25" s="399" customFormat="1" ht="31.5" customHeight="1" x14ac:dyDescent="0.2">
      <c r="A2" s="908"/>
      <c r="B2" s="909"/>
      <c r="C2" s="909"/>
      <c r="D2" s="908"/>
      <c r="E2" s="908"/>
      <c r="F2" s="911"/>
      <c r="G2" s="915"/>
      <c r="H2" s="436" t="s">
        <v>872</v>
      </c>
      <c r="I2" s="400" t="s">
        <v>872</v>
      </c>
      <c r="J2" s="436" t="s">
        <v>873</v>
      </c>
      <c r="K2" s="400" t="s">
        <v>872</v>
      </c>
      <c r="L2" s="869"/>
      <c r="M2" s="869"/>
      <c r="N2" s="869"/>
      <c r="O2" s="869"/>
      <c r="P2" s="869"/>
      <c r="Q2" s="915"/>
      <c r="R2" s="869"/>
      <c r="S2" s="398"/>
      <c r="T2" s="398"/>
      <c r="U2" s="398"/>
      <c r="V2" s="398"/>
      <c r="W2" s="398"/>
      <c r="X2" s="398"/>
      <c r="Y2" s="398"/>
    </row>
    <row r="3" spans="1:25" s="399" customFormat="1" ht="42.75" customHeight="1" x14ac:dyDescent="0.2">
      <c r="A3" s="908"/>
      <c r="B3" s="909"/>
      <c r="C3" s="909"/>
      <c r="D3" s="908"/>
      <c r="E3" s="908"/>
      <c r="F3" s="912"/>
      <c r="G3" s="915"/>
      <c r="H3" s="436" t="s">
        <v>399</v>
      </c>
      <c r="I3" s="436" t="s">
        <v>399</v>
      </c>
      <c r="J3" s="436" t="s">
        <v>399</v>
      </c>
      <c r="K3" s="436" t="s">
        <v>399</v>
      </c>
      <c r="L3" s="870"/>
      <c r="M3" s="870"/>
      <c r="N3" s="870"/>
      <c r="O3" s="870"/>
      <c r="P3" s="870"/>
      <c r="Q3" s="915"/>
      <c r="R3" s="870"/>
      <c r="S3" s="398"/>
      <c r="T3" s="398"/>
      <c r="U3" s="398"/>
      <c r="V3" s="398"/>
      <c r="W3" s="398"/>
      <c r="X3" s="398"/>
      <c r="Y3" s="398"/>
    </row>
    <row r="4" spans="1:25" s="399" customFormat="1" ht="41.25" customHeight="1" x14ac:dyDescent="0.2">
      <c r="A4" s="401" t="s">
        <v>480</v>
      </c>
      <c r="B4" s="402" t="s">
        <v>1266</v>
      </c>
      <c r="C4" s="403" t="s">
        <v>1267</v>
      </c>
      <c r="D4" s="404" t="s">
        <v>1268</v>
      </c>
      <c r="E4" s="405"/>
      <c r="F4" s="406" t="s">
        <v>1269</v>
      </c>
      <c r="G4" s="407" t="s">
        <v>1270</v>
      </c>
      <c r="H4" s="408"/>
      <c r="I4" s="408"/>
      <c r="J4" s="408"/>
      <c r="K4" s="356"/>
      <c r="L4" s="409">
        <f>SUM(H4)</f>
        <v>0</v>
      </c>
      <c r="M4" s="409">
        <f t="shared" ref="M4:O5" si="0">SUM(I4)</f>
        <v>0</v>
      </c>
      <c r="N4" s="409">
        <f t="shared" si="0"/>
        <v>0</v>
      </c>
      <c r="O4" s="409">
        <f t="shared" si="0"/>
        <v>0</v>
      </c>
      <c r="P4" s="409">
        <f>SUM(M4,O4)</f>
        <v>0</v>
      </c>
      <c r="Q4" s="409">
        <v>978</v>
      </c>
      <c r="R4" s="409">
        <v>978</v>
      </c>
      <c r="S4" s="398"/>
      <c r="T4" s="398"/>
      <c r="U4" s="398"/>
      <c r="V4" s="398"/>
      <c r="W4" s="398"/>
      <c r="X4" s="398"/>
      <c r="Y4" s="398"/>
    </row>
    <row r="5" spans="1:25" s="399" customFormat="1" ht="92.25" customHeight="1" x14ac:dyDescent="0.2">
      <c r="A5" s="405" t="s">
        <v>400</v>
      </c>
      <c r="B5" s="410" t="s">
        <v>1271</v>
      </c>
      <c r="C5" s="410" t="s">
        <v>1267</v>
      </c>
      <c r="D5" s="404" t="s">
        <v>1272</v>
      </c>
      <c r="E5" s="404" t="s">
        <v>879</v>
      </c>
      <c r="F5" s="411" t="s">
        <v>1273</v>
      </c>
      <c r="G5" s="326" t="s">
        <v>463</v>
      </c>
      <c r="H5" s="412">
        <v>935</v>
      </c>
      <c r="I5" s="412">
        <v>935</v>
      </c>
      <c r="J5" s="356"/>
      <c r="K5" s="408"/>
      <c r="L5" s="409">
        <f>SUM(H5)</f>
        <v>935</v>
      </c>
      <c r="M5" s="409">
        <f t="shared" si="0"/>
        <v>935</v>
      </c>
      <c r="N5" s="409">
        <f t="shared" si="0"/>
        <v>0</v>
      </c>
      <c r="O5" s="409">
        <f t="shared" si="0"/>
        <v>0</v>
      </c>
      <c r="P5" s="409">
        <f>SUM(M5,O5)</f>
        <v>935</v>
      </c>
      <c r="Q5" s="409">
        <v>935</v>
      </c>
      <c r="R5" s="409">
        <v>935</v>
      </c>
      <c r="S5" s="398"/>
      <c r="T5" s="398"/>
      <c r="U5" s="398"/>
      <c r="V5" s="398"/>
      <c r="W5" s="398"/>
      <c r="X5" s="398"/>
      <c r="Y5" s="398"/>
    </row>
    <row r="6" spans="1:25" s="399" customFormat="1" ht="30.75" customHeight="1" x14ac:dyDescent="0.2">
      <c r="A6" s="908" t="s">
        <v>401</v>
      </c>
      <c r="B6" s="410" t="s">
        <v>1274</v>
      </c>
      <c r="C6" s="410" t="s">
        <v>1275</v>
      </c>
      <c r="D6" s="405" t="s">
        <v>1276</v>
      </c>
      <c r="E6" s="405"/>
      <c r="F6" s="910" t="s">
        <v>1277</v>
      </c>
      <c r="G6" s="326" t="s">
        <v>464</v>
      </c>
      <c r="H6" s="413"/>
      <c r="I6" s="413"/>
      <c r="J6" s="356">
        <v>2292</v>
      </c>
      <c r="K6" s="356">
        <v>2292</v>
      </c>
      <c r="L6" s="916">
        <f>SUM(H6:H7)</f>
        <v>0</v>
      </c>
      <c r="M6" s="916">
        <f t="shared" ref="M6:O6" si="1">SUM(I6:I7)</f>
        <v>0</v>
      </c>
      <c r="N6" s="916">
        <f t="shared" si="1"/>
        <v>2774</v>
      </c>
      <c r="O6" s="916">
        <f t="shared" si="1"/>
        <v>2774</v>
      </c>
      <c r="P6" s="916">
        <f>SUM(M6,O6)</f>
        <v>2774</v>
      </c>
      <c r="Q6" s="409">
        <v>2292</v>
      </c>
      <c r="R6" s="913">
        <v>2773</v>
      </c>
      <c r="S6" s="398"/>
      <c r="T6" s="398"/>
      <c r="U6" s="398"/>
      <c r="V6" s="398"/>
      <c r="W6" s="398"/>
      <c r="X6" s="398"/>
      <c r="Y6" s="398"/>
    </row>
    <row r="7" spans="1:25" s="399" customFormat="1" ht="42.75" customHeight="1" x14ac:dyDescent="0.2">
      <c r="A7" s="908"/>
      <c r="B7" s="410" t="s">
        <v>1274</v>
      </c>
      <c r="C7" s="410" t="s">
        <v>1275</v>
      </c>
      <c r="D7" s="405" t="s">
        <v>1278</v>
      </c>
      <c r="E7" s="405"/>
      <c r="F7" s="911"/>
      <c r="G7" s="326" t="s">
        <v>465</v>
      </c>
      <c r="H7" s="413"/>
      <c r="I7" s="413"/>
      <c r="J7" s="356">
        <v>482</v>
      </c>
      <c r="K7" s="356">
        <v>482</v>
      </c>
      <c r="L7" s="916"/>
      <c r="M7" s="916"/>
      <c r="N7" s="916"/>
      <c r="O7" s="916"/>
      <c r="P7" s="916"/>
      <c r="Q7" s="409">
        <v>481</v>
      </c>
      <c r="R7" s="917"/>
      <c r="S7" s="398"/>
      <c r="T7" s="398"/>
      <c r="U7" s="398"/>
      <c r="V7" s="398"/>
      <c r="W7" s="398"/>
      <c r="X7" s="398"/>
      <c r="Y7" s="398"/>
    </row>
    <row r="8" spans="1:25" s="399" customFormat="1" ht="36" customHeight="1" x14ac:dyDescent="0.2">
      <c r="A8" s="918" t="s">
        <v>402</v>
      </c>
      <c r="B8" s="410" t="s">
        <v>1271</v>
      </c>
      <c r="C8" s="410" t="s">
        <v>1267</v>
      </c>
      <c r="D8" s="404" t="s">
        <v>1279</v>
      </c>
      <c r="E8" s="405"/>
      <c r="F8" s="411" t="s">
        <v>1280</v>
      </c>
      <c r="G8" s="414" t="s">
        <v>466</v>
      </c>
      <c r="H8" s="415">
        <v>1080</v>
      </c>
      <c r="I8" s="415">
        <v>1080</v>
      </c>
      <c r="J8" s="356"/>
      <c r="K8" s="408"/>
      <c r="L8" s="913">
        <f>SUM(H8:H10)</f>
        <v>11492</v>
      </c>
      <c r="M8" s="913">
        <f t="shared" ref="M8:O8" si="2">SUM(I8:I10)</f>
        <v>11492</v>
      </c>
      <c r="N8" s="913">
        <f t="shared" si="2"/>
        <v>0</v>
      </c>
      <c r="O8" s="913">
        <f t="shared" si="2"/>
        <v>0</v>
      </c>
      <c r="P8" s="913">
        <f>SUM(M8,O8)</f>
        <v>11492</v>
      </c>
      <c r="Q8" s="409">
        <v>0</v>
      </c>
      <c r="R8" s="913">
        <v>9693</v>
      </c>
      <c r="S8" s="398"/>
      <c r="T8" s="398"/>
      <c r="U8" s="398"/>
      <c r="V8" s="398"/>
      <c r="W8" s="398"/>
      <c r="X8" s="398"/>
      <c r="Y8" s="398"/>
    </row>
    <row r="9" spans="1:25" s="399" customFormat="1" ht="17.25" customHeight="1" x14ac:dyDescent="0.2">
      <c r="A9" s="919"/>
      <c r="B9" s="410" t="s">
        <v>1271</v>
      </c>
      <c r="C9" s="410" t="s">
        <v>1267</v>
      </c>
      <c r="D9" s="416" t="s">
        <v>876</v>
      </c>
      <c r="E9" s="405"/>
      <c r="F9" s="910" t="s">
        <v>1281</v>
      </c>
      <c r="G9" s="414" t="s">
        <v>467</v>
      </c>
      <c r="H9" s="415">
        <v>10412</v>
      </c>
      <c r="I9" s="415">
        <v>408</v>
      </c>
      <c r="J9" s="356"/>
      <c r="K9" s="408"/>
      <c r="L9" s="914"/>
      <c r="M9" s="914"/>
      <c r="N9" s="914"/>
      <c r="O9" s="914"/>
      <c r="P9" s="914"/>
      <c r="Q9" s="409">
        <v>0</v>
      </c>
      <c r="R9" s="914"/>
      <c r="S9" s="398"/>
      <c r="T9" s="398"/>
      <c r="U9" s="398"/>
      <c r="V9" s="398"/>
      <c r="W9" s="398"/>
      <c r="X9" s="398"/>
      <c r="Y9" s="398"/>
    </row>
    <row r="10" spans="1:25" s="399" customFormat="1" ht="27" customHeight="1" x14ac:dyDescent="0.2">
      <c r="A10" s="919"/>
      <c r="B10" s="410" t="s">
        <v>1271</v>
      </c>
      <c r="C10" s="410" t="s">
        <v>1282</v>
      </c>
      <c r="D10" s="416" t="s">
        <v>1283</v>
      </c>
      <c r="E10" s="405"/>
      <c r="F10" s="912"/>
      <c r="G10" s="414" t="s">
        <v>1284</v>
      </c>
      <c r="H10" s="415"/>
      <c r="I10" s="412">
        <v>10004</v>
      </c>
      <c r="J10" s="356"/>
      <c r="K10" s="412"/>
      <c r="L10" s="914"/>
      <c r="M10" s="914"/>
      <c r="N10" s="914"/>
      <c r="O10" s="914"/>
      <c r="P10" s="914"/>
      <c r="Q10" s="409">
        <v>9693</v>
      </c>
      <c r="R10" s="914"/>
      <c r="S10" s="398"/>
      <c r="T10" s="398"/>
      <c r="U10" s="398"/>
      <c r="V10" s="398"/>
      <c r="W10" s="398"/>
      <c r="X10" s="398"/>
      <c r="Y10" s="398"/>
    </row>
    <row r="11" spans="1:25" s="399" customFormat="1" ht="84.75" customHeight="1" x14ac:dyDescent="0.2">
      <c r="A11" s="401" t="s">
        <v>404</v>
      </c>
      <c r="B11" s="410" t="s">
        <v>1271</v>
      </c>
      <c r="C11" s="410" t="s">
        <v>1267</v>
      </c>
      <c r="D11" s="417" t="s">
        <v>1285</v>
      </c>
      <c r="E11" s="417"/>
      <c r="F11" s="411" t="s">
        <v>1286</v>
      </c>
      <c r="G11" s="326" t="s">
        <v>468</v>
      </c>
      <c r="H11" s="418"/>
      <c r="I11" s="408"/>
      <c r="J11" s="418">
        <v>1100</v>
      </c>
      <c r="K11" s="418">
        <v>1100</v>
      </c>
      <c r="L11" s="419">
        <f>SUM(H11)</f>
        <v>0</v>
      </c>
      <c r="M11" s="419">
        <f t="shared" ref="M11:O11" si="3">SUM(I11)</f>
        <v>0</v>
      </c>
      <c r="N11" s="419">
        <f t="shared" si="3"/>
        <v>1100</v>
      </c>
      <c r="O11" s="419">
        <f t="shared" si="3"/>
        <v>1100</v>
      </c>
      <c r="P11" s="419">
        <f>SUM(M11,O11)</f>
        <v>1100</v>
      </c>
      <c r="Q11" s="409">
        <v>0</v>
      </c>
      <c r="R11" s="419">
        <v>0</v>
      </c>
      <c r="S11" s="398"/>
      <c r="T11" s="398"/>
      <c r="U11" s="398"/>
      <c r="V11" s="398"/>
      <c r="W11" s="398"/>
      <c r="X11" s="398"/>
      <c r="Y11" s="398"/>
    </row>
    <row r="12" spans="1:25" ht="29.25" customHeight="1" x14ac:dyDescent="0.2">
      <c r="A12" s="918" t="s">
        <v>460</v>
      </c>
      <c r="B12" s="410" t="s">
        <v>1271</v>
      </c>
      <c r="C12" s="410" t="s">
        <v>1267</v>
      </c>
      <c r="D12" s="417" t="s">
        <v>1287</v>
      </c>
      <c r="E12" s="420" t="s">
        <v>1288</v>
      </c>
      <c r="F12" s="910" t="s">
        <v>469</v>
      </c>
      <c r="G12" s="326" t="s">
        <v>470</v>
      </c>
      <c r="H12" s="415">
        <v>755</v>
      </c>
      <c r="I12" s="415">
        <v>755</v>
      </c>
      <c r="J12" s="356"/>
      <c r="K12" s="356"/>
      <c r="L12" s="916">
        <f>SUM(H12:H16)</f>
        <v>15756</v>
      </c>
      <c r="M12" s="916">
        <f t="shared" ref="M12:O12" si="4">SUM(I12:I16)</f>
        <v>20201</v>
      </c>
      <c r="N12" s="916">
        <f t="shared" si="4"/>
        <v>0</v>
      </c>
      <c r="O12" s="916">
        <f t="shared" si="4"/>
        <v>0</v>
      </c>
      <c r="P12" s="916">
        <f>SUM(M12,O12)</f>
        <v>20201</v>
      </c>
      <c r="Q12" s="409">
        <v>0</v>
      </c>
      <c r="R12" s="913">
        <v>0</v>
      </c>
    </row>
    <row r="13" spans="1:25" ht="28.5" customHeight="1" x14ac:dyDescent="0.2">
      <c r="A13" s="919"/>
      <c r="B13" s="410" t="s">
        <v>1271</v>
      </c>
      <c r="C13" s="410" t="s">
        <v>1267</v>
      </c>
      <c r="D13" s="417" t="s">
        <v>1289</v>
      </c>
      <c r="E13" s="420" t="s">
        <v>1288</v>
      </c>
      <c r="F13" s="911"/>
      <c r="G13" s="326" t="s">
        <v>471</v>
      </c>
      <c r="H13" s="415">
        <v>600</v>
      </c>
      <c r="I13" s="415">
        <v>600</v>
      </c>
      <c r="J13" s="356"/>
      <c r="K13" s="356"/>
      <c r="L13" s="916"/>
      <c r="M13" s="916"/>
      <c r="N13" s="916"/>
      <c r="O13" s="916"/>
      <c r="P13" s="916"/>
      <c r="Q13" s="409">
        <v>0</v>
      </c>
      <c r="R13" s="914"/>
    </row>
    <row r="14" spans="1:25" ht="24" customHeight="1" x14ac:dyDescent="0.2">
      <c r="A14" s="919"/>
      <c r="B14" s="410" t="s">
        <v>1271</v>
      </c>
      <c r="C14" s="410" t="s">
        <v>1267</v>
      </c>
      <c r="D14" s="417" t="s">
        <v>1290</v>
      </c>
      <c r="E14" s="420"/>
      <c r="F14" s="911"/>
      <c r="G14" s="326" t="s">
        <v>472</v>
      </c>
      <c r="H14" s="415">
        <v>2044</v>
      </c>
      <c r="I14" s="415">
        <v>2044</v>
      </c>
      <c r="J14" s="356"/>
      <c r="K14" s="356"/>
      <c r="L14" s="916"/>
      <c r="M14" s="916"/>
      <c r="N14" s="916"/>
      <c r="O14" s="916"/>
      <c r="P14" s="916"/>
      <c r="Q14" s="409">
        <v>0</v>
      </c>
      <c r="R14" s="914"/>
    </row>
    <row r="15" spans="1:25" ht="28.5" customHeight="1" x14ac:dyDescent="0.2">
      <c r="A15" s="919"/>
      <c r="B15" s="410" t="s">
        <v>1271</v>
      </c>
      <c r="C15" s="410" t="s">
        <v>1267</v>
      </c>
      <c r="D15" s="417" t="s">
        <v>1291</v>
      </c>
      <c r="E15" s="420"/>
      <c r="F15" s="911"/>
      <c r="G15" s="326" t="s">
        <v>473</v>
      </c>
      <c r="H15" s="415">
        <v>12357</v>
      </c>
      <c r="I15" s="415">
        <v>12357</v>
      </c>
      <c r="J15" s="356"/>
      <c r="K15" s="356"/>
      <c r="L15" s="916"/>
      <c r="M15" s="916"/>
      <c r="N15" s="916"/>
      <c r="O15" s="916"/>
      <c r="P15" s="916"/>
      <c r="Q15" s="409">
        <v>0</v>
      </c>
      <c r="R15" s="914"/>
    </row>
    <row r="16" spans="1:25" ht="27" customHeight="1" x14ac:dyDescent="0.2">
      <c r="A16" s="919"/>
      <c r="B16" s="410" t="s">
        <v>1271</v>
      </c>
      <c r="C16" s="410" t="s">
        <v>1267</v>
      </c>
      <c r="D16" s="416" t="s">
        <v>1292</v>
      </c>
      <c r="E16" s="420"/>
      <c r="F16" s="911"/>
      <c r="G16" s="414" t="s">
        <v>1293</v>
      </c>
      <c r="H16" s="415"/>
      <c r="I16" s="356">
        <v>4445</v>
      </c>
      <c r="J16" s="356"/>
      <c r="K16" s="356"/>
      <c r="L16" s="916"/>
      <c r="M16" s="916"/>
      <c r="N16" s="916"/>
      <c r="O16" s="916"/>
      <c r="P16" s="916"/>
      <c r="Q16" s="409">
        <v>0</v>
      </c>
      <c r="R16" s="914"/>
    </row>
    <row r="17" spans="1:25" ht="81.75" customHeight="1" x14ac:dyDescent="0.2">
      <c r="A17" s="918" t="s">
        <v>403</v>
      </c>
      <c r="B17" s="410" t="s">
        <v>1271</v>
      </c>
      <c r="C17" s="410" t="s">
        <v>1267</v>
      </c>
      <c r="D17" s="416" t="s">
        <v>876</v>
      </c>
      <c r="E17" s="420"/>
      <c r="F17" s="910" t="s">
        <v>628</v>
      </c>
      <c r="G17" s="326" t="s">
        <v>474</v>
      </c>
      <c r="H17" s="356"/>
      <c r="I17" s="356"/>
      <c r="J17" s="356">
        <v>15000</v>
      </c>
      <c r="K17" s="356">
        <v>7394</v>
      </c>
      <c r="L17" s="913">
        <f>SUM(H17:H18)</f>
        <v>0</v>
      </c>
      <c r="M17" s="913">
        <f t="shared" ref="M17:O17" si="5">SUM(I17:I18)</f>
        <v>0</v>
      </c>
      <c r="N17" s="913">
        <f t="shared" si="5"/>
        <v>15000</v>
      </c>
      <c r="O17" s="913">
        <f t="shared" si="5"/>
        <v>15000</v>
      </c>
      <c r="P17" s="921">
        <f>SUM(M17,O17)</f>
        <v>15000</v>
      </c>
      <c r="Q17" s="409">
        <v>0</v>
      </c>
      <c r="R17" s="921">
        <v>0</v>
      </c>
    </row>
    <row r="18" spans="1:25" ht="30.75" customHeight="1" x14ac:dyDescent="0.2">
      <c r="A18" s="919"/>
      <c r="B18" s="410" t="s">
        <v>1271</v>
      </c>
      <c r="C18" s="410" t="s">
        <v>1267</v>
      </c>
      <c r="D18" s="416" t="s">
        <v>1294</v>
      </c>
      <c r="E18" s="420"/>
      <c r="F18" s="911"/>
      <c r="G18" s="326" t="s">
        <v>1295</v>
      </c>
      <c r="H18" s="356"/>
      <c r="I18" s="356"/>
      <c r="J18" s="356"/>
      <c r="K18" s="356">
        <v>7606</v>
      </c>
      <c r="L18" s="914"/>
      <c r="M18" s="914"/>
      <c r="N18" s="914"/>
      <c r="O18" s="914"/>
      <c r="P18" s="922"/>
      <c r="Q18" s="409">
        <v>0</v>
      </c>
      <c r="R18" s="922"/>
    </row>
    <row r="19" spans="1:25" ht="24" x14ac:dyDescent="0.2">
      <c r="A19" s="918" t="s">
        <v>405</v>
      </c>
      <c r="B19" s="410" t="s">
        <v>1271</v>
      </c>
      <c r="C19" s="410" t="s">
        <v>1267</v>
      </c>
      <c r="D19" s="416" t="s">
        <v>876</v>
      </c>
      <c r="E19" s="420"/>
      <c r="F19" s="910" t="s">
        <v>627</v>
      </c>
      <c r="G19" s="326" t="s">
        <v>1296</v>
      </c>
      <c r="H19" s="356"/>
      <c r="I19" s="356"/>
      <c r="J19" s="356">
        <v>119417</v>
      </c>
      <c r="K19" s="356">
        <v>119417</v>
      </c>
      <c r="L19" s="913">
        <f>SUM(H19:H22)</f>
        <v>0</v>
      </c>
      <c r="M19" s="913">
        <f t="shared" ref="M19:O19" si="6">SUM(I19:I22)</f>
        <v>0</v>
      </c>
      <c r="N19" s="913">
        <f t="shared" si="6"/>
        <v>129450</v>
      </c>
      <c r="O19" s="913">
        <f t="shared" si="6"/>
        <v>129450</v>
      </c>
      <c r="P19" s="921">
        <f>SUM(M19,O19)</f>
        <v>129450</v>
      </c>
      <c r="Q19" s="409">
        <v>0</v>
      </c>
      <c r="R19" s="921">
        <v>0</v>
      </c>
    </row>
    <row r="20" spans="1:25" ht="36" x14ac:dyDescent="0.2">
      <c r="A20" s="919"/>
      <c r="B20" s="410" t="s">
        <v>1271</v>
      </c>
      <c r="C20" s="410" t="s">
        <v>1267</v>
      </c>
      <c r="D20" s="416" t="s">
        <v>1297</v>
      </c>
      <c r="E20" s="420" t="s">
        <v>1031</v>
      </c>
      <c r="F20" s="911"/>
      <c r="G20" s="326" t="s">
        <v>1298</v>
      </c>
      <c r="H20" s="356"/>
      <c r="I20" s="356"/>
      <c r="J20" s="356"/>
      <c r="K20" s="356"/>
      <c r="L20" s="914"/>
      <c r="M20" s="914"/>
      <c r="N20" s="914"/>
      <c r="O20" s="914"/>
      <c r="P20" s="922"/>
      <c r="Q20" s="409">
        <v>0</v>
      </c>
      <c r="R20" s="922"/>
    </row>
    <row r="21" spans="1:25" ht="19.5" customHeight="1" x14ac:dyDescent="0.2">
      <c r="A21" s="919"/>
      <c r="B21" s="410" t="s">
        <v>1271</v>
      </c>
      <c r="C21" s="410" t="s">
        <v>1267</v>
      </c>
      <c r="D21" s="416" t="s">
        <v>876</v>
      </c>
      <c r="E21" s="420"/>
      <c r="F21" s="911"/>
      <c r="G21" s="326" t="s">
        <v>475</v>
      </c>
      <c r="H21" s="356"/>
      <c r="I21" s="356"/>
      <c r="J21" s="356">
        <v>10033</v>
      </c>
      <c r="K21" s="356">
        <v>381</v>
      </c>
      <c r="L21" s="914"/>
      <c r="M21" s="914"/>
      <c r="N21" s="914"/>
      <c r="O21" s="914"/>
      <c r="P21" s="922"/>
      <c r="Q21" s="409">
        <v>0</v>
      </c>
      <c r="R21" s="922"/>
    </row>
    <row r="22" spans="1:25" ht="24" x14ac:dyDescent="0.2">
      <c r="A22" s="919"/>
      <c r="B22" s="410" t="s">
        <v>1271</v>
      </c>
      <c r="C22" s="410" t="s">
        <v>1267</v>
      </c>
      <c r="D22" s="416" t="s">
        <v>1299</v>
      </c>
      <c r="E22" s="420"/>
      <c r="F22" s="911"/>
      <c r="G22" s="326" t="s">
        <v>1300</v>
      </c>
      <c r="H22" s="356"/>
      <c r="I22" s="356"/>
      <c r="J22" s="356"/>
      <c r="K22" s="356">
        <v>9652</v>
      </c>
      <c r="L22" s="914"/>
      <c r="M22" s="914"/>
      <c r="N22" s="914"/>
      <c r="O22" s="914"/>
      <c r="P22" s="922"/>
      <c r="Q22" s="409">
        <v>0</v>
      </c>
      <c r="R22" s="922"/>
    </row>
    <row r="23" spans="1:25" s="399" customFormat="1" ht="33.75" customHeight="1" x14ac:dyDescent="0.2">
      <c r="A23" s="920"/>
      <c r="B23" s="920"/>
      <c r="C23" s="920"/>
      <c r="D23" s="920"/>
      <c r="E23" s="920"/>
      <c r="F23" s="421"/>
      <c r="G23" s="422" t="s">
        <v>406</v>
      </c>
      <c r="H23" s="423">
        <f t="shared" ref="H23:O23" si="7">SUM(H4:H22)</f>
        <v>28183</v>
      </c>
      <c r="I23" s="423">
        <f t="shared" si="7"/>
        <v>32628</v>
      </c>
      <c r="J23" s="423">
        <f t="shared" si="7"/>
        <v>148324</v>
      </c>
      <c r="K23" s="423">
        <f t="shared" si="7"/>
        <v>148324</v>
      </c>
      <c r="L23" s="423">
        <f t="shared" si="7"/>
        <v>28183</v>
      </c>
      <c r="M23" s="423">
        <f t="shared" si="7"/>
        <v>32628</v>
      </c>
      <c r="N23" s="423">
        <f t="shared" si="7"/>
        <v>148324</v>
      </c>
      <c r="O23" s="423">
        <f t="shared" si="7"/>
        <v>148324</v>
      </c>
      <c r="P23" s="423">
        <f>SUM(P4:P22)</f>
        <v>180952</v>
      </c>
      <c r="Q23" s="423">
        <v>14379</v>
      </c>
      <c r="R23" s="423">
        <v>14379</v>
      </c>
      <c r="S23" s="398"/>
      <c r="T23" s="398"/>
      <c r="U23" s="398"/>
      <c r="V23" s="398"/>
      <c r="W23" s="398"/>
      <c r="X23" s="398"/>
      <c r="Y23" s="398"/>
    </row>
    <row r="24" spans="1:25" x14ac:dyDescent="0.2">
      <c r="A24" s="424"/>
      <c r="B24" s="425"/>
      <c r="C24" s="425"/>
      <c r="D24" s="426"/>
      <c r="E24" s="425"/>
      <c r="H24" s="425"/>
      <c r="I24" s="425"/>
      <c r="J24" s="425"/>
      <c r="K24" s="425"/>
    </row>
    <row r="25" spans="1:25" x14ac:dyDescent="0.2">
      <c r="B25" s="425"/>
      <c r="C25" s="425"/>
      <c r="D25" s="426"/>
      <c r="E25" s="425"/>
      <c r="H25" s="425"/>
      <c r="I25" s="425"/>
      <c r="J25" s="425"/>
      <c r="K25" s="425"/>
    </row>
    <row r="26" spans="1:25" x14ac:dyDescent="0.2">
      <c r="B26" s="425"/>
      <c r="C26" s="425"/>
      <c r="D26" s="426"/>
      <c r="E26" s="425"/>
      <c r="H26" s="425"/>
      <c r="I26" s="425"/>
      <c r="J26" s="425"/>
      <c r="K26" s="425"/>
    </row>
    <row r="27" spans="1:25" x14ac:dyDescent="0.2">
      <c r="B27" s="425"/>
      <c r="C27" s="425"/>
      <c r="D27" s="426"/>
      <c r="E27" s="425"/>
      <c r="H27" s="425"/>
      <c r="I27" s="425"/>
      <c r="J27" s="425"/>
      <c r="K27" s="425"/>
    </row>
    <row r="28" spans="1:25" x14ac:dyDescent="0.2">
      <c r="A28" s="424"/>
      <c r="B28" s="425"/>
      <c r="C28" s="425"/>
      <c r="D28" s="426"/>
      <c r="E28" s="425"/>
      <c r="H28" s="425"/>
      <c r="I28" s="425"/>
      <c r="J28" s="425"/>
      <c r="K28" s="425"/>
    </row>
    <row r="29" spans="1:25" x14ac:dyDescent="0.2">
      <c r="A29" s="424"/>
      <c r="B29" s="425"/>
      <c r="C29" s="425"/>
      <c r="D29" s="426"/>
      <c r="E29" s="425"/>
      <c r="H29" s="425"/>
      <c r="I29" s="425"/>
      <c r="J29" s="425"/>
      <c r="K29" s="425"/>
    </row>
    <row r="30" spans="1:25" x14ac:dyDescent="0.2">
      <c r="A30" s="424"/>
      <c r="B30" s="425"/>
      <c r="C30" s="425"/>
      <c r="D30" s="426"/>
      <c r="E30" s="425"/>
      <c r="H30" s="425"/>
      <c r="I30" s="425"/>
      <c r="J30" s="425"/>
      <c r="K30" s="425"/>
    </row>
    <row r="31" spans="1:25" x14ac:dyDescent="0.2">
      <c r="A31" s="424"/>
      <c r="B31" s="425"/>
      <c r="C31" s="425"/>
      <c r="D31" s="426"/>
      <c r="E31" s="425"/>
      <c r="H31" s="425"/>
      <c r="I31" s="425"/>
      <c r="J31" s="425"/>
      <c r="K31" s="425"/>
    </row>
    <row r="32" spans="1:25" s="428" customFormat="1" x14ac:dyDescent="0.2">
      <c r="A32" s="424"/>
      <c r="B32" s="425"/>
      <c r="C32" s="425"/>
      <c r="D32" s="426"/>
      <c r="E32" s="425"/>
      <c r="F32" s="427"/>
      <c r="G32" s="399"/>
      <c r="H32" s="425"/>
      <c r="I32" s="425"/>
      <c r="J32" s="425"/>
      <c r="K32" s="425"/>
    </row>
    <row r="33" spans="1:11" s="428" customFormat="1" x14ac:dyDescent="0.2">
      <c r="A33" s="424"/>
      <c r="B33" s="425"/>
      <c r="C33" s="425"/>
      <c r="D33" s="426"/>
      <c r="E33" s="425"/>
      <c r="F33" s="427"/>
      <c r="G33" s="399"/>
      <c r="H33" s="425"/>
      <c r="I33" s="425"/>
      <c r="J33" s="425"/>
      <c r="K33" s="425"/>
    </row>
    <row r="34" spans="1:11" s="428" customFormat="1" x14ac:dyDescent="0.2">
      <c r="A34" s="424"/>
      <c r="B34" s="425"/>
      <c r="C34" s="425"/>
      <c r="D34" s="426"/>
      <c r="E34" s="425"/>
      <c r="F34" s="427"/>
      <c r="G34" s="399"/>
      <c r="H34" s="425"/>
      <c r="I34" s="425"/>
      <c r="J34" s="425"/>
      <c r="K34" s="425"/>
    </row>
    <row r="35" spans="1:11" s="428" customFormat="1" x14ac:dyDescent="0.2">
      <c r="A35" s="424"/>
      <c r="B35" s="425"/>
      <c r="C35" s="425"/>
      <c r="D35" s="426"/>
      <c r="E35" s="425"/>
      <c r="F35" s="427"/>
      <c r="G35" s="399"/>
      <c r="H35" s="425"/>
      <c r="I35" s="425"/>
      <c r="J35" s="425"/>
      <c r="K35" s="425"/>
    </row>
    <row r="36" spans="1:11" s="428" customFormat="1" x14ac:dyDescent="0.2">
      <c r="A36" s="424"/>
      <c r="B36" s="425"/>
      <c r="C36" s="425"/>
      <c r="D36" s="426"/>
      <c r="E36" s="425"/>
      <c r="F36" s="427"/>
      <c r="G36" s="399"/>
      <c r="H36" s="425"/>
      <c r="I36" s="425"/>
      <c r="J36" s="425"/>
      <c r="K36" s="425"/>
    </row>
    <row r="37" spans="1:11" s="428" customFormat="1" x14ac:dyDescent="0.2">
      <c r="A37" s="424"/>
      <c r="B37" s="425"/>
      <c r="C37" s="425"/>
      <c r="D37" s="426"/>
      <c r="E37" s="425"/>
      <c r="F37" s="427"/>
      <c r="G37" s="399"/>
      <c r="H37" s="425"/>
      <c r="I37" s="425"/>
      <c r="J37" s="425"/>
      <c r="K37" s="425"/>
    </row>
    <row r="38" spans="1:11" s="428" customFormat="1" x14ac:dyDescent="0.2">
      <c r="A38" s="424"/>
      <c r="B38" s="425"/>
      <c r="C38" s="425"/>
      <c r="D38" s="426"/>
      <c r="E38" s="425"/>
      <c r="F38" s="427"/>
      <c r="G38" s="399"/>
      <c r="H38" s="425"/>
      <c r="I38" s="425"/>
      <c r="J38" s="425"/>
      <c r="K38" s="425"/>
    </row>
    <row r="39" spans="1:11" s="428" customFormat="1" x14ac:dyDescent="0.2">
      <c r="A39" s="424"/>
      <c r="B39" s="425"/>
      <c r="C39" s="425"/>
      <c r="D39" s="426"/>
      <c r="E39" s="425"/>
      <c r="F39" s="427"/>
      <c r="G39" s="399"/>
      <c r="H39" s="425"/>
      <c r="I39" s="425"/>
      <c r="J39" s="425"/>
      <c r="K39" s="425"/>
    </row>
    <row r="40" spans="1:11" s="428" customFormat="1" x14ac:dyDescent="0.2">
      <c r="A40" s="424"/>
      <c r="B40" s="425"/>
      <c r="C40" s="425"/>
      <c r="D40" s="426"/>
      <c r="E40" s="425"/>
      <c r="F40" s="427"/>
      <c r="G40" s="399"/>
      <c r="H40" s="425"/>
      <c r="I40" s="425"/>
      <c r="J40" s="425"/>
      <c r="K40" s="425"/>
    </row>
    <row r="41" spans="1:11" s="428" customFormat="1" x14ac:dyDescent="0.2">
      <c r="A41" s="424"/>
      <c r="B41" s="425"/>
      <c r="C41" s="425"/>
      <c r="D41" s="426"/>
      <c r="E41" s="425"/>
      <c r="F41" s="427"/>
      <c r="G41" s="399"/>
      <c r="H41" s="425"/>
      <c r="I41" s="425"/>
      <c r="J41" s="425"/>
      <c r="K41" s="425"/>
    </row>
    <row r="42" spans="1:11" s="428" customFormat="1" x14ac:dyDescent="0.2">
      <c r="A42" s="424"/>
      <c r="B42" s="425"/>
      <c r="C42" s="425"/>
      <c r="D42" s="426"/>
      <c r="E42" s="425"/>
      <c r="F42" s="427"/>
      <c r="G42" s="399"/>
      <c r="H42" s="425"/>
      <c r="I42" s="425"/>
      <c r="J42" s="425"/>
      <c r="K42" s="425"/>
    </row>
    <row r="43" spans="1:11" s="428" customFormat="1" x14ac:dyDescent="0.2">
      <c r="A43" s="424"/>
      <c r="B43" s="425"/>
      <c r="C43" s="425"/>
      <c r="D43" s="426"/>
      <c r="E43" s="425"/>
      <c r="F43" s="427"/>
      <c r="G43" s="399"/>
      <c r="H43" s="425"/>
      <c r="I43" s="425"/>
      <c r="J43" s="425"/>
      <c r="K43" s="425"/>
    </row>
    <row r="44" spans="1:11" s="428" customFormat="1" x14ac:dyDescent="0.2">
      <c r="A44" s="424"/>
      <c r="B44" s="425"/>
      <c r="C44" s="425"/>
      <c r="D44" s="426"/>
      <c r="E44" s="425"/>
      <c r="F44" s="427"/>
      <c r="G44" s="399"/>
      <c r="H44" s="425"/>
      <c r="I44" s="425"/>
      <c r="J44" s="425"/>
      <c r="K44" s="425"/>
    </row>
    <row r="45" spans="1:11" s="428" customFormat="1" x14ac:dyDescent="0.2">
      <c r="A45" s="424"/>
      <c r="B45" s="425"/>
      <c r="C45" s="425"/>
      <c r="D45" s="426"/>
      <c r="E45" s="425"/>
      <c r="F45" s="427"/>
      <c r="G45" s="399"/>
      <c r="H45" s="425"/>
      <c r="I45" s="425"/>
      <c r="J45" s="425"/>
      <c r="K45" s="425"/>
    </row>
    <row r="46" spans="1:11" s="428" customFormat="1" x14ac:dyDescent="0.2">
      <c r="A46" s="424"/>
      <c r="B46" s="425"/>
      <c r="C46" s="425"/>
      <c r="D46" s="426"/>
      <c r="E46" s="425"/>
      <c r="F46" s="427"/>
      <c r="G46" s="399"/>
      <c r="H46" s="425"/>
      <c r="I46" s="425"/>
      <c r="J46" s="425"/>
      <c r="K46" s="425"/>
    </row>
    <row r="47" spans="1:11" s="428" customFormat="1" x14ac:dyDescent="0.2">
      <c r="A47" s="424"/>
      <c r="B47" s="425"/>
      <c r="C47" s="425"/>
      <c r="D47" s="426"/>
      <c r="E47" s="425"/>
      <c r="F47" s="427"/>
      <c r="G47" s="399"/>
      <c r="H47" s="425"/>
      <c r="I47" s="425"/>
      <c r="J47" s="425"/>
      <c r="K47" s="425"/>
    </row>
    <row r="48" spans="1:11" s="428" customFormat="1" x14ac:dyDescent="0.2">
      <c r="A48" s="424"/>
      <c r="B48" s="425"/>
      <c r="C48" s="425"/>
      <c r="D48" s="426"/>
      <c r="E48" s="425"/>
      <c r="F48" s="427"/>
      <c r="G48" s="399"/>
      <c r="H48" s="425"/>
      <c r="I48" s="425"/>
      <c r="J48" s="425"/>
      <c r="K48" s="425"/>
    </row>
    <row r="49" spans="1:11" s="428" customFormat="1" x14ac:dyDescent="0.2">
      <c r="A49" s="424"/>
      <c r="B49" s="425"/>
      <c r="C49" s="425"/>
      <c r="D49" s="426"/>
      <c r="E49" s="425"/>
      <c r="F49" s="427"/>
      <c r="G49" s="399"/>
      <c r="H49" s="425"/>
      <c r="I49" s="425"/>
      <c r="J49" s="425"/>
      <c r="K49" s="425"/>
    </row>
    <row r="50" spans="1:11" s="428" customFormat="1" x14ac:dyDescent="0.2">
      <c r="A50" s="424"/>
      <c r="B50" s="425"/>
      <c r="C50" s="425"/>
      <c r="D50" s="426"/>
      <c r="E50" s="425"/>
      <c r="F50" s="427"/>
      <c r="G50" s="399"/>
      <c r="H50" s="425"/>
      <c r="I50" s="425"/>
      <c r="J50" s="425"/>
      <c r="K50" s="425"/>
    </row>
    <row r="51" spans="1:11" s="428" customFormat="1" x14ac:dyDescent="0.2">
      <c r="A51" s="424"/>
      <c r="B51" s="425"/>
      <c r="C51" s="425"/>
      <c r="D51" s="426"/>
      <c r="E51" s="425"/>
      <c r="F51" s="427"/>
      <c r="G51" s="399"/>
      <c r="H51" s="425"/>
      <c r="I51" s="425"/>
      <c r="J51" s="425"/>
      <c r="K51" s="425"/>
    </row>
    <row r="52" spans="1:11" s="428" customFormat="1" x14ac:dyDescent="0.2">
      <c r="A52" s="424"/>
      <c r="B52" s="425"/>
      <c r="C52" s="425"/>
      <c r="D52" s="426"/>
      <c r="E52" s="425"/>
      <c r="F52" s="427"/>
      <c r="G52" s="399"/>
      <c r="H52" s="425"/>
      <c r="I52" s="425"/>
      <c r="J52" s="425"/>
      <c r="K52" s="425"/>
    </row>
    <row r="53" spans="1:11" s="428" customFormat="1" x14ac:dyDescent="0.2">
      <c r="A53" s="424"/>
      <c r="B53" s="425"/>
      <c r="C53" s="425"/>
      <c r="D53" s="426"/>
      <c r="E53" s="425"/>
      <c r="F53" s="427"/>
      <c r="G53" s="399"/>
      <c r="H53" s="425"/>
      <c r="I53" s="425"/>
      <c r="J53" s="425"/>
      <c r="K53" s="425"/>
    </row>
    <row r="54" spans="1:11" s="428" customFormat="1" x14ac:dyDescent="0.2">
      <c r="A54" s="424"/>
      <c r="B54" s="425"/>
      <c r="C54" s="425"/>
      <c r="D54" s="426"/>
      <c r="E54" s="425"/>
      <c r="F54" s="427"/>
      <c r="G54" s="399"/>
      <c r="H54" s="425"/>
      <c r="I54" s="425"/>
      <c r="J54" s="425"/>
      <c r="K54" s="425"/>
    </row>
    <row r="55" spans="1:11" s="428" customFormat="1" x14ac:dyDescent="0.2">
      <c r="A55" s="424"/>
      <c r="B55" s="425"/>
      <c r="C55" s="425"/>
      <c r="D55" s="426"/>
      <c r="E55" s="425"/>
      <c r="F55" s="427"/>
      <c r="G55" s="399"/>
      <c r="H55" s="425"/>
      <c r="I55" s="425"/>
      <c r="J55" s="425"/>
      <c r="K55" s="425"/>
    </row>
    <row r="56" spans="1:11" s="428" customFormat="1" x14ac:dyDescent="0.2">
      <c r="A56" s="424"/>
      <c r="B56" s="425"/>
      <c r="C56" s="425"/>
      <c r="D56" s="426"/>
      <c r="E56" s="425"/>
      <c r="F56" s="427"/>
      <c r="G56" s="399"/>
      <c r="H56" s="425"/>
      <c r="I56" s="425"/>
      <c r="J56" s="425"/>
      <c r="K56" s="425"/>
    </row>
    <row r="57" spans="1:11" s="428" customFormat="1" x14ac:dyDescent="0.2">
      <c r="A57" s="424"/>
      <c r="B57" s="425"/>
      <c r="C57" s="425"/>
      <c r="D57" s="426"/>
      <c r="E57" s="425"/>
      <c r="F57" s="427"/>
      <c r="G57" s="399"/>
      <c r="H57" s="425"/>
      <c r="I57" s="425"/>
      <c r="J57" s="425"/>
      <c r="K57" s="425"/>
    </row>
    <row r="58" spans="1:11" s="428" customFormat="1" x14ac:dyDescent="0.2">
      <c r="A58" s="424"/>
      <c r="B58" s="425"/>
      <c r="C58" s="425"/>
      <c r="D58" s="426"/>
      <c r="E58" s="425"/>
      <c r="F58" s="427"/>
      <c r="G58" s="399"/>
      <c r="H58" s="425"/>
      <c r="I58" s="425"/>
      <c r="J58" s="425"/>
      <c r="K58" s="425"/>
    </row>
    <row r="59" spans="1:11" s="428" customFormat="1" x14ac:dyDescent="0.2">
      <c r="A59" s="424"/>
      <c r="B59" s="425"/>
      <c r="C59" s="425"/>
      <c r="D59" s="426"/>
      <c r="E59" s="425"/>
      <c r="F59" s="427"/>
      <c r="G59" s="399"/>
      <c r="H59" s="425"/>
      <c r="I59" s="425"/>
      <c r="J59" s="425"/>
      <c r="K59" s="425"/>
    </row>
    <row r="60" spans="1:11" s="428" customFormat="1" x14ac:dyDescent="0.2">
      <c r="A60" s="424"/>
      <c r="B60" s="425"/>
      <c r="C60" s="425"/>
      <c r="D60" s="426"/>
      <c r="E60" s="425"/>
      <c r="F60" s="427"/>
      <c r="G60" s="399"/>
      <c r="H60" s="425"/>
      <c r="I60" s="425"/>
      <c r="J60" s="425"/>
      <c r="K60" s="425"/>
    </row>
    <row r="61" spans="1:11" s="428" customFormat="1" x14ac:dyDescent="0.2">
      <c r="A61" s="424"/>
      <c r="B61" s="425"/>
      <c r="C61" s="425"/>
      <c r="D61" s="426"/>
      <c r="E61" s="425"/>
      <c r="F61" s="427"/>
      <c r="G61" s="399"/>
      <c r="H61" s="425"/>
      <c r="I61" s="425"/>
      <c r="J61" s="425"/>
      <c r="K61" s="425"/>
    </row>
    <row r="62" spans="1:11" s="428" customFormat="1" x14ac:dyDescent="0.2">
      <c r="A62" s="424"/>
      <c r="B62" s="425"/>
      <c r="C62" s="425"/>
      <c r="D62" s="426"/>
      <c r="E62" s="425"/>
      <c r="F62" s="427"/>
      <c r="G62" s="399"/>
      <c r="H62" s="425"/>
      <c r="I62" s="425"/>
      <c r="J62" s="425"/>
      <c r="K62" s="425"/>
    </row>
    <row r="63" spans="1:11" s="428" customFormat="1" x14ac:dyDescent="0.2">
      <c r="A63" s="424"/>
      <c r="B63" s="425"/>
      <c r="C63" s="425"/>
      <c r="D63" s="426"/>
      <c r="E63" s="425"/>
      <c r="F63" s="427"/>
      <c r="G63" s="399"/>
      <c r="H63" s="425"/>
      <c r="I63" s="425"/>
      <c r="J63" s="425"/>
      <c r="K63" s="425"/>
    </row>
    <row r="64" spans="1:11" s="428" customFormat="1" x14ac:dyDescent="0.2">
      <c r="A64" s="424"/>
      <c r="B64" s="425"/>
      <c r="C64" s="425"/>
      <c r="D64" s="426"/>
      <c r="E64" s="425"/>
      <c r="F64" s="427"/>
      <c r="G64" s="399"/>
      <c r="H64" s="425"/>
      <c r="I64" s="425"/>
      <c r="J64" s="425"/>
      <c r="K64" s="425"/>
    </row>
    <row r="65" spans="1:11" s="428" customFormat="1" x14ac:dyDescent="0.2">
      <c r="A65" s="424"/>
      <c r="B65" s="425"/>
      <c r="C65" s="425"/>
      <c r="D65" s="426"/>
      <c r="E65" s="425"/>
      <c r="F65" s="427"/>
      <c r="G65" s="399"/>
      <c r="H65" s="425"/>
      <c r="I65" s="425"/>
      <c r="J65" s="425"/>
      <c r="K65" s="425"/>
    </row>
    <row r="66" spans="1:11" s="428" customFormat="1" x14ac:dyDescent="0.2">
      <c r="A66" s="424"/>
      <c r="B66" s="425"/>
      <c r="C66" s="425"/>
      <c r="D66" s="426"/>
      <c r="E66" s="425"/>
      <c r="F66" s="427"/>
      <c r="G66" s="399"/>
      <c r="H66" s="425"/>
      <c r="I66" s="425"/>
      <c r="J66" s="425"/>
      <c r="K66" s="425"/>
    </row>
    <row r="67" spans="1:11" s="428" customFormat="1" x14ac:dyDescent="0.2">
      <c r="A67" s="424"/>
      <c r="B67" s="425"/>
      <c r="C67" s="425"/>
      <c r="D67" s="426"/>
      <c r="E67" s="425"/>
      <c r="F67" s="427"/>
      <c r="G67" s="399"/>
      <c r="H67" s="425"/>
      <c r="I67" s="425"/>
      <c r="J67" s="425"/>
      <c r="K67" s="425"/>
    </row>
    <row r="145" spans="8:18" x14ac:dyDescent="0.2">
      <c r="H145" s="425">
        <v>0</v>
      </c>
      <c r="I145" s="425">
        <v>0</v>
      </c>
      <c r="J145" s="425">
        <v>0</v>
      </c>
      <c r="K145" s="425">
        <v>0</v>
      </c>
      <c r="L145" s="430">
        <f>SUM(L138:L144)</f>
        <v>0</v>
      </c>
      <c r="M145" s="430">
        <f t="shared" ref="M145:P145" si="8">SUM(M138:M144)</f>
        <v>0</v>
      </c>
      <c r="N145" s="430">
        <f t="shared" si="8"/>
        <v>0</v>
      </c>
      <c r="O145" s="430">
        <f t="shared" si="8"/>
        <v>0</v>
      </c>
      <c r="P145" s="430">
        <f t="shared" si="8"/>
        <v>0</v>
      </c>
      <c r="Q145" s="430"/>
      <c r="R145" s="430"/>
    </row>
  </sheetData>
  <mergeCells count="55">
    <mergeCell ref="A23:E23"/>
    <mergeCell ref="P17:P18"/>
    <mergeCell ref="R17:R18"/>
    <mergeCell ref="A19:A22"/>
    <mergeCell ref="F19:F22"/>
    <mergeCell ref="L19:L22"/>
    <mergeCell ref="M19:M22"/>
    <mergeCell ref="N19:N22"/>
    <mergeCell ref="O19:O22"/>
    <mergeCell ref="P19:P22"/>
    <mergeCell ref="R19:R22"/>
    <mergeCell ref="A17:A18"/>
    <mergeCell ref="F17:F18"/>
    <mergeCell ref="L17:L18"/>
    <mergeCell ref="M17:M18"/>
    <mergeCell ref="N17:N18"/>
    <mergeCell ref="O17:O18"/>
    <mergeCell ref="R8:R10"/>
    <mergeCell ref="F9:F10"/>
    <mergeCell ref="A12:A16"/>
    <mergeCell ref="F12:F16"/>
    <mergeCell ref="L12:L16"/>
    <mergeCell ref="M12:M16"/>
    <mergeCell ref="N12:N16"/>
    <mergeCell ref="O12:O16"/>
    <mergeCell ref="P12:P16"/>
    <mergeCell ref="R12:R16"/>
    <mergeCell ref="A8:A10"/>
    <mergeCell ref="L8:L10"/>
    <mergeCell ref="M8:M10"/>
    <mergeCell ref="N8:N10"/>
    <mergeCell ref="O8:O10"/>
    <mergeCell ref="P8:P10"/>
    <mergeCell ref="Q1:Q3"/>
    <mergeCell ref="R1:R3"/>
    <mergeCell ref="A6:A7"/>
    <mergeCell ref="F6:F7"/>
    <mergeCell ref="L6:L7"/>
    <mergeCell ref="M6:M7"/>
    <mergeCell ref="N6:N7"/>
    <mergeCell ref="O6:O7"/>
    <mergeCell ref="P6:P7"/>
    <mergeCell ref="R6:R7"/>
    <mergeCell ref="G1:G3"/>
    <mergeCell ref="L1:L3"/>
    <mergeCell ref="M1:M3"/>
    <mergeCell ref="N1:N3"/>
    <mergeCell ref="O1:O3"/>
    <mergeCell ref="P1:P3"/>
    <mergeCell ref="A1:A3"/>
    <mergeCell ref="B1:B3"/>
    <mergeCell ref="C1:C3"/>
    <mergeCell ref="D1:D3"/>
    <mergeCell ref="E1:E3"/>
    <mergeCell ref="F1:F3"/>
  </mergeCells>
  <printOptions horizontalCentered="1"/>
  <pageMargins left="0" right="0" top="0.59055118110236227" bottom="0.39370078740157483" header="0.23622047244094491" footer="7.874015748031496E-2"/>
  <pageSetup paperSize="9" scale="65" orientation="portrait" r:id="rId1"/>
  <headerFooter>
    <oddHeader>&amp;LVeresegyház Város Önkormányzat&amp;C&amp;"Arial CE,Félkövér"K7 Felújítások&amp;R13.2 mellékletadatok ezer Ft-ban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8</vt:i4>
      </vt:variant>
    </vt:vector>
  </HeadingPairs>
  <TitlesOfParts>
    <vt:vector size="41" baseType="lpstr">
      <vt:lpstr>10.1.-10.5.</vt:lpstr>
      <vt:lpstr>10.6-10.7</vt:lpstr>
      <vt:lpstr>10.8.-10.10. </vt:lpstr>
      <vt:lpstr>11.1.-11.6. </vt:lpstr>
      <vt:lpstr>12.1.-12.9. mell.</vt:lpstr>
      <vt:lpstr>13.1 melléklet ÖNK</vt:lpstr>
      <vt:lpstr>13.2 melléklet Ph</vt:lpstr>
      <vt:lpstr>13.3 mell.</vt:lpstr>
      <vt:lpstr>14.1 melléklet ÖNK</vt:lpstr>
      <vt:lpstr>14.2 mell.</vt:lpstr>
      <vt:lpstr>15. mell.</vt:lpstr>
      <vt:lpstr>16. melléklet</vt:lpstr>
      <vt:lpstr>17-18. mell.</vt:lpstr>
      <vt:lpstr>19. mell. </vt:lpstr>
      <vt:lpstr>20. mell.</vt:lpstr>
      <vt:lpstr>20.1.</vt:lpstr>
      <vt:lpstr>20. 2.</vt:lpstr>
      <vt:lpstr>20. 3</vt:lpstr>
      <vt:lpstr>20. 4.</vt:lpstr>
      <vt:lpstr>20.5.</vt:lpstr>
      <vt:lpstr>20. 6.</vt:lpstr>
      <vt:lpstr>20.7.</vt:lpstr>
      <vt:lpstr>20. 8.</vt:lpstr>
      <vt:lpstr>21. mell.</vt:lpstr>
      <vt:lpstr>22. mell.</vt:lpstr>
      <vt:lpstr>23.-25. mell.</vt:lpstr>
      <vt:lpstr>26. mell.</vt:lpstr>
      <vt:lpstr>27.mell. </vt:lpstr>
      <vt:lpstr>28. mell.</vt:lpstr>
      <vt:lpstr>29. mell.</vt:lpstr>
      <vt:lpstr>30.mell</vt:lpstr>
      <vt:lpstr>31.mell</vt:lpstr>
      <vt:lpstr>Munka1</vt:lpstr>
      <vt:lpstr>'13.1 melléklet ÖNK'!Nyomtatási_cím</vt:lpstr>
      <vt:lpstr>'13.3 mell.'!Nyomtatási_cím</vt:lpstr>
      <vt:lpstr>'14.1 melléklet ÖNK'!Nyomtatási_cím</vt:lpstr>
      <vt:lpstr>'13.1 melléklet ÖNK'!Nyomtatási_terület</vt:lpstr>
      <vt:lpstr>'13.2 melléklet Ph'!Nyomtatási_terület</vt:lpstr>
      <vt:lpstr>'13.3 mell.'!Nyomtatási_terület</vt:lpstr>
      <vt:lpstr>'14.1 melléklet ÖNK'!Nyomtatási_terület</vt:lpstr>
      <vt:lpstr>'20. 8.'!Nyomtatási_terület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Jakab Ádám</cp:lastModifiedBy>
  <cp:lastPrinted>2015-09-09T14:10:11Z</cp:lastPrinted>
  <dcterms:created xsi:type="dcterms:W3CDTF">2001-01-11T08:42:07Z</dcterms:created>
  <dcterms:modified xsi:type="dcterms:W3CDTF">2015-09-10T07:22:05Z</dcterms:modified>
</cp:coreProperties>
</file>