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8. SZ MELLÉKLET" sheetId="2" r:id="rId1"/>
  </sheets>
  <calcPr calcId="145621"/>
</workbook>
</file>

<file path=xl/calcChain.xml><?xml version="1.0" encoding="utf-8"?>
<calcChain xmlns="http://schemas.openxmlformats.org/spreadsheetml/2006/main">
  <c r="F54" i="2" l="1"/>
  <c r="F125" i="2"/>
  <c r="F112" i="2"/>
  <c r="F111" i="2"/>
  <c r="F42" i="2"/>
  <c r="F80" i="2"/>
  <c r="F71" i="2"/>
  <c r="F70" i="2"/>
  <c r="F303" i="2"/>
  <c r="F297" i="2"/>
  <c r="F129" i="2"/>
  <c r="F124" i="2"/>
  <c r="F108" i="2"/>
  <c r="F166" i="2"/>
  <c r="F107" i="2"/>
  <c r="F109" i="2"/>
  <c r="F102" i="2"/>
  <c r="F101" i="2"/>
  <c r="F281" i="2" l="1"/>
  <c r="F277" i="2"/>
  <c r="F267" i="2"/>
  <c r="F259" i="2"/>
  <c r="F272" i="2"/>
  <c r="F264" i="2"/>
  <c r="F312" i="2"/>
  <c r="F307" i="2"/>
  <c r="F302" i="2"/>
  <c r="F296" i="2"/>
  <c r="F276" i="2"/>
  <c r="F291" i="2"/>
  <c r="F286" i="2"/>
  <c r="F236" i="2"/>
  <c r="F228" i="2"/>
  <c r="F89" i="2"/>
  <c r="F31" i="2"/>
  <c r="F23" i="2"/>
  <c r="F24" i="2"/>
  <c r="F41" i="2"/>
  <c r="F13" i="2"/>
  <c r="F136" i="2"/>
  <c r="F64" i="2"/>
  <c r="F132" i="2"/>
  <c r="F257" i="2" l="1"/>
  <c r="F252" i="2"/>
  <c r="F248" i="2"/>
  <c r="F249" i="2"/>
  <c r="F221" i="2"/>
  <c r="F215" i="2"/>
  <c r="F214" i="2"/>
  <c r="F198" i="2"/>
  <c r="F184" i="2"/>
  <c r="F167" i="2"/>
  <c r="F153" i="2"/>
  <c r="F19" i="2"/>
  <c r="F100" i="2"/>
  <c r="F99" i="2"/>
  <c r="F12" i="2"/>
  <c r="F154" i="2"/>
  <c r="F20" i="2"/>
  <c r="F36" i="2"/>
  <c r="F131" i="2"/>
  <c r="F103" i="2"/>
  <c r="F130" i="2"/>
  <c r="F91" i="2" l="1"/>
  <c r="F45" i="2" l="1"/>
  <c r="F74" i="2" l="1"/>
  <c r="F94" i="2"/>
  <c r="F50" i="2"/>
  <c r="F92" i="2"/>
  <c r="F37" i="2"/>
  <c r="F46" i="2"/>
  <c r="F39" i="2" l="1"/>
  <c r="F134" i="2" l="1"/>
  <c r="F127" i="2"/>
  <c r="F133" i="2"/>
  <c r="F139" i="2"/>
  <c r="F135" i="2"/>
  <c r="F128" i="2"/>
  <c r="F149" i="2" l="1"/>
  <c r="F14" i="2"/>
  <c r="F313" i="2"/>
  <c r="F309" i="2"/>
  <c r="F298" i="2"/>
  <c r="F292" i="2"/>
  <c r="F288" i="2"/>
  <c r="F282" i="2"/>
  <c r="F278" i="2"/>
  <c r="F271" i="2"/>
  <c r="F263" i="2"/>
  <c r="F253" i="2"/>
  <c r="F237" i="2"/>
  <c r="F230" i="2"/>
  <c r="F220" i="2"/>
  <c r="F219" i="2"/>
  <c r="F201" i="2"/>
  <c r="F200" i="2"/>
  <c r="F199" i="2"/>
  <c r="F186" i="2"/>
  <c r="F185" i="2"/>
  <c r="F137" i="2"/>
  <c r="F126" i="2"/>
  <c r="F110" i="2"/>
  <c r="F97" i="2"/>
  <c r="F51" i="2"/>
  <c r="F32" i="2"/>
  <c r="F141" i="2" l="1"/>
  <c r="F322" i="2"/>
  <c r="F175" i="2"/>
  <c r="F171" i="2"/>
  <c r="F122" i="2"/>
  <c r="F105" i="2"/>
  <c r="F207" i="2"/>
  <c r="F206" i="2"/>
  <c r="F205" i="2"/>
  <c r="F203" i="2"/>
  <c r="F202" i="2"/>
  <c r="F273" i="2" l="1"/>
  <c r="F254" i="2"/>
  <c r="F310" i="2"/>
  <c r="F304" i="2"/>
  <c r="F299" i="2"/>
  <c r="F289" i="2"/>
  <c r="F283" i="2"/>
  <c r="F279" i="2"/>
  <c r="F265" i="2"/>
  <c r="F250" i="2"/>
  <c r="F210" i="2"/>
  <c r="F316" i="2" l="1"/>
  <c r="F192" i="2"/>
  <c r="F190" i="2"/>
  <c r="F187" i="2"/>
  <c r="F195" i="2" l="1"/>
  <c r="F314" i="2"/>
  <c r="F293" i="2"/>
  <c r="F317" i="2" l="1"/>
  <c r="F222" i="2"/>
  <c r="F216" i="2"/>
  <c r="F240" i="2" l="1"/>
  <c r="F243" i="2" s="1"/>
  <c r="F232" i="2"/>
  <c r="F242" i="2" s="1"/>
  <c r="F29" i="2"/>
  <c r="F30" i="2"/>
  <c r="F155" i="2" l="1"/>
  <c r="F157" i="2"/>
  <c r="F158" i="2"/>
  <c r="F28" i="2"/>
  <c r="F27" i="2"/>
  <c r="F18" i="2"/>
  <c r="F17" i="2"/>
  <c r="F16" i="2"/>
  <c r="F15" i="2"/>
  <c r="F11" i="2"/>
  <c r="F10" i="2"/>
  <c r="F9" i="2"/>
  <c r="F8" i="2"/>
  <c r="F7" i="2"/>
  <c r="F164" i="2" l="1"/>
  <c r="F56" i="2" l="1"/>
  <c r="F177" i="2"/>
  <c r="F118" i="2"/>
  <c r="F143" i="2" l="1"/>
  <c r="F320" i="2"/>
  <c r="F329" i="2" l="1"/>
  <c r="F319" i="2"/>
  <c r="F328" i="2" l="1"/>
</calcChain>
</file>

<file path=xl/sharedStrings.xml><?xml version="1.0" encoding="utf-8"?>
<sst xmlns="http://schemas.openxmlformats.org/spreadsheetml/2006/main" count="674" uniqueCount="193">
  <si>
    <t>011130</t>
  </si>
  <si>
    <t>Önkorm és önkorm hivatalok jogalkotó ás ált ig tev</t>
  </si>
  <si>
    <t>011140</t>
  </si>
  <si>
    <t>011220</t>
  </si>
  <si>
    <t>Adó, vám és jövedék igazolás</t>
  </si>
  <si>
    <t>013350</t>
  </si>
  <si>
    <t>016080</t>
  </si>
  <si>
    <t>Kiemelt állami és önkorm rendezvények</t>
  </si>
  <si>
    <t>018010</t>
  </si>
  <si>
    <t>018030</t>
  </si>
  <si>
    <t>Támogatási célú finanszírozási műveletek</t>
  </si>
  <si>
    <t>045120</t>
  </si>
  <si>
    <t>Út, autgópálya építés</t>
  </si>
  <si>
    <t>045160</t>
  </si>
  <si>
    <t>Közutak, hidak, alagutak üzemeltetése, fenntartása</t>
  </si>
  <si>
    <t>045170</t>
  </si>
  <si>
    <t>Parkoló, garázs üzemeltetése, fenntartása</t>
  </si>
  <si>
    <t>046020</t>
  </si>
  <si>
    <t>Vezetékes műsorelosztás, városi és kábeltévés rend</t>
  </si>
  <si>
    <t>047120</t>
  </si>
  <si>
    <t>Piac üzemeltetése</t>
  </si>
  <si>
    <t>047320</t>
  </si>
  <si>
    <t>Turizmusfejlesztési támogatások és tevékenységek</t>
  </si>
  <si>
    <t>061020</t>
  </si>
  <si>
    <t>Lakóépület építése</t>
  </si>
  <si>
    <t>061030</t>
  </si>
  <si>
    <t>Lakáshoz jutást segítő támogatások</t>
  </si>
  <si>
    <t>062020</t>
  </si>
  <si>
    <t>Településfejlesztési projektek és támogatásuk</t>
  </si>
  <si>
    <t>066010</t>
  </si>
  <si>
    <t>Zölterület- kezelés</t>
  </si>
  <si>
    <t>082092</t>
  </si>
  <si>
    <t>Közművelődés- hagyomáyod köz kult ért gond</t>
  </si>
  <si>
    <t>084031</t>
  </si>
  <si>
    <t>Civil szervezetek működési támogatása</t>
  </si>
  <si>
    <t>086010</t>
  </si>
  <si>
    <t>Határon túli magyarok egyéb támogatása</t>
  </si>
  <si>
    <t>091240</t>
  </si>
  <si>
    <t>092111</t>
  </si>
  <si>
    <t>094260</t>
  </si>
  <si>
    <t>Hallgatói és oktatói ösztöndíj, egyéb juttatások</t>
  </si>
  <si>
    <t>Iskolai intézményi étkeztetés</t>
  </si>
  <si>
    <t>101150</t>
  </si>
  <si>
    <t>Betegséggel kapcs pénzbeli ellátások, támogatások</t>
  </si>
  <si>
    <t>103010</t>
  </si>
  <si>
    <t>Elhunyt személyek hátramaradottainak pénzbeli ell</t>
  </si>
  <si>
    <t>104012</t>
  </si>
  <si>
    <t>Gyermekek átmeneti ellátása</t>
  </si>
  <si>
    <t>104030</t>
  </si>
  <si>
    <t>Gyermekek napközbeni ellátása</t>
  </si>
  <si>
    <t>104051</t>
  </si>
  <si>
    <t>Gyermekvédelmi pénzbeli és természetbeni ell</t>
  </si>
  <si>
    <t>104052</t>
  </si>
  <si>
    <t>104060</t>
  </si>
  <si>
    <t>A gyermekek, fiatalok és családok életmin jav pr</t>
  </si>
  <si>
    <t>105010</t>
  </si>
  <si>
    <t>106020</t>
  </si>
  <si>
    <t>Lakásfenntartással, lakhatással összefüggő ellátás</t>
  </si>
  <si>
    <t>107015</t>
  </si>
  <si>
    <t>Hajléktalanok nappali ellátása</t>
  </si>
  <si>
    <t>107016</t>
  </si>
  <si>
    <t>Utcai szociális munka</t>
  </si>
  <si>
    <t>107054</t>
  </si>
  <si>
    <t>Családsegítés</t>
  </si>
  <si>
    <t>107060</t>
  </si>
  <si>
    <t>Egyéb szociális pénzbeli és természetbeni ell tám</t>
  </si>
  <si>
    <t>900070</t>
  </si>
  <si>
    <t>Önkorm vagyonnal való gazd kapcs felad</t>
  </si>
  <si>
    <t>Országos és helyi nemzetiségi önk ig tev</t>
  </si>
  <si>
    <t>Önkorm elszámolása központi ktgvetéssel</t>
  </si>
  <si>
    <t>Munkanélküli aktív korúak ellátásai</t>
  </si>
  <si>
    <t>Fejezeti és általános tartalékok elszámolása</t>
  </si>
  <si>
    <t>szakfeladat</t>
  </si>
  <si>
    <t>korm funk</t>
  </si>
  <si>
    <t>Építményüzemeltetés</t>
  </si>
  <si>
    <t>091250</t>
  </si>
  <si>
    <t>092120</t>
  </si>
  <si>
    <t>098022</t>
  </si>
  <si>
    <t>Szakfeladatra el nem számolt tételek</t>
  </si>
  <si>
    <t>BEVÉTEL</t>
  </si>
  <si>
    <t>KIADÁS</t>
  </si>
  <si>
    <t>Szakfeladatok el nem számolt tételek</t>
  </si>
  <si>
    <t>Kulturális musorok, rendezvények, kiáll.</t>
  </si>
  <si>
    <t>Alapfokú muvészatoktatás</t>
  </si>
  <si>
    <t>Alapfokú muvészetokt. összefüggo muk. Feladatok</t>
  </si>
  <si>
    <t>Köznev.int. tan.nap.rendsz.nev.okt. sz.f. 5-8 évf.</t>
  </si>
  <si>
    <t>Köznev.int. 5-8.évf. tan.nev.okt. összef. muk.fel.</t>
  </si>
  <si>
    <t>Pedagógiai szakszolg. tev. muködtetési feladatai</t>
  </si>
  <si>
    <t>címszám</t>
  </si>
  <si>
    <t>Gyermekek átmeneti otthonában elh.ellát.</t>
  </si>
  <si>
    <t>Családok átmeneti otthonában elhely.ell.</t>
  </si>
  <si>
    <t>Nappali melegedo</t>
  </si>
  <si>
    <t>Zöldterület-kezelés</t>
  </si>
  <si>
    <t>Nem lakóingatlan bérbeadása, üzemeltetés</t>
  </si>
  <si>
    <t>Lakóingatlan bérbeadása, üzemeltetése</t>
  </si>
  <si>
    <t>Parkoló, garázs üzemeltetése, fenntartás</t>
  </si>
  <si>
    <t>Üdüloi szálláshely-szolgáltatás</t>
  </si>
  <si>
    <t>Vezetékes musorelo. városi és kábelt.ren</t>
  </si>
  <si>
    <t>Közmuvelodési intézm.közösségi szint.muk</t>
  </si>
  <si>
    <t>Idosek nappali ellátása</t>
  </si>
  <si>
    <t>Bölcsodei ellátás</t>
  </si>
  <si>
    <t>Gyermekjóléti szolgáltatás</t>
  </si>
  <si>
    <t>Szociális étkeztetés</t>
  </si>
  <si>
    <t>Házi segítségnyújtás</t>
  </si>
  <si>
    <t>Gyermekétkeztetés köznevelési intézményben</t>
  </si>
  <si>
    <t>096015</t>
  </si>
  <si>
    <t>(e Ft- ban)</t>
  </si>
  <si>
    <t>ÖNKORMÁNYZAT</t>
  </si>
  <si>
    <t>szakfeladat megnevezése</t>
  </si>
  <si>
    <t>kormányzati funkció megnevezpése</t>
  </si>
  <si>
    <t>8. sz melléklet</t>
  </si>
  <si>
    <t>POLGÁRMESTERI HIVATAL</t>
  </si>
  <si>
    <t>BL KÖZTERÜLET- FELÜGYELET</t>
  </si>
  <si>
    <t>BLESZ</t>
  </si>
  <si>
    <t>031030</t>
  </si>
  <si>
    <t>GAZDASÁGI SZERVEZETTEL RENDELKEZŐ KÖLTSÉGVETÉSI SZERVEK</t>
  </si>
  <si>
    <t>GAZDASÁGI SZERVEZETTEL NEM RENDELKEZŐ KÖLTSÉGVETÉSI SZERVEK</t>
  </si>
  <si>
    <t>Bölcsödei ellátás</t>
  </si>
  <si>
    <t>104035</t>
  </si>
  <si>
    <t>091110</t>
  </si>
  <si>
    <t>Óvodai nevelés, ellátás szakmai feladatai</t>
  </si>
  <si>
    <t>091140</t>
  </si>
  <si>
    <t>Óvodai nevelés, ellátás működési feladatai</t>
  </si>
  <si>
    <t>Óvodai intézményi étkeztetés</t>
  </si>
  <si>
    <t>Idősek nappali ellátás</t>
  </si>
  <si>
    <t>102030</t>
  </si>
  <si>
    <t>Idősek, demens betegek nappali ellátása</t>
  </si>
  <si>
    <t>107052</t>
  </si>
  <si>
    <t>Időskorúak átmeneti ellátása</t>
  </si>
  <si>
    <t>102022</t>
  </si>
  <si>
    <t>Időskorúak ,demens betegek átmeneti ellátása</t>
  </si>
  <si>
    <t>Közösségi szolgáltatások</t>
  </si>
  <si>
    <t>101143</t>
  </si>
  <si>
    <t>Pszichiátriai betegek közösségi alapellátása</t>
  </si>
  <si>
    <t>Jelzőrendszeres házi segítségnyújtás</t>
  </si>
  <si>
    <t>107053</t>
  </si>
  <si>
    <t>107051</t>
  </si>
  <si>
    <t>041233</t>
  </si>
  <si>
    <t>Hosszabb időtartamú közfoglalkoztatás</t>
  </si>
  <si>
    <t>Gyermekétkeztetés bölcsődében, fogy. napp. int.</t>
  </si>
  <si>
    <t>Gyermekétkeztetés bölcsődében, fogy.napp</t>
  </si>
  <si>
    <t>Közterület rendjének fenntartása</t>
  </si>
  <si>
    <t>072111</t>
  </si>
  <si>
    <t>Háziorvosi alapellátás</t>
  </si>
  <si>
    <t>072112</t>
  </si>
  <si>
    <t>Háziorvosi ügyeleti ellátás</t>
  </si>
  <si>
    <t>072210</t>
  </si>
  <si>
    <t>Járóbetegek gyógyító szakellátása</t>
  </si>
  <si>
    <t>072230</t>
  </si>
  <si>
    <t>Járóbetegek gyógyító gondozása</t>
  </si>
  <si>
    <t>073160</t>
  </si>
  <si>
    <t>Egynapos sebészeti ellátás</t>
  </si>
  <si>
    <t>074011</t>
  </si>
  <si>
    <t>Foglalkozás-egészségügyi ellátás</t>
  </si>
  <si>
    <t>072313</t>
  </si>
  <si>
    <t>Fogorvosi szakellátás</t>
  </si>
  <si>
    <t>072420</t>
  </si>
  <si>
    <t>Egészségügyi laboratóriumi szolgáltatások</t>
  </si>
  <si>
    <t>072430</t>
  </si>
  <si>
    <t>Képalkotó diagnosztikai szolgáltatások</t>
  </si>
  <si>
    <t>074031</t>
  </si>
  <si>
    <t>Család-és nővédelmi egészségügyi gondozás</t>
  </si>
  <si>
    <t>074032</t>
  </si>
  <si>
    <t>Ifjúság-egészségügyi gondozás</t>
  </si>
  <si>
    <t>MŰKÖDÉSI CÉLÚ PÉNZESZKÖZÁTADÁSOK ÖSSZESEN:</t>
  </si>
  <si>
    <t>KÖLTSÉGVETÉSI SZERVEK ÉS NEMZETISÉGI ÖNKORM. TÁMOGATÁS ÖSSZESEN:</t>
  </si>
  <si>
    <t>ÖNKORMÁNYZATI MŰKÖDÉSI KIADÁSOK ÖSSZESEN:</t>
  </si>
  <si>
    <t>ÖNKORMÁNYZAT FELHALMOZÁSI KIADÁSAI ÖSSZESEN:</t>
  </si>
  <si>
    <t>FELHALMOZÁSI CÉLÚ KÖLCSÖNÖK ÖSSZESEN:</t>
  </si>
  <si>
    <t>TARTALÉKOK ÖSSZESEN:</t>
  </si>
  <si>
    <t>ÖNKORMÁNYZAT MŰKÖDÉSI BEVÉTELEI ÖSSZESEN:</t>
  </si>
  <si>
    <t>ÖNKORMÁNYZAT KIADÁSAI ÖSSZESEN:</t>
  </si>
  <si>
    <t>ÖNKORMÁNYZAT FELHALMOZÁSI BEVÉTELEI ÖSSZESEN:</t>
  </si>
  <si>
    <t>KÖLCSÖNÖK BEVÉTELE ÖSSZESEN:</t>
  </si>
  <si>
    <t>ÖNKORMÁNYZAT BEVÉTELEI ÖSSZESEN:</t>
  </si>
  <si>
    <t>GAZDASÁGI SZERVEZETTEL RENDELKEZŐ KÖLTSÉGVETÉSI SZERVEK KIADÁSAI ÖSSZESEN:</t>
  </si>
  <si>
    <t>GAZDASÁGI SZERVEZETTEL RENDELKEZŐ KÖLTSÉGVETÉSI SZERVEK BEVÉTELEI ÖSSZESEN:</t>
  </si>
  <si>
    <t>GAZDASÁGI SZERVEZETTEL NEM RENDELKEZŐ KÖLTSÉGVETÉSI SZERVEK KIADÁSAI ÖSSZESEN:</t>
  </si>
  <si>
    <t>GAZDASÁGI SZERVEZETTEL NEM RENDELKEZŐ KÖLTSÉGVETÉSI SZERVEK BEVÉTELEI ÖSSZESEN:</t>
  </si>
  <si>
    <t>ÖNKORMÁNYZATI KIADÁS MINDÖSSZESEN:</t>
  </si>
  <si>
    <t>ÖNKORMÁNYZATI BEVÉTELEK MINDÖSSZESEN:</t>
  </si>
  <si>
    <t>KÖLTSÉGVETÉSI SZERVEKNEK NYÚJTOTT TÁMOGATÁS MIATTI KIADÁS KORREKCIÓ</t>
  </si>
  <si>
    <t>KÖLTSÉGVETÉSI SZERVEKNEK NYÚJTOTT TÁMOGATÁS MIATTI BEVÉTEL KORREKCIÓ</t>
  </si>
  <si>
    <t>PARKOLÁSI TEVÉKENYSÉG TOVÁBBSZÁMLÁZOTT KIADÁSAI MIATTI KORREKCIÓ</t>
  </si>
  <si>
    <t>PARKOLÁSI TEVÉKENYSÉG TOVÁBBSZÁMLÁZOTT BEVÉTELEI MIATTI KORREKCIÓ</t>
  </si>
  <si>
    <t>ÖNKORMÁNYZAT KIADÁSAI MINDÖSSZESEN:</t>
  </si>
  <si>
    <t>ÖNKORMÁNYZAT BEVÉTELEI MINDÖSSZESEN:</t>
  </si>
  <si>
    <t>Bűnmegelőzés</t>
  </si>
  <si>
    <t>031060</t>
  </si>
  <si>
    <t>084040</t>
  </si>
  <si>
    <t>086090</t>
  </si>
  <si>
    <t>Családtámogatások</t>
  </si>
  <si>
    <t>084060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</si>
</sst>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3" fontId="1" fillId="0" borderId="0" xfId="0" applyNumberFormat="1" applyFont="1" applyFill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49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/>
    <xf numFmtId="3" fontId="1" fillId="0" borderId="2" xfId="0" applyNumberFormat="1" applyFont="1" applyFill="1" applyBorder="1"/>
    <xf numFmtId="3" fontId="2" fillId="0" borderId="0" xfId="0" applyNumberFormat="1" applyFont="1" applyFill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49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1" fillId="0" borderId="3" xfId="0" applyNumberFormat="1" applyFont="1" applyFill="1" applyBorder="1"/>
    <xf numFmtId="0" fontId="1" fillId="0" borderId="2" xfId="0" applyFont="1" applyFill="1" applyBorder="1" applyAlignment="1">
      <alignment horizontal="center"/>
    </xf>
    <xf numFmtId="3" fontId="2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3" fontId="2" fillId="0" borderId="0" xfId="0" applyNumberFormat="1" applyFont="1" applyFill="1"/>
    <xf numFmtId="0" fontId="2" fillId="0" borderId="0" xfId="0" applyFont="1" applyFill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/>
    <xf numFmtId="49" fontId="1" fillId="2" borderId="0" xfId="0" applyNumberFormat="1" applyFont="1" applyFill="1" applyBorder="1" applyAlignment="1">
      <alignment horizontal="center"/>
    </xf>
    <xf numFmtId="3" fontId="2" fillId="0" borderId="0" xfId="0" applyNumberFormat="1" applyFont="1" applyBorder="1"/>
    <xf numFmtId="3" fontId="1" fillId="2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2" fillId="0" borderId="0" xfId="0" applyNumberFormat="1" applyFont="1"/>
    <xf numFmtId="0" fontId="3" fillId="0" borderId="0" xfId="0" applyFont="1" applyFill="1" applyBorder="1" applyAlignment="1">
      <alignment horizontal="center"/>
    </xf>
    <xf numFmtId="3" fontId="2" fillId="0" borderId="2" xfId="0" applyNumberFormat="1" applyFont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1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Fill="1" applyBorder="1"/>
    <xf numFmtId="3" fontId="2" fillId="0" borderId="6" xfId="0" applyNumberFormat="1" applyFont="1" applyFill="1" applyBorder="1"/>
    <xf numFmtId="0" fontId="2" fillId="0" borderId="0" xfId="0" applyFont="1" applyFill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4" xfId="0" applyFont="1" applyFill="1" applyBorder="1" applyAlignment="1"/>
    <xf numFmtId="0" fontId="2" fillId="0" borderId="5" xfId="0" applyFont="1" applyFill="1" applyBorder="1" applyAlignment="1"/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9"/>
  <sheetViews>
    <sheetView tabSelected="1" topLeftCell="A304" zoomScale="80" zoomScaleNormal="80" workbookViewId="0">
      <selection activeCell="K334" sqref="K334"/>
    </sheetView>
  </sheetViews>
  <sheetFormatPr defaultRowHeight="15.75" x14ac:dyDescent="0.25"/>
  <cols>
    <col min="1" max="1" width="11.28515625" style="1" bestFit="1" customWidth="1"/>
    <col min="2" max="2" width="11.85546875" style="1" bestFit="1" customWidth="1"/>
    <col min="3" max="3" width="40.28515625" style="2" bestFit="1" customWidth="1"/>
    <col min="4" max="4" width="10.85546875" style="3" bestFit="1" customWidth="1"/>
    <col min="5" max="5" width="46.7109375" style="2" bestFit="1" customWidth="1"/>
    <col min="6" max="6" width="12.28515625" style="5" bestFit="1" customWidth="1"/>
    <col min="7" max="16384" width="9.140625" style="2"/>
  </cols>
  <sheetData>
    <row r="1" spans="1:6" x14ac:dyDescent="0.25">
      <c r="E1" s="4" t="s">
        <v>110</v>
      </c>
    </row>
    <row r="2" spans="1:6" x14ac:dyDescent="0.25">
      <c r="D2" s="1"/>
    </row>
    <row r="3" spans="1:6" x14ac:dyDescent="0.25">
      <c r="A3" s="61" t="s">
        <v>107</v>
      </c>
      <c r="B3" s="61"/>
      <c r="C3" s="61"/>
      <c r="D3" s="61"/>
      <c r="E3" s="61"/>
      <c r="F3" s="61"/>
    </row>
    <row r="4" spans="1:6" ht="14.25" customHeight="1" x14ac:dyDescent="0.25">
      <c r="A4" s="6"/>
      <c r="B4" s="6"/>
      <c r="C4" s="6"/>
      <c r="D4" s="6"/>
      <c r="E4" s="6"/>
      <c r="F4" s="5" t="s">
        <v>106</v>
      </c>
    </row>
    <row r="5" spans="1:6" x14ac:dyDescent="0.25">
      <c r="A5" s="7" t="s">
        <v>88</v>
      </c>
      <c r="B5" s="7" t="s">
        <v>72</v>
      </c>
      <c r="C5" s="7" t="s">
        <v>108</v>
      </c>
      <c r="D5" s="8" t="s">
        <v>73</v>
      </c>
      <c r="E5" s="7" t="s">
        <v>109</v>
      </c>
      <c r="F5" s="9"/>
    </row>
    <row r="6" spans="1:6" x14ac:dyDescent="0.25">
      <c r="A6" s="7" t="s">
        <v>80</v>
      </c>
    </row>
    <row r="7" spans="1:6" s="14" customFormat="1" x14ac:dyDescent="0.25">
      <c r="A7" s="10">
        <v>1003</v>
      </c>
      <c r="B7" s="10">
        <v>9990001</v>
      </c>
      <c r="C7" s="11" t="s">
        <v>81</v>
      </c>
      <c r="D7" s="12" t="s">
        <v>39</v>
      </c>
      <c r="E7" s="11" t="s">
        <v>40</v>
      </c>
      <c r="F7" s="13">
        <f>5856+171</f>
        <v>6027</v>
      </c>
    </row>
    <row r="8" spans="1:6" s="14" customFormat="1" x14ac:dyDescent="0.25">
      <c r="A8" s="10"/>
      <c r="B8" s="10">
        <v>9990001</v>
      </c>
      <c r="C8" s="11" t="s">
        <v>81</v>
      </c>
      <c r="D8" s="12" t="s">
        <v>42</v>
      </c>
      <c r="E8" s="11" t="s">
        <v>43</v>
      </c>
      <c r="F8" s="13">
        <f>27780+12312+1169</f>
        <v>41261</v>
      </c>
    </row>
    <row r="9" spans="1:6" s="14" customFormat="1" x14ac:dyDescent="0.25">
      <c r="A9" s="10"/>
      <c r="B9" s="10">
        <v>9990001</v>
      </c>
      <c r="C9" s="11" t="s">
        <v>81</v>
      </c>
      <c r="D9" s="12" t="s">
        <v>44</v>
      </c>
      <c r="E9" s="11" t="s">
        <v>45</v>
      </c>
      <c r="F9" s="13">
        <f>1710+3000+137</f>
        <v>4847</v>
      </c>
    </row>
    <row r="10" spans="1:6" s="14" customFormat="1" x14ac:dyDescent="0.25">
      <c r="A10" s="10"/>
      <c r="B10" s="10">
        <v>8790181</v>
      </c>
      <c r="C10" s="11" t="s">
        <v>89</v>
      </c>
      <c r="D10" s="12" t="s">
        <v>46</v>
      </c>
      <c r="E10" s="11" t="s">
        <v>47</v>
      </c>
      <c r="F10" s="13">
        <f>1100+91+35</f>
        <v>1226</v>
      </c>
    </row>
    <row r="11" spans="1:6" s="14" customFormat="1" x14ac:dyDescent="0.25">
      <c r="A11" s="10"/>
      <c r="B11" s="10">
        <v>8790191</v>
      </c>
      <c r="C11" s="11" t="s">
        <v>90</v>
      </c>
      <c r="D11" s="12" t="s">
        <v>46</v>
      </c>
      <c r="E11" s="11" t="s">
        <v>47</v>
      </c>
      <c r="F11" s="13">
        <f>500+15</f>
        <v>515</v>
      </c>
    </row>
    <row r="12" spans="1:6" s="14" customFormat="1" x14ac:dyDescent="0.25">
      <c r="A12" s="10"/>
      <c r="B12" s="10">
        <v>9990001</v>
      </c>
      <c r="C12" s="11" t="s">
        <v>81</v>
      </c>
      <c r="D12" s="12" t="s">
        <v>50</v>
      </c>
      <c r="E12" s="11" t="s">
        <v>51</v>
      </c>
      <c r="F12" s="13">
        <f>6000+12000+525+239</f>
        <v>18764</v>
      </c>
    </row>
    <row r="13" spans="1:6" s="14" customFormat="1" x14ac:dyDescent="0.25">
      <c r="A13" s="10"/>
      <c r="B13" s="10">
        <v>9990001</v>
      </c>
      <c r="C13" s="11" t="s">
        <v>81</v>
      </c>
      <c r="D13" s="12" t="s">
        <v>52</v>
      </c>
      <c r="E13" s="11" t="s">
        <v>191</v>
      </c>
      <c r="F13" s="13">
        <f>22100+644+20</f>
        <v>22764</v>
      </c>
    </row>
    <row r="14" spans="1:6" s="14" customFormat="1" x14ac:dyDescent="0.25">
      <c r="A14" s="10"/>
      <c r="B14" s="10">
        <v>9990001</v>
      </c>
      <c r="C14" s="11" t="s">
        <v>81</v>
      </c>
      <c r="D14" s="12" t="s">
        <v>53</v>
      </c>
      <c r="E14" s="11" t="s">
        <v>54</v>
      </c>
      <c r="F14" s="13">
        <f>1600+37950+1153+10690</f>
        <v>51393</v>
      </c>
    </row>
    <row r="15" spans="1:6" s="14" customFormat="1" x14ac:dyDescent="0.25">
      <c r="A15" s="10"/>
      <c r="B15" s="10">
        <v>9990001</v>
      </c>
      <c r="C15" s="11" t="s">
        <v>81</v>
      </c>
      <c r="D15" s="12" t="s">
        <v>55</v>
      </c>
      <c r="E15" s="11" t="s">
        <v>70</v>
      </c>
      <c r="F15" s="13">
        <f>22*28+18</f>
        <v>634</v>
      </c>
    </row>
    <row r="16" spans="1:6" s="14" customFormat="1" x14ac:dyDescent="0.25">
      <c r="A16" s="10"/>
      <c r="B16" s="10">
        <v>9990001</v>
      </c>
      <c r="C16" s="11" t="s">
        <v>81</v>
      </c>
      <c r="D16" s="12" t="s">
        <v>56</v>
      </c>
      <c r="E16" s="11" t="s">
        <v>57</v>
      </c>
      <c r="F16" s="13">
        <f>4925+147+11700+167+5664+545+675</f>
        <v>23823</v>
      </c>
    </row>
    <row r="17" spans="1:6" s="14" customFormat="1" x14ac:dyDescent="0.25">
      <c r="A17" s="10"/>
      <c r="B17" s="10">
        <v>8899131</v>
      </c>
      <c r="C17" s="11" t="s">
        <v>91</v>
      </c>
      <c r="D17" s="12" t="s">
        <v>58</v>
      </c>
      <c r="E17" s="11" t="s">
        <v>59</v>
      </c>
      <c r="F17" s="13">
        <f>5000+146</f>
        <v>5146</v>
      </c>
    </row>
    <row r="18" spans="1:6" s="14" customFormat="1" x14ac:dyDescent="0.25">
      <c r="A18" s="10"/>
      <c r="B18" s="10">
        <v>8899291</v>
      </c>
      <c r="C18" s="11" t="s">
        <v>61</v>
      </c>
      <c r="D18" s="12" t="s">
        <v>60</v>
      </c>
      <c r="E18" s="11" t="s">
        <v>61</v>
      </c>
      <c r="F18" s="13">
        <f>5000+146</f>
        <v>5146</v>
      </c>
    </row>
    <row r="19" spans="1:6" s="14" customFormat="1" x14ac:dyDescent="0.25">
      <c r="A19" s="10"/>
      <c r="B19" s="10">
        <v>8899241</v>
      </c>
      <c r="C19" s="11" t="s">
        <v>63</v>
      </c>
      <c r="D19" s="12" t="s">
        <v>62</v>
      </c>
      <c r="E19" s="11" t="s">
        <v>63</v>
      </c>
      <c r="F19" s="13">
        <f>570+1140+50+886</f>
        <v>2646</v>
      </c>
    </row>
    <row r="20" spans="1:6" s="14" customFormat="1" x14ac:dyDescent="0.25">
      <c r="A20" s="10"/>
      <c r="B20" s="10">
        <v>9990001</v>
      </c>
      <c r="C20" s="11" t="s">
        <v>81</v>
      </c>
      <c r="D20" s="12" t="s">
        <v>64</v>
      </c>
      <c r="E20" s="11" t="s">
        <v>65</v>
      </c>
      <c r="F20" s="13">
        <f>474408-22100+66180+15117+10000-1+12145+851+211+2411</f>
        <v>559222</v>
      </c>
    </row>
    <row r="21" spans="1:6" s="14" customFormat="1" x14ac:dyDescent="0.25">
      <c r="A21" s="10">
        <v>1004</v>
      </c>
      <c r="B21" s="10">
        <v>9990001</v>
      </c>
      <c r="C21" s="11" t="s">
        <v>81</v>
      </c>
      <c r="D21" s="12" t="s">
        <v>50</v>
      </c>
      <c r="E21" s="11" t="s">
        <v>51</v>
      </c>
      <c r="F21" s="13">
        <v>15000</v>
      </c>
    </row>
    <row r="22" spans="1:6" s="14" customFormat="1" x14ac:dyDescent="0.25">
      <c r="A22" s="10">
        <v>1005</v>
      </c>
      <c r="B22" s="10">
        <v>8130001</v>
      </c>
      <c r="C22" s="11" t="s">
        <v>92</v>
      </c>
      <c r="D22" s="12" t="s">
        <v>29</v>
      </c>
      <c r="E22" s="11" t="s">
        <v>30</v>
      </c>
      <c r="F22" s="13">
        <v>148703</v>
      </c>
    </row>
    <row r="23" spans="1:6" s="14" customFormat="1" x14ac:dyDescent="0.25">
      <c r="A23" s="10">
        <v>1006</v>
      </c>
      <c r="B23" s="10">
        <v>9990001</v>
      </c>
      <c r="C23" s="11" t="s">
        <v>81</v>
      </c>
      <c r="D23" s="12" t="s">
        <v>13</v>
      </c>
      <c r="E23" s="11" t="s">
        <v>14</v>
      </c>
      <c r="F23" s="13">
        <f>794165-635000+164397+8258</f>
        <v>331820</v>
      </c>
    </row>
    <row r="24" spans="1:6" s="18" customFormat="1" x14ac:dyDescent="0.25">
      <c r="A24" s="16"/>
      <c r="B24" s="16">
        <v>6800021</v>
      </c>
      <c r="C24" s="17" t="s">
        <v>93</v>
      </c>
      <c r="D24" s="12" t="s">
        <v>5</v>
      </c>
      <c r="E24" s="11" t="s">
        <v>67</v>
      </c>
      <c r="F24" s="13">
        <f>500000*1.27</f>
        <v>635000</v>
      </c>
    </row>
    <row r="25" spans="1:6" s="14" customFormat="1" x14ac:dyDescent="0.25">
      <c r="A25" s="10">
        <v>1007</v>
      </c>
      <c r="B25" s="10">
        <v>9990001</v>
      </c>
      <c r="C25" s="11" t="s">
        <v>81</v>
      </c>
      <c r="D25" s="12" t="s">
        <v>48</v>
      </c>
      <c r="E25" s="11" t="s">
        <v>49</v>
      </c>
      <c r="F25" s="13">
        <v>29610</v>
      </c>
    </row>
    <row r="26" spans="1:6" s="14" customFormat="1" x14ac:dyDescent="0.25">
      <c r="A26" s="10"/>
      <c r="B26" s="10">
        <v>9990001</v>
      </c>
      <c r="C26" s="11" t="s">
        <v>81</v>
      </c>
      <c r="D26" s="12" t="s">
        <v>13</v>
      </c>
      <c r="E26" s="11" t="s">
        <v>14</v>
      </c>
      <c r="F26" s="13">
        <v>284044</v>
      </c>
    </row>
    <row r="27" spans="1:6" s="18" customFormat="1" x14ac:dyDescent="0.25">
      <c r="A27" s="16"/>
      <c r="B27" s="16">
        <v>5520011</v>
      </c>
      <c r="C27" s="17" t="s">
        <v>96</v>
      </c>
      <c r="D27" s="12" t="s">
        <v>5</v>
      </c>
      <c r="E27" s="11" t="s">
        <v>67</v>
      </c>
      <c r="F27" s="13">
        <f>30131</f>
        <v>30131</v>
      </c>
    </row>
    <row r="28" spans="1:6" s="18" customFormat="1" x14ac:dyDescent="0.25">
      <c r="A28" s="16"/>
      <c r="B28" s="16">
        <v>8110001</v>
      </c>
      <c r="C28" s="11" t="s">
        <v>74</v>
      </c>
      <c r="D28" s="12" t="s">
        <v>5</v>
      </c>
      <c r="E28" s="11" t="s">
        <v>67</v>
      </c>
      <c r="F28" s="13">
        <f>52330+12878+23317+6126+11125-53442</f>
        <v>52334</v>
      </c>
    </row>
    <row r="29" spans="1:6" s="14" customFormat="1" x14ac:dyDescent="0.25">
      <c r="A29" s="10">
        <v>1009</v>
      </c>
      <c r="B29" s="10">
        <v>6800011</v>
      </c>
      <c r="C29" s="11" t="s">
        <v>94</v>
      </c>
      <c r="D29" s="12" t="s">
        <v>5</v>
      </c>
      <c r="E29" s="11" t="s">
        <v>67</v>
      </c>
      <c r="F29" s="13">
        <f>8452+66859+1078+285000</f>
        <v>361389</v>
      </c>
    </row>
    <row r="30" spans="1:6" s="14" customFormat="1" x14ac:dyDescent="0.25">
      <c r="A30" s="10"/>
      <c r="B30" s="10">
        <v>6800021</v>
      </c>
      <c r="C30" s="17" t="s">
        <v>93</v>
      </c>
      <c r="D30" s="12" t="s">
        <v>5</v>
      </c>
      <c r="E30" s="11" t="s">
        <v>67</v>
      </c>
      <c r="F30" s="13">
        <f>7742+129829+35933+400000</f>
        <v>573504</v>
      </c>
    </row>
    <row r="31" spans="1:6" s="14" customFormat="1" x14ac:dyDescent="0.25">
      <c r="A31" s="10"/>
      <c r="B31" s="10">
        <v>8110001</v>
      </c>
      <c r="C31" s="11" t="s">
        <v>74</v>
      </c>
      <c r="D31" s="12" t="s">
        <v>5</v>
      </c>
      <c r="E31" s="11" t="s">
        <v>67</v>
      </c>
      <c r="F31" s="13">
        <f>457200+791954+137452</f>
        <v>1386606</v>
      </c>
    </row>
    <row r="32" spans="1:6" s="14" customFormat="1" x14ac:dyDescent="0.25">
      <c r="A32" s="10"/>
      <c r="B32" s="10">
        <v>9990001</v>
      </c>
      <c r="C32" s="11" t="s">
        <v>81</v>
      </c>
      <c r="D32" s="12" t="s">
        <v>5</v>
      </c>
      <c r="E32" s="11" t="s">
        <v>67</v>
      </c>
      <c r="F32" s="13">
        <f>405473+68834+49786+3000+14000+13176+10506+250000-998+66686</f>
        <v>880463</v>
      </c>
    </row>
    <row r="33" spans="1:6" s="14" customFormat="1" x14ac:dyDescent="0.25">
      <c r="A33" s="10"/>
      <c r="B33" s="10">
        <v>9990001</v>
      </c>
      <c r="C33" s="11" t="s">
        <v>81</v>
      </c>
      <c r="D33" s="12" t="s">
        <v>0</v>
      </c>
      <c r="E33" s="11" t="s">
        <v>1</v>
      </c>
      <c r="F33" s="13">
        <v>99218</v>
      </c>
    </row>
    <row r="34" spans="1:6" s="14" customFormat="1" x14ac:dyDescent="0.25">
      <c r="A34" s="10"/>
      <c r="B34" s="10">
        <v>9990001</v>
      </c>
      <c r="C34" s="11" t="s">
        <v>81</v>
      </c>
      <c r="D34" s="12" t="s">
        <v>2</v>
      </c>
      <c r="E34" s="11" t="s">
        <v>68</v>
      </c>
      <c r="F34" s="13">
        <v>6126</v>
      </c>
    </row>
    <row r="35" spans="1:6" s="14" customFormat="1" x14ac:dyDescent="0.25">
      <c r="A35" s="10"/>
      <c r="B35" s="10">
        <v>8110001</v>
      </c>
      <c r="C35" s="11" t="s">
        <v>74</v>
      </c>
      <c r="D35" s="12" t="s">
        <v>19</v>
      </c>
      <c r="E35" s="11" t="s">
        <v>20</v>
      </c>
      <c r="F35" s="13">
        <v>6095</v>
      </c>
    </row>
    <row r="36" spans="1:6" s="14" customFormat="1" x14ac:dyDescent="0.25">
      <c r="A36" s="10">
        <v>1010</v>
      </c>
      <c r="B36" s="10">
        <v>9990001</v>
      </c>
      <c r="C36" s="11" t="s">
        <v>81</v>
      </c>
      <c r="D36" s="12" t="s">
        <v>188</v>
      </c>
      <c r="E36" s="11" t="s">
        <v>187</v>
      </c>
      <c r="F36" s="13">
        <f>200+4000+2400+21520</f>
        <v>28120</v>
      </c>
    </row>
    <row r="37" spans="1:6" s="14" customFormat="1" x14ac:dyDescent="0.25">
      <c r="A37" s="10">
        <v>1014</v>
      </c>
      <c r="B37" s="10">
        <v>9990001</v>
      </c>
      <c r="C37" s="11" t="s">
        <v>81</v>
      </c>
      <c r="D37" s="12" t="s">
        <v>0</v>
      </c>
      <c r="E37" s="11" t="s">
        <v>1</v>
      </c>
      <c r="F37" s="13">
        <f>667+2200</f>
        <v>2867</v>
      </c>
    </row>
    <row r="38" spans="1:6" s="14" customFormat="1" x14ac:dyDescent="0.25">
      <c r="A38" s="10"/>
      <c r="B38" s="10">
        <v>9990001</v>
      </c>
      <c r="C38" s="11" t="s">
        <v>81</v>
      </c>
      <c r="D38" s="12" t="s">
        <v>190</v>
      </c>
      <c r="E38" s="11"/>
      <c r="F38" s="13">
        <v>33</v>
      </c>
    </row>
    <row r="39" spans="1:6" s="14" customFormat="1" x14ac:dyDescent="0.25">
      <c r="A39" s="10">
        <v>1016</v>
      </c>
      <c r="B39" s="10">
        <v>9004001</v>
      </c>
      <c r="C39" s="11" t="s">
        <v>82</v>
      </c>
      <c r="D39" s="12" t="s">
        <v>0</v>
      </c>
      <c r="E39" s="11" t="s">
        <v>1</v>
      </c>
      <c r="F39" s="13">
        <f>2704+90</f>
        <v>2794</v>
      </c>
    </row>
    <row r="40" spans="1:6" s="14" customFormat="1" x14ac:dyDescent="0.25">
      <c r="A40" s="10">
        <v>1017</v>
      </c>
      <c r="B40" s="10">
        <v>9004001</v>
      </c>
      <c r="C40" s="11" t="s">
        <v>82</v>
      </c>
      <c r="D40" s="12" t="s">
        <v>6</v>
      </c>
      <c r="E40" s="11" t="s">
        <v>7</v>
      </c>
      <c r="F40" s="13">
        <v>1000</v>
      </c>
    </row>
    <row r="41" spans="1:6" s="14" customFormat="1" x14ac:dyDescent="0.25">
      <c r="A41" s="10"/>
      <c r="B41" s="10">
        <v>9990001</v>
      </c>
      <c r="C41" s="11" t="s">
        <v>81</v>
      </c>
      <c r="D41" s="12" t="s">
        <v>0</v>
      </c>
      <c r="E41" s="11" t="s">
        <v>1</v>
      </c>
      <c r="F41" s="13">
        <f>234319-1000+11253+20+21321+20924+9992+12638</f>
        <v>309467</v>
      </c>
    </row>
    <row r="42" spans="1:6" s="14" customFormat="1" x14ac:dyDescent="0.25">
      <c r="A42" s="10"/>
      <c r="B42" s="10">
        <v>9990001</v>
      </c>
      <c r="C42" s="11" t="s">
        <v>81</v>
      </c>
      <c r="D42" s="12" t="s">
        <v>190</v>
      </c>
      <c r="E42" s="11"/>
      <c r="F42" s="13">
        <f>51+189+51+1</f>
        <v>292</v>
      </c>
    </row>
    <row r="43" spans="1:6" s="14" customFormat="1" x14ac:dyDescent="0.25">
      <c r="A43" s="10">
        <v>1018</v>
      </c>
      <c r="B43" s="10">
        <v>9990001</v>
      </c>
      <c r="C43" s="11" t="s">
        <v>81</v>
      </c>
      <c r="D43" s="12" t="s">
        <v>37</v>
      </c>
      <c r="E43" s="11" t="s">
        <v>83</v>
      </c>
      <c r="F43" s="13">
        <v>3000</v>
      </c>
    </row>
    <row r="44" spans="1:6" s="14" customFormat="1" x14ac:dyDescent="0.25">
      <c r="A44" s="10"/>
      <c r="B44" s="10">
        <v>9990001</v>
      </c>
      <c r="C44" s="11" t="s">
        <v>81</v>
      </c>
      <c r="D44" s="12" t="s">
        <v>75</v>
      </c>
      <c r="E44" s="11" t="s">
        <v>84</v>
      </c>
      <c r="F44" s="13">
        <v>38000</v>
      </c>
    </row>
    <row r="45" spans="1:6" s="14" customFormat="1" x14ac:dyDescent="0.25">
      <c r="A45" s="10"/>
      <c r="B45" s="10">
        <v>9990001</v>
      </c>
      <c r="C45" s="11" t="s">
        <v>81</v>
      </c>
      <c r="D45" s="12" t="s">
        <v>38</v>
      </c>
      <c r="E45" s="11" t="s">
        <v>85</v>
      </c>
      <c r="F45" s="13">
        <f>250000-1916+1016+3824+100+100</f>
        <v>253124</v>
      </c>
    </row>
    <row r="46" spans="1:6" s="14" customFormat="1" x14ac:dyDescent="0.25">
      <c r="A46" s="10"/>
      <c r="B46" s="10">
        <v>9990001</v>
      </c>
      <c r="C46" s="11" t="s">
        <v>81</v>
      </c>
      <c r="D46" s="12" t="s">
        <v>76</v>
      </c>
      <c r="E46" s="17" t="s">
        <v>86</v>
      </c>
      <c r="F46" s="13">
        <f>1000+304</f>
        <v>1304</v>
      </c>
    </row>
    <row r="47" spans="1:6" s="14" customFormat="1" x14ac:dyDescent="0.25">
      <c r="A47" s="10"/>
      <c r="B47" s="10">
        <v>9990001</v>
      </c>
      <c r="C47" s="11" t="s">
        <v>81</v>
      </c>
      <c r="D47" s="12" t="s">
        <v>77</v>
      </c>
      <c r="E47" s="17" t="s">
        <v>87</v>
      </c>
      <c r="F47" s="13">
        <v>30000</v>
      </c>
    </row>
    <row r="48" spans="1:6" s="14" customFormat="1" x14ac:dyDescent="0.25">
      <c r="A48" s="10"/>
      <c r="B48" s="10">
        <v>5629131</v>
      </c>
      <c r="C48" s="11" t="s">
        <v>41</v>
      </c>
      <c r="D48" s="12" t="s">
        <v>105</v>
      </c>
      <c r="E48" s="17" t="s">
        <v>104</v>
      </c>
      <c r="F48" s="13">
        <v>127000</v>
      </c>
    </row>
    <row r="49" spans="1:6" s="14" customFormat="1" x14ac:dyDescent="0.25">
      <c r="A49" s="10">
        <v>1020</v>
      </c>
      <c r="B49" s="10">
        <v>5220031</v>
      </c>
      <c r="C49" s="11" t="s">
        <v>95</v>
      </c>
      <c r="D49" s="12" t="s">
        <v>15</v>
      </c>
      <c r="E49" s="17" t="s">
        <v>16</v>
      </c>
      <c r="F49" s="13">
        <v>1094963</v>
      </c>
    </row>
    <row r="50" spans="1:6" s="14" customFormat="1" x14ac:dyDescent="0.25">
      <c r="A50" s="10">
        <v>1021</v>
      </c>
      <c r="B50" s="10">
        <v>9990001</v>
      </c>
      <c r="C50" s="11" t="s">
        <v>81</v>
      </c>
      <c r="D50" s="12" t="s">
        <v>0</v>
      </c>
      <c r="E50" s="11" t="s">
        <v>1</v>
      </c>
      <c r="F50" s="13">
        <f>750+203+8</f>
        <v>961</v>
      </c>
    </row>
    <row r="51" spans="1:6" s="14" customFormat="1" x14ac:dyDescent="0.25">
      <c r="A51" s="10"/>
      <c r="B51" s="10">
        <v>9004001</v>
      </c>
      <c r="C51" s="11" t="s">
        <v>82</v>
      </c>
      <c r="D51" s="12" t="s">
        <v>0</v>
      </c>
      <c r="E51" s="11" t="s">
        <v>1</v>
      </c>
      <c r="F51" s="13">
        <f>2350-953</f>
        <v>1397</v>
      </c>
    </row>
    <row r="52" spans="1:6" s="14" customFormat="1" x14ac:dyDescent="0.25">
      <c r="A52" s="10">
        <v>1022</v>
      </c>
      <c r="B52" s="10">
        <v>9004001</v>
      </c>
      <c r="C52" s="11" t="s">
        <v>82</v>
      </c>
      <c r="D52" s="12" t="s">
        <v>0</v>
      </c>
      <c r="E52" s="11" t="s">
        <v>1</v>
      </c>
      <c r="F52" s="13">
        <v>1588</v>
      </c>
    </row>
    <row r="53" spans="1:6" s="14" customFormat="1" x14ac:dyDescent="0.25">
      <c r="A53" s="10"/>
      <c r="B53" s="10">
        <v>9990001</v>
      </c>
      <c r="C53" s="11" t="s">
        <v>81</v>
      </c>
      <c r="D53" s="12" t="s">
        <v>0</v>
      </c>
      <c r="E53" s="11"/>
      <c r="F53" s="13">
        <v>300</v>
      </c>
    </row>
    <row r="54" spans="1:6" s="14" customFormat="1" x14ac:dyDescent="0.25">
      <c r="A54" s="10"/>
      <c r="B54" s="10">
        <v>9990001</v>
      </c>
      <c r="C54" s="11" t="s">
        <v>81</v>
      </c>
      <c r="D54" s="12" t="s">
        <v>33</v>
      </c>
      <c r="E54" s="11"/>
      <c r="F54" s="13">
        <f>5129+1</f>
        <v>5130</v>
      </c>
    </row>
    <row r="55" spans="1:6" s="14" customFormat="1" ht="6" customHeight="1" thickBot="1" x14ac:dyDescent="0.3">
      <c r="A55" s="32"/>
      <c r="B55" s="32"/>
      <c r="D55" s="33"/>
      <c r="E55" s="18"/>
      <c r="F55" s="34"/>
    </row>
    <row r="56" spans="1:6" s="14" customFormat="1" ht="16.5" thickBot="1" x14ac:dyDescent="0.3">
      <c r="A56" s="58" t="s">
        <v>166</v>
      </c>
      <c r="B56" s="59"/>
      <c r="C56" s="59"/>
      <c r="D56" s="59"/>
      <c r="E56" s="53"/>
      <c r="F56" s="54">
        <f>SUM(F7:F55)</f>
        <v>7484797</v>
      </c>
    </row>
    <row r="57" spans="1:6" s="14" customFormat="1" ht="8.25" customHeight="1" x14ac:dyDescent="0.25">
      <c r="A57" s="25"/>
      <c r="B57" s="25"/>
      <c r="C57" s="26"/>
      <c r="D57" s="27"/>
      <c r="E57" s="28"/>
      <c r="F57" s="29"/>
    </row>
    <row r="58" spans="1:6" s="14" customFormat="1" x14ac:dyDescent="0.25">
      <c r="A58" s="10">
        <v>1051</v>
      </c>
      <c r="B58" s="10">
        <v>6100011</v>
      </c>
      <c r="C58" s="11" t="s">
        <v>97</v>
      </c>
      <c r="D58" s="12" t="s">
        <v>17</v>
      </c>
      <c r="E58" s="17" t="s">
        <v>18</v>
      </c>
      <c r="F58" s="13">
        <v>82113</v>
      </c>
    </row>
    <row r="59" spans="1:6" s="14" customFormat="1" x14ac:dyDescent="0.25">
      <c r="A59" s="10">
        <v>1052</v>
      </c>
      <c r="B59" s="10">
        <v>9105021</v>
      </c>
      <c r="C59" s="11" t="s">
        <v>98</v>
      </c>
      <c r="D59" s="12" t="s">
        <v>31</v>
      </c>
      <c r="E59" s="17" t="s">
        <v>32</v>
      </c>
      <c r="F59" s="13">
        <v>265000</v>
      </c>
    </row>
    <row r="60" spans="1:6" s="14" customFormat="1" x14ac:dyDescent="0.25">
      <c r="A60" s="10">
        <v>1053</v>
      </c>
      <c r="B60" s="10">
        <v>5220031</v>
      </c>
      <c r="C60" s="11" t="s">
        <v>95</v>
      </c>
      <c r="D60" s="12" t="s">
        <v>15</v>
      </c>
      <c r="E60" s="17" t="s">
        <v>16</v>
      </c>
      <c r="F60" s="13">
        <v>17973</v>
      </c>
    </row>
    <row r="61" spans="1:6" s="14" customFormat="1" x14ac:dyDescent="0.25">
      <c r="A61" s="10">
        <v>1055</v>
      </c>
      <c r="B61" s="10">
        <v>9990001</v>
      </c>
      <c r="C61" s="11" t="s">
        <v>81</v>
      </c>
      <c r="D61" s="12" t="s">
        <v>33</v>
      </c>
      <c r="E61" s="17" t="s">
        <v>34</v>
      </c>
      <c r="F61" s="13">
        <v>3400</v>
      </c>
    </row>
    <row r="62" spans="1:6" s="14" customFormat="1" x14ac:dyDescent="0.25">
      <c r="A62" s="10">
        <v>1057</v>
      </c>
      <c r="B62" s="10">
        <v>9990001</v>
      </c>
      <c r="C62" s="11" t="s">
        <v>81</v>
      </c>
      <c r="D62" s="12" t="s">
        <v>188</v>
      </c>
      <c r="E62" s="11" t="s">
        <v>187</v>
      </c>
      <c r="F62" s="13">
        <v>111900</v>
      </c>
    </row>
    <row r="63" spans="1:6" s="14" customFormat="1" x14ac:dyDescent="0.25">
      <c r="A63" s="10">
        <v>1058</v>
      </c>
      <c r="B63" s="10">
        <v>6100011</v>
      </c>
      <c r="C63" s="11" t="s">
        <v>97</v>
      </c>
      <c r="D63" s="12" t="s">
        <v>31</v>
      </c>
      <c r="E63" s="17" t="s">
        <v>32</v>
      </c>
      <c r="F63" s="13">
        <v>26420</v>
      </c>
    </row>
    <row r="64" spans="1:6" s="14" customFormat="1" x14ac:dyDescent="0.25">
      <c r="A64" s="10">
        <v>1059</v>
      </c>
      <c r="B64" s="10">
        <v>9990001</v>
      </c>
      <c r="C64" s="11" t="s">
        <v>81</v>
      </c>
      <c r="D64" s="12" t="s">
        <v>33</v>
      </c>
      <c r="E64" s="17"/>
      <c r="F64" s="13">
        <f>43275+100+100</f>
        <v>43475</v>
      </c>
    </row>
    <row r="65" spans="1:6" s="14" customFormat="1" x14ac:dyDescent="0.25">
      <c r="A65" s="10"/>
      <c r="B65" s="10">
        <v>9990001</v>
      </c>
      <c r="C65" s="11" t="s">
        <v>81</v>
      </c>
      <c r="D65" s="12" t="s">
        <v>189</v>
      </c>
      <c r="E65" s="17"/>
      <c r="F65" s="13">
        <v>1525</v>
      </c>
    </row>
    <row r="66" spans="1:6" s="14" customFormat="1" x14ac:dyDescent="0.25">
      <c r="A66" s="10"/>
      <c r="B66" s="10">
        <v>9990001</v>
      </c>
      <c r="C66" s="11" t="s">
        <v>81</v>
      </c>
      <c r="D66" s="12" t="s">
        <v>192</v>
      </c>
      <c r="E66" s="17"/>
      <c r="F66" s="13">
        <v>100</v>
      </c>
    </row>
    <row r="67" spans="1:6" s="14" customFormat="1" x14ac:dyDescent="0.25">
      <c r="A67" s="10">
        <v>1060</v>
      </c>
      <c r="B67" s="10">
        <v>9990001</v>
      </c>
      <c r="C67" s="11" t="s">
        <v>81</v>
      </c>
      <c r="D67" s="12" t="s">
        <v>0</v>
      </c>
      <c r="E67" s="17" t="s">
        <v>1</v>
      </c>
      <c r="F67" s="13">
        <v>720</v>
      </c>
    </row>
    <row r="68" spans="1:6" s="14" customFormat="1" x14ac:dyDescent="0.25">
      <c r="A68" s="10"/>
      <c r="B68" s="10">
        <v>9990001</v>
      </c>
      <c r="C68" s="11" t="s">
        <v>81</v>
      </c>
      <c r="D68" s="12" t="s">
        <v>35</v>
      </c>
      <c r="E68" s="17"/>
      <c r="F68" s="13">
        <v>100</v>
      </c>
    </row>
    <row r="69" spans="1:6" s="14" customFormat="1" x14ac:dyDescent="0.25">
      <c r="A69" s="10"/>
      <c r="B69" s="10">
        <v>9990001</v>
      </c>
      <c r="C69" s="11" t="s">
        <v>81</v>
      </c>
      <c r="D69" s="12" t="s">
        <v>33</v>
      </c>
      <c r="E69" s="17"/>
      <c r="F69" s="13">
        <v>430</v>
      </c>
    </row>
    <row r="70" spans="1:6" s="14" customFormat="1" x14ac:dyDescent="0.25">
      <c r="A70" s="10"/>
      <c r="B70" s="10">
        <v>9990001</v>
      </c>
      <c r="C70" s="11" t="s">
        <v>81</v>
      </c>
      <c r="D70" s="12" t="s">
        <v>190</v>
      </c>
      <c r="E70" s="17"/>
      <c r="F70" s="13">
        <f>1160-189</f>
        <v>971</v>
      </c>
    </row>
    <row r="71" spans="1:6" s="14" customFormat="1" x14ac:dyDescent="0.25">
      <c r="A71" s="10">
        <v>1061</v>
      </c>
      <c r="B71" s="10">
        <v>9990001</v>
      </c>
      <c r="C71" s="11" t="s">
        <v>81</v>
      </c>
      <c r="D71" s="12" t="s">
        <v>33</v>
      </c>
      <c r="E71" s="17" t="s">
        <v>34</v>
      </c>
      <c r="F71" s="13">
        <f>590+450+100-1</f>
        <v>1139</v>
      </c>
    </row>
    <row r="72" spans="1:6" s="14" customFormat="1" x14ac:dyDescent="0.25">
      <c r="A72" s="10"/>
      <c r="B72" s="10">
        <v>9990001</v>
      </c>
      <c r="C72" s="11" t="s">
        <v>81</v>
      </c>
      <c r="D72" s="12" t="s">
        <v>35</v>
      </c>
      <c r="E72" s="17"/>
      <c r="F72" s="13">
        <v>60</v>
      </c>
    </row>
    <row r="73" spans="1:6" s="14" customFormat="1" x14ac:dyDescent="0.25">
      <c r="A73" s="10"/>
      <c r="B73" s="10">
        <v>9990001</v>
      </c>
      <c r="C73" s="11" t="s">
        <v>81</v>
      </c>
      <c r="D73" s="12" t="s">
        <v>189</v>
      </c>
      <c r="E73" s="17"/>
      <c r="F73" s="13">
        <v>150</v>
      </c>
    </row>
    <row r="74" spans="1:6" s="14" customFormat="1" x14ac:dyDescent="0.25">
      <c r="A74" s="10"/>
      <c r="B74" s="10">
        <v>9990001</v>
      </c>
      <c r="C74" s="11" t="s">
        <v>81</v>
      </c>
      <c r="D74" s="12" t="s">
        <v>190</v>
      </c>
      <c r="E74" s="17"/>
      <c r="F74" s="13">
        <f>391+200</f>
        <v>591</v>
      </c>
    </row>
    <row r="75" spans="1:6" s="14" customFormat="1" x14ac:dyDescent="0.25">
      <c r="A75" s="10">
        <v>1062</v>
      </c>
      <c r="B75" s="10">
        <v>9990001</v>
      </c>
      <c r="C75" s="11" t="s">
        <v>81</v>
      </c>
      <c r="D75" s="12" t="s">
        <v>9</v>
      </c>
      <c r="E75" s="17" t="s">
        <v>10</v>
      </c>
      <c r="F75" s="13">
        <v>1705</v>
      </c>
    </row>
    <row r="76" spans="1:6" s="14" customFormat="1" x14ac:dyDescent="0.25">
      <c r="A76" s="10"/>
      <c r="B76" s="10">
        <v>9990001</v>
      </c>
      <c r="C76" s="11" t="s">
        <v>81</v>
      </c>
      <c r="D76" s="12" t="s">
        <v>64</v>
      </c>
      <c r="E76" s="17"/>
      <c r="F76" s="13">
        <v>100</v>
      </c>
    </row>
    <row r="77" spans="1:6" s="14" customFormat="1" x14ac:dyDescent="0.25">
      <c r="A77" s="10"/>
      <c r="B77" s="10">
        <v>9990001</v>
      </c>
      <c r="C77" s="11" t="s">
        <v>81</v>
      </c>
      <c r="D77" s="12" t="s">
        <v>33</v>
      </c>
      <c r="E77" s="17"/>
      <c r="F77" s="13">
        <v>970</v>
      </c>
    </row>
    <row r="78" spans="1:6" s="14" customFormat="1" x14ac:dyDescent="0.25">
      <c r="A78" s="10"/>
      <c r="B78" s="10">
        <v>9990001</v>
      </c>
      <c r="C78" s="11" t="s">
        <v>81</v>
      </c>
      <c r="D78" s="12" t="s">
        <v>189</v>
      </c>
      <c r="E78" s="17"/>
      <c r="F78" s="13">
        <v>300</v>
      </c>
    </row>
    <row r="79" spans="1:6" s="14" customFormat="1" x14ac:dyDescent="0.25">
      <c r="A79" s="10"/>
      <c r="B79" s="10">
        <v>9990001</v>
      </c>
      <c r="C79" s="11" t="s">
        <v>81</v>
      </c>
      <c r="D79" s="12" t="s">
        <v>35</v>
      </c>
      <c r="E79" s="17"/>
      <c r="F79" s="13">
        <v>100</v>
      </c>
    </row>
    <row r="80" spans="1:6" s="14" customFormat="1" x14ac:dyDescent="0.25">
      <c r="A80" s="10">
        <v>1063</v>
      </c>
      <c r="B80" s="10">
        <v>9990001</v>
      </c>
      <c r="C80" s="11" t="s">
        <v>81</v>
      </c>
      <c r="D80" s="12" t="s">
        <v>9</v>
      </c>
      <c r="E80" s="17" t="s">
        <v>10</v>
      </c>
      <c r="F80" s="13">
        <f>2750+468-1</f>
        <v>3217</v>
      </c>
    </row>
    <row r="81" spans="1:6" s="14" customFormat="1" x14ac:dyDescent="0.25">
      <c r="A81" s="10"/>
      <c r="B81" s="10">
        <v>9990001</v>
      </c>
      <c r="C81" s="11" t="s">
        <v>81</v>
      </c>
      <c r="D81" s="12" t="s">
        <v>33</v>
      </c>
      <c r="E81" s="17"/>
      <c r="F81" s="13">
        <v>1773</v>
      </c>
    </row>
    <row r="82" spans="1:6" s="14" customFormat="1" x14ac:dyDescent="0.25">
      <c r="A82" s="10"/>
      <c r="B82" s="10">
        <v>9990001</v>
      </c>
      <c r="C82" s="11" t="s">
        <v>81</v>
      </c>
      <c r="D82" s="12" t="s">
        <v>190</v>
      </c>
      <c r="E82" s="17"/>
      <c r="F82" s="13">
        <v>107</v>
      </c>
    </row>
    <row r="83" spans="1:6" s="14" customFormat="1" x14ac:dyDescent="0.25">
      <c r="A83" s="10"/>
      <c r="B83" s="10">
        <v>9990001</v>
      </c>
      <c r="C83" s="11" t="s">
        <v>81</v>
      </c>
      <c r="D83" s="12" t="s">
        <v>39</v>
      </c>
      <c r="E83" s="17"/>
      <c r="F83" s="13">
        <v>25</v>
      </c>
    </row>
    <row r="84" spans="1:6" s="14" customFormat="1" x14ac:dyDescent="0.25">
      <c r="A84" s="10">
        <v>1065</v>
      </c>
      <c r="B84" s="10">
        <v>9990001</v>
      </c>
      <c r="C84" s="11" t="s">
        <v>81</v>
      </c>
      <c r="D84" s="12" t="s">
        <v>189</v>
      </c>
      <c r="E84" s="17"/>
      <c r="F84" s="13">
        <v>250</v>
      </c>
    </row>
    <row r="85" spans="1:6" s="14" customFormat="1" x14ac:dyDescent="0.25">
      <c r="A85" s="10">
        <v>1067</v>
      </c>
      <c r="B85" s="10">
        <v>9990001</v>
      </c>
      <c r="C85" s="11" t="s">
        <v>81</v>
      </c>
      <c r="D85" s="12" t="s">
        <v>39</v>
      </c>
      <c r="E85" s="17" t="s">
        <v>40</v>
      </c>
      <c r="F85" s="13">
        <v>5000</v>
      </c>
    </row>
    <row r="86" spans="1:6" s="14" customFormat="1" x14ac:dyDescent="0.25">
      <c r="A86" s="10">
        <v>1069</v>
      </c>
      <c r="B86" s="10">
        <v>9004001</v>
      </c>
      <c r="C86" s="11" t="s">
        <v>82</v>
      </c>
      <c r="D86" s="12" t="s">
        <v>0</v>
      </c>
      <c r="E86" s="11" t="s">
        <v>1</v>
      </c>
      <c r="F86" s="13">
        <v>3810</v>
      </c>
    </row>
    <row r="87" spans="1:6" s="14" customFormat="1" x14ac:dyDescent="0.25">
      <c r="A87" s="10">
        <v>1070</v>
      </c>
      <c r="B87" s="10">
        <v>5220031</v>
      </c>
      <c r="C87" s="11" t="s">
        <v>95</v>
      </c>
      <c r="D87" s="12" t="s">
        <v>15</v>
      </c>
      <c r="E87" s="17" t="s">
        <v>16</v>
      </c>
      <c r="F87" s="13">
        <v>300000</v>
      </c>
    </row>
    <row r="88" spans="1:6" s="14" customFormat="1" x14ac:dyDescent="0.25">
      <c r="A88" s="10">
        <v>1071</v>
      </c>
      <c r="B88" s="10">
        <v>9990001</v>
      </c>
      <c r="C88" s="11" t="s">
        <v>81</v>
      </c>
      <c r="D88" s="12" t="s">
        <v>21</v>
      </c>
      <c r="E88" s="17" t="s">
        <v>22</v>
      </c>
      <c r="F88" s="13">
        <v>10000</v>
      </c>
    </row>
    <row r="89" spans="1:6" s="14" customFormat="1" x14ac:dyDescent="0.25">
      <c r="A89" s="10">
        <v>1077</v>
      </c>
      <c r="B89" s="10">
        <v>9990001</v>
      </c>
      <c r="C89" s="11" t="s">
        <v>81</v>
      </c>
      <c r="D89" s="12" t="s">
        <v>33</v>
      </c>
      <c r="E89" s="17" t="s">
        <v>34</v>
      </c>
      <c r="F89" s="13">
        <f>73665+17161+2983</f>
        <v>93809</v>
      </c>
    </row>
    <row r="90" spans="1:6" s="14" customFormat="1" x14ac:dyDescent="0.25">
      <c r="A90" s="10">
        <v>1079</v>
      </c>
      <c r="B90" s="10">
        <v>9990001</v>
      </c>
      <c r="C90" s="11" t="s">
        <v>81</v>
      </c>
      <c r="D90" s="12" t="s">
        <v>31</v>
      </c>
      <c r="E90" s="17" t="s">
        <v>32</v>
      </c>
      <c r="F90" s="13">
        <v>35781</v>
      </c>
    </row>
    <row r="91" spans="1:6" s="14" customFormat="1" x14ac:dyDescent="0.25">
      <c r="A91" s="10">
        <v>1080</v>
      </c>
      <c r="B91" s="10">
        <v>9004001</v>
      </c>
      <c r="C91" s="11" t="s">
        <v>82</v>
      </c>
      <c r="D91" s="12" t="s">
        <v>0</v>
      </c>
      <c r="E91" s="11" t="s">
        <v>1</v>
      </c>
      <c r="F91" s="13">
        <f>17327</f>
        <v>17327</v>
      </c>
    </row>
    <row r="92" spans="1:6" s="14" customFormat="1" x14ac:dyDescent="0.25">
      <c r="A92" s="10"/>
      <c r="B92" s="10">
        <v>9990001</v>
      </c>
      <c r="C92" s="11" t="s">
        <v>81</v>
      </c>
      <c r="D92" s="12" t="s">
        <v>33</v>
      </c>
      <c r="E92" s="11"/>
      <c r="F92" s="13">
        <f>1170+2000</f>
        <v>3170</v>
      </c>
    </row>
    <row r="93" spans="1:6" s="14" customFormat="1" x14ac:dyDescent="0.25">
      <c r="A93" s="10"/>
      <c r="B93" s="10">
        <v>9990001</v>
      </c>
      <c r="C93" s="11" t="s">
        <v>81</v>
      </c>
      <c r="D93" s="12" t="s">
        <v>39</v>
      </c>
      <c r="E93" s="11"/>
      <c r="F93" s="13">
        <v>7150</v>
      </c>
    </row>
    <row r="94" spans="1:6" s="14" customFormat="1" x14ac:dyDescent="0.25">
      <c r="A94" s="10">
        <v>1081</v>
      </c>
      <c r="B94" s="10">
        <v>9990001</v>
      </c>
      <c r="C94" s="11" t="s">
        <v>81</v>
      </c>
      <c r="D94" s="12" t="s">
        <v>33</v>
      </c>
      <c r="E94" s="17" t="s">
        <v>34</v>
      </c>
      <c r="F94" s="13">
        <f>833+100</f>
        <v>933</v>
      </c>
    </row>
    <row r="95" spans="1:6" s="14" customFormat="1" x14ac:dyDescent="0.25">
      <c r="A95" s="10"/>
      <c r="B95" s="10">
        <v>9990001</v>
      </c>
      <c r="C95" s="11" t="s">
        <v>81</v>
      </c>
      <c r="D95" s="12" t="s">
        <v>189</v>
      </c>
      <c r="E95" s="17"/>
      <c r="F95" s="13">
        <v>155</v>
      </c>
    </row>
    <row r="96" spans="1:6" s="14" customFormat="1" ht="4.5" customHeight="1" thickBot="1" x14ac:dyDescent="0.3">
      <c r="A96" s="32"/>
      <c r="B96" s="32"/>
      <c r="D96" s="33"/>
      <c r="E96" s="18"/>
      <c r="F96" s="34"/>
    </row>
    <row r="97" spans="1:6" s="14" customFormat="1" ht="16.5" thickBot="1" x14ac:dyDescent="0.3">
      <c r="A97" s="58" t="s">
        <v>164</v>
      </c>
      <c r="B97" s="59"/>
      <c r="C97" s="59"/>
      <c r="D97" s="59"/>
      <c r="E97" s="53"/>
      <c r="F97" s="54">
        <f>SUM(F58:F96)</f>
        <v>1041749</v>
      </c>
    </row>
    <row r="98" spans="1:6" s="14" customFormat="1" ht="5.25" customHeight="1" x14ac:dyDescent="0.25">
      <c r="A98" s="25"/>
      <c r="B98" s="25"/>
      <c r="C98" s="26"/>
      <c r="D98" s="27"/>
      <c r="E98" s="28"/>
      <c r="F98" s="29"/>
    </row>
    <row r="99" spans="1:6" x14ac:dyDescent="0.25">
      <c r="A99" s="10">
        <v>1091</v>
      </c>
      <c r="B99" s="10">
        <v>9990001</v>
      </c>
      <c r="C99" s="11" t="s">
        <v>81</v>
      </c>
      <c r="D99" s="12" t="s">
        <v>9</v>
      </c>
      <c r="E99" s="17" t="s">
        <v>10</v>
      </c>
      <c r="F99" s="13">
        <f>406932+11981+1012+7332</f>
        <v>427257</v>
      </c>
    </row>
    <row r="100" spans="1:6" x14ac:dyDescent="0.25">
      <c r="A100" s="10">
        <v>1092</v>
      </c>
      <c r="B100" s="10">
        <v>9990001</v>
      </c>
      <c r="C100" s="11" t="s">
        <v>81</v>
      </c>
      <c r="D100" s="12" t="s">
        <v>9</v>
      </c>
      <c r="E100" s="17" t="s">
        <v>10</v>
      </c>
      <c r="F100" s="13">
        <f>653550+160+827</f>
        <v>654537</v>
      </c>
    </row>
    <row r="101" spans="1:6" x14ac:dyDescent="0.25">
      <c r="A101" s="10">
        <v>1093</v>
      </c>
      <c r="B101" s="10">
        <v>9990001</v>
      </c>
      <c r="C101" s="11" t="s">
        <v>81</v>
      </c>
      <c r="D101" s="12" t="s">
        <v>9</v>
      </c>
      <c r="E101" s="17" t="s">
        <v>10</v>
      </c>
      <c r="F101" s="13">
        <f>2407012+16323+250+287+1613+1822+1000-21321-21024+1168+10003</f>
        <v>2397133</v>
      </c>
    </row>
    <row r="102" spans="1:6" x14ac:dyDescent="0.25">
      <c r="A102" s="10">
        <v>1094</v>
      </c>
      <c r="B102" s="10">
        <v>9990001</v>
      </c>
      <c r="C102" s="11" t="s">
        <v>81</v>
      </c>
      <c r="D102" s="12" t="s">
        <v>9</v>
      </c>
      <c r="E102" s="17" t="s">
        <v>10</v>
      </c>
      <c r="F102" s="13">
        <f>1207631-4782+484+230+922+5480+13072+11668+3500+4128+1350+1896+1707</f>
        <v>1247286</v>
      </c>
    </row>
    <row r="103" spans="1:6" x14ac:dyDescent="0.25">
      <c r="A103" s="10">
        <v>1095</v>
      </c>
      <c r="B103" s="10">
        <v>9990001</v>
      </c>
      <c r="C103" s="11" t="s">
        <v>81</v>
      </c>
      <c r="D103" s="12" t="s">
        <v>9</v>
      </c>
      <c r="E103" s="17" t="s">
        <v>10</v>
      </c>
      <c r="F103" s="13">
        <f>25000+9439+11934</f>
        <v>46373</v>
      </c>
    </row>
    <row r="104" spans="1:6" s="14" customFormat="1" ht="5.25" customHeight="1" thickBot="1" x14ac:dyDescent="0.3">
      <c r="A104" s="19"/>
      <c r="B104" s="19"/>
      <c r="C104" s="20"/>
      <c r="D104" s="21"/>
      <c r="E104" s="22"/>
      <c r="F104" s="23"/>
    </row>
    <row r="105" spans="1:6" s="14" customFormat="1" ht="16.5" thickBot="1" x14ac:dyDescent="0.3">
      <c r="A105" s="58" t="s">
        <v>165</v>
      </c>
      <c r="B105" s="59"/>
      <c r="C105" s="59"/>
      <c r="D105" s="59"/>
      <c r="E105" s="59"/>
      <c r="F105" s="54">
        <f>SUM(F99:F104)</f>
        <v>4772586</v>
      </c>
    </row>
    <row r="106" spans="1:6" s="14" customFormat="1" ht="4.5" customHeight="1" x14ac:dyDescent="0.25">
      <c r="A106" s="32"/>
      <c r="B106" s="32"/>
      <c r="D106" s="33"/>
      <c r="E106" s="18"/>
      <c r="F106" s="34"/>
    </row>
    <row r="107" spans="1:6" x14ac:dyDescent="0.25">
      <c r="A107" s="10">
        <v>1101</v>
      </c>
      <c r="B107" s="10">
        <v>9990001</v>
      </c>
      <c r="C107" s="11" t="s">
        <v>81</v>
      </c>
      <c r="D107" s="12" t="s">
        <v>11</v>
      </c>
      <c r="E107" s="17" t="s">
        <v>12</v>
      </c>
      <c r="F107" s="13">
        <f>314961+100000+23338+140876</f>
        <v>579175</v>
      </c>
    </row>
    <row r="108" spans="1:6" x14ac:dyDescent="0.25">
      <c r="A108" s="10"/>
      <c r="B108" s="10">
        <v>6800021</v>
      </c>
      <c r="C108" s="17" t="s">
        <v>93</v>
      </c>
      <c r="D108" s="12" t="s">
        <v>5</v>
      </c>
      <c r="E108" s="17" t="s">
        <v>67</v>
      </c>
      <c r="F108" s="13">
        <f>120000+253557+17103+13580+6400+38641+11000+8694</f>
        <v>468975</v>
      </c>
    </row>
    <row r="109" spans="1:6" x14ac:dyDescent="0.25">
      <c r="A109" s="10"/>
      <c r="B109" s="10">
        <v>5220031</v>
      </c>
      <c r="C109" s="11" t="s">
        <v>95</v>
      </c>
      <c r="D109" s="12" t="s">
        <v>15</v>
      </c>
      <c r="E109" s="17" t="s">
        <v>16</v>
      </c>
      <c r="F109" s="13">
        <f>13105+12000+16308</f>
        <v>41413</v>
      </c>
    </row>
    <row r="110" spans="1:6" x14ac:dyDescent="0.25">
      <c r="A110" s="10"/>
      <c r="B110" s="10">
        <v>9990001</v>
      </c>
      <c r="C110" s="11" t="s">
        <v>81</v>
      </c>
      <c r="D110" s="12" t="s">
        <v>5</v>
      </c>
      <c r="E110" s="17" t="s">
        <v>67</v>
      </c>
      <c r="F110" s="13">
        <f>10000+400421</f>
        <v>410421</v>
      </c>
    </row>
    <row r="111" spans="1:6" x14ac:dyDescent="0.25">
      <c r="A111" s="10">
        <v>1102</v>
      </c>
      <c r="B111" s="10">
        <v>6800021</v>
      </c>
      <c r="C111" s="17" t="s">
        <v>93</v>
      </c>
      <c r="D111" s="12" t="s">
        <v>5</v>
      </c>
      <c r="E111" s="17" t="s">
        <v>67</v>
      </c>
      <c r="F111" s="13">
        <f>34445+20000+243644+341868+44345</f>
        <v>684302</v>
      </c>
    </row>
    <row r="112" spans="1:6" x14ac:dyDescent="0.25">
      <c r="A112" s="10">
        <v>1103</v>
      </c>
      <c r="B112" s="10">
        <v>9990001</v>
      </c>
      <c r="C112" s="11" t="s">
        <v>81</v>
      </c>
      <c r="D112" s="12" t="s">
        <v>27</v>
      </c>
      <c r="E112" s="17" t="s">
        <v>28</v>
      </c>
      <c r="F112" s="13">
        <f>200000+436975+49245+60000+105508-44345</f>
        <v>807383</v>
      </c>
    </row>
    <row r="113" spans="1:6" x14ac:dyDescent="0.25">
      <c r="A113" s="10"/>
      <c r="B113" s="10">
        <v>9990001</v>
      </c>
      <c r="C113" s="11" t="s">
        <v>81</v>
      </c>
      <c r="D113" s="12" t="s">
        <v>33</v>
      </c>
      <c r="E113" s="17" t="s">
        <v>34</v>
      </c>
      <c r="F113" s="13">
        <v>29750</v>
      </c>
    </row>
    <row r="114" spans="1:6" x14ac:dyDescent="0.25">
      <c r="A114" s="10"/>
      <c r="B114" s="10">
        <v>9990001</v>
      </c>
      <c r="C114" s="11" t="s">
        <v>81</v>
      </c>
      <c r="D114" s="12" t="s">
        <v>35</v>
      </c>
      <c r="E114" s="17" t="s">
        <v>36</v>
      </c>
      <c r="F114" s="13">
        <v>10000</v>
      </c>
    </row>
    <row r="115" spans="1:6" x14ac:dyDescent="0.25">
      <c r="A115" s="10"/>
      <c r="B115" s="10">
        <v>9105021</v>
      </c>
      <c r="C115" s="11" t="s">
        <v>98</v>
      </c>
      <c r="D115" s="12" t="s">
        <v>31</v>
      </c>
      <c r="E115" s="17" t="s">
        <v>32</v>
      </c>
      <c r="F115" s="13">
        <v>2000</v>
      </c>
    </row>
    <row r="116" spans="1:6" x14ac:dyDescent="0.25">
      <c r="A116" s="10"/>
      <c r="B116" s="10">
        <v>6800011</v>
      </c>
      <c r="C116" s="11" t="s">
        <v>94</v>
      </c>
      <c r="D116" s="12" t="s">
        <v>5</v>
      </c>
      <c r="E116" s="17" t="s">
        <v>67</v>
      </c>
      <c r="F116" s="13">
        <v>30000</v>
      </c>
    </row>
    <row r="117" spans="1:6" s="14" customFormat="1" ht="6.75" customHeight="1" thickBot="1" x14ac:dyDescent="0.3">
      <c r="A117" s="32"/>
      <c r="B117" s="32"/>
      <c r="D117" s="33"/>
      <c r="E117" s="18"/>
      <c r="F117" s="34"/>
    </row>
    <row r="118" spans="1:6" s="14" customFormat="1" ht="16.5" thickBot="1" x14ac:dyDescent="0.3">
      <c r="A118" s="58" t="s">
        <v>167</v>
      </c>
      <c r="B118" s="59"/>
      <c r="C118" s="59"/>
      <c r="D118" s="59"/>
      <c r="E118" s="59"/>
      <c r="F118" s="54">
        <f>SUM(F107:F117)</f>
        <v>3063419</v>
      </c>
    </row>
    <row r="119" spans="1:6" s="14" customFormat="1" ht="6" customHeight="1" x14ac:dyDescent="0.25">
      <c r="A119" s="25"/>
      <c r="B119" s="25"/>
      <c r="C119" s="26"/>
      <c r="D119" s="27"/>
      <c r="E119" s="28"/>
      <c r="F119" s="29"/>
    </row>
    <row r="120" spans="1:6" x14ac:dyDescent="0.25">
      <c r="A120" s="10">
        <v>1203</v>
      </c>
      <c r="B120" s="10">
        <v>9990001</v>
      </c>
      <c r="C120" s="11" t="s">
        <v>81</v>
      </c>
      <c r="D120" s="12" t="s">
        <v>25</v>
      </c>
      <c r="E120" s="17" t="s">
        <v>26</v>
      </c>
      <c r="F120" s="13">
        <v>18000</v>
      </c>
    </row>
    <row r="121" spans="1:6" s="14" customFormat="1" ht="3.75" customHeight="1" thickBot="1" x14ac:dyDescent="0.3">
      <c r="A121" s="19"/>
      <c r="B121" s="19"/>
      <c r="C121" s="20"/>
      <c r="D121" s="21"/>
      <c r="E121" s="22"/>
      <c r="F121" s="23"/>
    </row>
    <row r="122" spans="1:6" s="14" customFormat="1" ht="16.5" thickBot="1" x14ac:dyDescent="0.3">
      <c r="A122" s="58" t="s">
        <v>168</v>
      </c>
      <c r="B122" s="59"/>
      <c r="C122" s="59"/>
      <c r="D122" s="59"/>
      <c r="E122" s="59"/>
      <c r="F122" s="54">
        <f>SUM(F120:F121)</f>
        <v>18000</v>
      </c>
    </row>
    <row r="123" spans="1:6" s="14" customFormat="1" ht="8.25" customHeight="1" x14ac:dyDescent="0.25">
      <c r="A123" s="25"/>
      <c r="B123" s="25"/>
      <c r="C123" s="26"/>
      <c r="D123" s="27"/>
      <c r="E123" s="28"/>
      <c r="F123" s="29"/>
    </row>
    <row r="124" spans="1:6" s="14" customFormat="1" x14ac:dyDescent="0.25">
      <c r="A124" s="10">
        <v>1301</v>
      </c>
      <c r="B124" s="10">
        <v>9990001</v>
      </c>
      <c r="C124" s="11" t="s">
        <v>81</v>
      </c>
      <c r="D124" s="12" t="s">
        <v>66</v>
      </c>
      <c r="E124" s="17" t="s">
        <v>71</v>
      </c>
      <c r="F124" s="13">
        <f>100000-1000-3500-4128-1350-8694-33117</f>
        <v>48211</v>
      </c>
    </row>
    <row r="125" spans="1:6" s="14" customFormat="1" x14ac:dyDescent="0.25">
      <c r="A125" s="16">
        <v>1302</v>
      </c>
      <c r="B125" s="10">
        <v>9990001</v>
      </c>
      <c r="C125" s="11" t="s">
        <v>81</v>
      </c>
      <c r="D125" s="12" t="s">
        <v>66</v>
      </c>
      <c r="E125" s="17" t="s">
        <v>71</v>
      </c>
      <c r="F125" s="13">
        <f>19000-313-9217-1</f>
        <v>9469</v>
      </c>
    </row>
    <row r="126" spans="1:6" s="14" customFormat="1" x14ac:dyDescent="0.25">
      <c r="A126" s="10">
        <v>1303</v>
      </c>
      <c r="B126" s="10">
        <v>9990001</v>
      </c>
      <c r="C126" s="11" t="s">
        <v>81</v>
      </c>
      <c r="D126" s="12" t="s">
        <v>66</v>
      </c>
      <c r="E126" s="17" t="s">
        <v>71</v>
      </c>
      <c r="F126" s="13">
        <f>2500-2500</f>
        <v>0</v>
      </c>
    </row>
    <row r="127" spans="1:6" s="14" customFormat="1" x14ac:dyDescent="0.25">
      <c r="A127" s="16">
        <v>1304</v>
      </c>
      <c r="B127" s="10">
        <v>9990001</v>
      </c>
      <c r="C127" s="11" t="s">
        <v>81</v>
      </c>
      <c r="D127" s="12" t="s">
        <v>66</v>
      </c>
      <c r="E127" s="17" t="s">
        <v>71</v>
      </c>
      <c r="F127" s="13">
        <f>8000-583-263</f>
        <v>7154</v>
      </c>
    </row>
    <row r="128" spans="1:6" s="14" customFormat="1" x14ac:dyDescent="0.25">
      <c r="A128" s="10">
        <v>1305</v>
      </c>
      <c r="B128" s="10">
        <v>9990001</v>
      </c>
      <c r="C128" s="11" t="s">
        <v>81</v>
      </c>
      <c r="D128" s="12" t="s">
        <v>66</v>
      </c>
      <c r="E128" s="17" t="s">
        <v>71</v>
      </c>
      <c r="F128" s="13">
        <f>8200-2071-551</f>
        <v>5578</v>
      </c>
    </row>
    <row r="129" spans="1:6" s="14" customFormat="1" x14ac:dyDescent="0.25">
      <c r="A129" s="16">
        <v>1306</v>
      </c>
      <c r="B129" s="10">
        <v>9990001</v>
      </c>
      <c r="C129" s="11" t="s">
        <v>81</v>
      </c>
      <c r="D129" s="12" t="s">
        <v>66</v>
      </c>
      <c r="E129" s="17" t="s">
        <v>71</v>
      </c>
      <c r="F129" s="13">
        <f>607656+2151658+10000+98848-659069-72391</f>
        <v>2136702</v>
      </c>
    </row>
    <row r="130" spans="1:6" s="14" customFormat="1" x14ac:dyDescent="0.25">
      <c r="A130" s="10">
        <v>1307</v>
      </c>
      <c r="B130" s="10">
        <v>9990001</v>
      </c>
      <c r="C130" s="11" t="s">
        <v>81</v>
      </c>
      <c r="D130" s="12" t="s">
        <v>66</v>
      </c>
      <c r="E130" s="17" t="s">
        <v>71</v>
      </c>
      <c r="F130" s="13">
        <f>11934-11934</f>
        <v>0</v>
      </c>
    </row>
    <row r="131" spans="1:6" s="14" customFormat="1" x14ac:dyDescent="0.25">
      <c r="A131" s="16">
        <v>1308</v>
      </c>
      <c r="B131" s="10">
        <v>9990001</v>
      </c>
      <c r="C131" s="11" t="s">
        <v>81</v>
      </c>
      <c r="D131" s="12" t="s">
        <v>66</v>
      </c>
      <c r="E131" s="17" t="s">
        <v>71</v>
      </c>
      <c r="F131" s="13">
        <f>155000-200-139820</f>
        <v>14980</v>
      </c>
    </row>
    <row r="132" spans="1:6" s="14" customFormat="1" x14ac:dyDescent="0.25">
      <c r="A132" s="10">
        <v>1309</v>
      </c>
      <c r="B132" s="10">
        <v>9990001</v>
      </c>
      <c r="C132" s="11" t="s">
        <v>81</v>
      </c>
      <c r="D132" s="12" t="s">
        <v>66</v>
      </c>
      <c r="E132" s="17" t="s">
        <v>71</v>
      </c>
      <c r="F132" s="13">
        <f>45000-45000</f>
        <v>0</v>
      </c>
    </row>
    <row r="133" spans="1:6" s="14" customFormat="1" x14ac:dyDescent="0.25">
      <c r="A133" s="16">
        <v>1310</v>
      </c>
      <c r="B133" s="10">
        <v>9990001</v>
      </c>
      <c r="C133" s="11" t="s">
        <v>81</v>
      </c>
      <c r="D133" s="12" t="s">
        <v>66</v>
      </c>
      <c r="E133" s="17" t="s">
        <v>71</v>
      </c>
      <c r="F133" s="13">
        <f>5950-502-1971</f>
        <v>3477</v>
      </c>
    </row>
    <row r="134" spans="1:6" s="14" customFormat="1" x14ac:dyDescent="0.25">
      <c r="A134" s="10">
        <v>1311</v>
      </c>
      <c r="B134" s="10">
        <v>9990001</v>
      </c>
      <c r="C134" s="11" t="s">
        <v>81</v>
      </c>
      <c r="D134" s="12" t="s">
        <v>66</v>
      </c>
      <c r="E134" s="17" t="s">
        <v>71</v>
      </c>
      <c r="F134" s="13">
        <f>7650-590-50-1112-610</f>
        <v>5288</v>
      </c>
    </row>
    <row r="135" spans="1:6" s="14" customFormat="1" x14ac:dyDescent="0.25">
      <c r="A135" s="16">
        <v>1312</v>
      </c>
      <c r="B135" s="10">
        <v>9990001</v>
      </c>
      <c r="C135" s="11" t="s">
        <v>81</v>
      </c>
      <c r="D135" s="12" t="s">
        <v>66</v>
      </c>
      <c r="E135" s="17" t="s">
        <v>71</v>
      </c>
      <c r="F135" s="13">
        <f>3600-1563-1470</f>
        <v>567</v>
      </c>
    </row>
    <row r="136" spans="1:6" s="14" customFormat="1" x14ac:dyDescent="0.25">
      <c r="A136" s="16">
        <v>1314</v>
      </c>
      <c r="B136" s="10">
        <v>9990001</v>
      </c>
      <c r="C136" s="11" t="s">
        <v>81</v>
      </c>
      <c r="D136" s="12" t="s">
        <v>66</v>
      </c>
      <c r="E136" s="17" t="s">
        <v>71</v>
      </c>
      <c r="F136" s="13">
        <f>393134-15085+2-174407</f>
        <v>203644</v>
      </c>
    </row>
    <row r="137" spans="1:6" s="14" customFormat="1" x14ac:dyDescent="0.25">
      <c r="A137" s="16">
        <v>1316</v>
      </c>
      <c r="B137" s="10">
        <v>9990001</v>
      </c>
      <c r="C137" s="11" t="s">
        <v>81</v>
      </c>
      <c r="D137" s="12" t="s">
        <v>66</v>
      </c>
      <c r="E137" s="17" t="s">
        <v>71</v>
      </c>
      <c r="F137" s="13">
        <f>9180-9180</f>
        <v>0</v>
      </c>
    </row>
    <row r="138" spans="1:6" s="14" customFormat="1" x14ac:dyDescent="0.25">
      <c r="A138" s="10">
        <v>1317</v>
      </c>
      <c r="B138" s="10">
        <v>9990001</v>
      </c>
      <c r="C138" s="11" t="s">
        <v>81</v>
      </c>
      <c r="D138" s="12" t="s">
        <v>66</v>
      </c>
      <c r="E138" s="17" t="s">
        <v>71</v>
      </c>
      <c r="F138" s="13">
        <v>30000</v>
      </c>
    </row>
    <row r="139" spans="1:6" s="14" customFormat="1" x14ac:dyDescent="0.25">
      <c r="A139" s="16">
        <v>1320</v>
      </c>
      <c r="B139" s="10">
        <v>9990001</v>
      </c>
      <c r="C139" s="11" t="s">
        <v>81</v>
      </c>
      <c r="D139" s="12" t="s">
        <v>66</v>
      </c>
      <c r="E139" s="17" t="s">
        <v>71</v>
      </c>
      <c r="F139" s="13">
        <f>50000-17248-15849</f>
        <v>16903</v>
      </c>
    </row>
    <row r="140" spans="1:6" s="14" customFormat="1" ht="9.75" customHeight="1" thickBot="1" x14ac:dyDescent="0.3">
      <c r="A140" s="30"/>
      <c r="B140" s="19"/>
      <c r="C140" s="20"/>
      <c r="D140" s="21"/>
      <c r="E140" s="22"/>
      <c r="F140" s="23"/>
    </row>
    <row r="141" spans="1:6" s="14" customFormat="1" ht="16.5" thickBot="1" x14ac:dyDescent="0.3">
      <c r="A141" s="64" t="s">
        <v>169</v>
      </c>
      <c r="B141" s="65"/>
      <c r="C141" s="65"/>
      <c r="D141" s="65"/>
      <c r="E141" s="65"/>
      <c r="F141" s="54">
        <f>SUM(F124:F140)</f>
        <v>2481973</v>
      </c>
    </row>
    <row r="142" spans="1:6" s="14" customFormat="1" ht="9" customHeight="1" thickBot="1" x14ac:dyDescent="0.3">
      <c r="A142" s="45"/>
      <c r="B142" s="32"/>
      <c r="D142" s="33"/>
      <c r="E142" s="18"/>
      <c r="F142" s="34"/>
    </row>
    <row r="143" spans="1:6" s="14" customFormat="1" ht="16.5" thickBot="1" x14ac:dyDescent="0.3">
      <c r="A143" s="64" t="s">
        <v>171</v>
      </c>
      <c r="B143" s="65"/>
      <c r="C143" s="65"/>
      <c r="D143" s="65"/>
      <c r="E143" s="65"/>
      <c r="F143" s="54">
        <f>+F56+F97+F105+F118+F122+F141</f>
        <v>18862524</v>
      </c>
    </row>
    <row r="144" spans="1:6" s="14" customFormat="1" ht="8.25" customHeight="1" x14ac:dyDescent="0.25">
      <c r="A144" s="45"/>
      <c r="B144" s="32"/>
      <c r="D144" s="33"/>
      <c r="E144" s="18"/>
      <c r="F144" s="24"/>
    </row>
    <row r="145" spans="1:6" s="14" customFormat="1" x14ac:dyDescent="0.25">
      <c r="A145" s="6" t="s">
        <v>79</v>
      </c>
      <c r="B145" s="32"/>
      <c r="D145" s="33"/>
      <c r="E145" s="18"/>
      <c r="F145" s="34"/>
    </row>
    <row r="146" spans="1:6" s="14" customFormat="1" ht="4.5" customHeight="1" x14ac:dyDescent="0.25">
      <c r="A146" s="32"/>
      <c r="B146" s="32"/>
      <c r="D146" s="33"/>
      <c r="E146" s="18"/>
      <c r="F146" s="34"/>
    </row>
    <row r="147" spans="1:6" x14ac:dyDescent="0.25">
      <c r="A147" s="10">
        <v>1501</v>
      </c>
      <c r="B147" s="10">
        <v>8810111</v>
      </c>
      <c r="C147" s="11" t="s">
        <v>99</v>
      </c>
      <c r="D147" s="12" t="s">
        <v>8</v>
      </c>
      <c r="E147" s="17" t="s">
        <v>69</v>
      </c>
      <c r="F147" s="13">
        <v>32700</v>
      </c>
    </row>
    <row r="148" spans="1:6" x14ac:dyDescent="0.25">
      <c r="A148" s="10"/>
      <c r="B148" s="10">
        <v>8891011</v>
      </c>
      <c r="C148" s="11" t="s">
        <v>100</v>
      </c>
      <c r="D148" s="12" t="s">
        <v>8</v>
      </c>
      <c r="E148" s="17" t="s">
        <v>69</v>
      </c>
      <c r="F148" s="13">
        <v>56822</v>
      </c>
    </row>
    <row r="149" spans="1:6" x14ac:dyDescent="0.25">
      <c r="A149" s="10"/>
      <c r="B149" s="10">
        <v>8892011</v>
      </c>
      <c r="C149" s="11" t="s">
        <v>101</v>
      </c>
      <c r="D149" s="12" t="s">
        <v>8</v>
      </c>
      <c r="E149" s="17" t="s">
        <v>69</v>
      </c>
      <c r="F149" s="13">
        <f>10377+10690</f>
        <v>21067</v>
      </c>
    </row>
    <row r="150" spans="1:6" x14ac:dyDescent="0.25">
      <c r="A150" s="10"/>
      <c r="B150" s="10">
        <v>8899211</v>
      </c>
      <c r="C150" s="11" t="s">
        <v>102</v>
      </c>
      <c r="D150" s="12" t="s">
        <v>8</v>
      </c>
      <c r="E150" s="17" t="s">
        <v>69</v>
      </c>
      <c r="F150" s="13">
        <v>30448</v>
      </c>
    </row>
    <row r="151" spans="1:6" x14ac:dyDescent="0.25">
      <c r="A151" s="10"/>
      <c r="B151" s="10">
        <v>8899221</v>
      </c>
      <c r="C151" s="11" t="s">
        <v>103</v>
      </c>
      <c r="D151" s="12" t="s">
        <v>8</v>
      </c>
      <c r="E151" s="17" t="s">
        <v>69</v>
      </c>
      <c r="F151" s="13">
        <v>12760</v>
      </c>
    </row>
    <row r="152" spans="1:6" x14ac:dyDescent="0.25">
      <c r="A152" s="10"/>
      <c r="B152" s="10">
        <v>9105021</v>
      </c>
      <c r="C152" s="11" t="s">
        <v>98</v>
      </c>
      <c r="D152" s="12" t="s">
        <v>8</v>
      </c>
      <c r="E152" s="17" t="s">
        <v>69</v>
      </c>
      <c r="F152" s="13">
        <v>10508</v>
      </c>
    </row>
    <row r="153" spans="1:6" x14ac:dyDescent="0.25">
      <c r="A153" s="10"/>
      <c r="B153" s="10">
        <v>9990001</v>
      </c>
      <c r="C153" s="11" t="s">
        <v>81</v>
      </c>
      <c r="D153" s="12" t="s">
        <v>8</v>
      </c>
      <c r="E153" s="17" t="s">
        <v>69</v>
      </c>
      <c r="F153" s="13">
        <f>2220571-32700-56822-10377-30448-12760-10508+2411+2381+15252+886+1822+13072+11668</f>
        <v>2114448</v>
      </c>
    </row>
    <row r="154" spans="1:6" x14ac:dyDescent="0.25">
      <c r="A154" s="10">
        <v>1502</v>
      </c>
      <c r="B154" s="10">
        <v>9990001</v>
      </c>
      <c r="C154" s="11" t="s">
        <v>81</v>
      </c>
      <c r="D154" s="12" t="s">
        <v>0</v>
      </c>
      <c r="E154" s="17" t="s">
        <v>1</v>
      </c>
      <c r="F154" s="13">
        <f>603517+31+239</f>
        <v>603787</v>
      </c>
    </row>
    <row r="155" spans="1:6" x14ac:dyDescent="0.25">
      <c r="A155" s="10">
        <v>1503</v>
      </c>
      <c r="B155" s="10">
        <v>9990001</v>
      </c>
      <c r="C155" s="11" t="s">
        <v>81</v>
      </c>
      <c r="D155" s="12" t="s">
        <v>0</v>
      </c>
      <c r="E155" s="17" t="s">
        <v>1</v>
      </c>
      <c r="F155" s="13">
        <f>275100+267807</f>
        <v>542907</v>
      </c>
    </row>
    <row r="156" spans="1:6" x14ac:dyDescent="0.25">
      <c r="A156" s="10"/>
      <c r="B156" s="10">
        <v>9990001</v>
      </c>
      <c r="C156" s="11" t="s">
        <v>81</v>
      </c>
      <c r="D156" s="12" t="s">
        <v>3</v>
      </c>
      <c r="E156" s="17" t="s">
        <v>4</v>
      </c>
      <c r="F156" s="13">
        <v>5037848</v>
      </c>
    </row>
    <row r="157" spans="1:6" x14ac:dyDescent="0.25">
      <c r="A157" s="10"/>
      <c r="B157" s="10">
        <v>6800011</v>
      </c>
      <c r="C157" s="11" t="s">
        <v>94</v>
      </c>
      <c r="D157" s="12" t="s">
        <v>5</v>
      </c>
      <c r="E157" s="17" t="s">
        <v>67</v>
      </c>
      <c r="F157" s="13">
        <f>313497+4000</f>
        <v>317497</v>
      </c>
    </row>
    <row r="158" spans="1:6" x14ac:dyDescent="0.25">
      <c r="A158" s="10"/>
      <c r="B158" s="10">
        <v>6800021</v>
      </c>
      <c r="C158" s="17" t="s">
        <v>93</v>
      </c>
      <c r="D158" s="12" t="s">
        <v>5</v>
      </c>
      <c r="E158" s="17" t="s">
        <v>67</v>
      </c>
      <c r="F158" s="13">
        <f>1581380+86000</f>
        <v>1667380</v>
      </c>
    </row>
    <row r="159" spans="1:6" s="35" customFormat="1" x14ac:dyDescent="0.25">
      <c r="A159" s="16"/>
      <c r="B159" s="16">
        <v>5220031</v>
      </c>
      <c r="C159" s="11" t="s">
        <v>95</v>
      </c>
      <c r="D159" s="12" t="s">
        <v>15</v>
      </c>
      <c r="E159" s="17" t="s">
        <v>16</v>
      </c>
      <c r="F159" s="13">
        <v>2779039</v>
      </c>
    </row>
    <row r="160" spans="1:6" x14ac:dyDescent="0.25">
      <c r="A160" s="10"/>
      <c r="B160" s="10">
        <v>5629131</v>
      </c>
      <c r="C160" s="11" t="s">
        <v>41</v>
      </c>
      <c r="D160" s="12" t="s">
        <v>105</v>
      </c>
      <c r="E160" s="17" t="s">
        <v>104</v>
      </c>
      <c r="F160" s="13">
        <v>57500</v>
      </c>
    </row>
    <row r="161" spans="1:6" x14ac:dyDescent="0.25">
      <c r="A161" s="10">
        <v>1506</v>
      </c>
      <c r="B161" s="10">
        <v>9990001</v>
      </c>
      <c r="C161" s="11" t="s">
        <v>81</v>
      </c>
      <c r="D161" s="12" t="s">
        <v>0</v>
      </c>
      <c r="E161" s="11" t="s">
        <v>1</v>
      </c>
      <c r="F161" s="13">
        <v>32026</v>
      </c>
    </row>
    <row r="162" spans="1:6" x14ac:dyDescent="0.25">
      <c r="A162" s="10">
        <v>1507</v>
      </c>
      <c r="B162" s="10">
        <v>9990001</v>
      </c>
      <c r="C162" s="11" t="s">
        <v>81</v>
      </c>
      <c r="D162" s="12" t="s">
        <v>0</v>
      </c>
      <c r="E162" s="11" t="s">
        <v>1</v>
      </c>
      <c r="F162" s="13">
        <v>259824</v>
      </c>
    </row>
    <row r="163" spans="1:6" s="14" customFormat="1" ht="6.75" customHeight="1" thickBot="1" x14ac:dyDescent="0.3">
      <c r="A163" s="32"/>
      <c r="B163" s="32"/>
      <c r="D163" s="33"/>
      <c r="E163" s="18"/>
      <c r="F163" s="34"/>
    </row>
    <row r="164" spans="1:6" s="14" customFormat="1" ht="16.5" thickBot="1" x14ac:dyDescent="0.3">
      <c r="A164" s="58" t="s">
        <v>170</v>
      </c>
      <c r="B164" s="59"/>
      <c r="C164" s="59"/>
      <c r="D164" s="59"/>
      <c r="E164" s="59"/>
      <c r="F164" s="54">
        <f>SUM(F147:F163)</f>
        <v>13576561</v>
      </c>
    </row>
    <row r="165" spans="1:6" s="14" customFormat="1" ht="6.75" customHeight="1" x14ac:dyDescent="0.25">
      <c r="A165" s="32"/>
      <c r="B165" s="32"/>
      <c r="D165" s="33"/>
      <c r="E165" s="18"/>
      <c r="F165" s="34"/>
    </row>
    <row r="166" spans="1:6" x14ac:dyDescent="0.25">
      <c r="A166" s="10">
        <v>1601</v>
      </c>
      <c r="B166" s="10">
        <v>9990001</v>
      </c>
      <c r="C166" s="11" t="s">
        <v>81</v>
      </c>
      <c r="D166" s="12" t="s">
        <v>5</v>
      </c>
      <c r="E166" s="11" t="s">
        <v>67</v>
      </c>
      <c r="F166" s="13">
        <f>1400000+11000</f>
        <v>1411000</v>
      </c>
    </row>
    <row r="167" spans="1:6" x14ac:dyDescent="0.25">
      <c r="A167" s="10">
        <v>1602</v>
      </c>
      <c r="B167" s="10">
        <v>9990001</v>
      </c>
      <c r="C167" s="11" t="s">
        <v>81</v>
      </c>
      <c r="D167" s="12" t="s">
        <v>11</v>
      </c>
      <c r="E167" s="11" t="s">
        <v>12</v>
      </c>
      <c r="F167" s="13">
        <f>216696+1906+96942</f>
        <v>315544</v>
      </c>
    </row>
    <row r="168" spans="1:6" x14ac:dyDescent="0.25">
      <c r="A168" s="10">
        <v>1603</v>
      </c>
      <c r="B168" s="10">
        <v>9990001</v>
      </c>
      <c r="C168" s="11" t="s">
        <v>81</v>
      </c>
      <c r="D168" s="12" t="s">
        <v>23</v>
      </c>
      <c r="E168" s="11" t="s">
        <v>24</v>
      </c>
      <c r="F168" s="13">
        <v>49000</v>
      </c>
    </row>
    <row r="169" spans="1:6" x14ac:dyDescent="0.25">
      <c r="A169" s="10">
        <v>1605</v>
      </c>
      <c r="B169" s="10">
        <v>9990001</v>
      </c>
      <c r="C169" s="11" t="s">
        <v>81</v>
      </c>
      <c r="D169" s="12" t="s">
        <v>0</v>
      </c>
      <c r="E169" s="11" t="s">
        <v>1</v>
      </c>
      <c r="F169" s="13">
        <v>3486255</v>
      </c>
    </row>
    <row r="170" spans="1:6" s="14" customFormat="1" ht="6.75" customHeight="1" thickBot="1" x14ac:dyDescent="0.3">
      <c r="A170" s="32"/>
      <c r="B170" s="32"/>
      <c r="D170" s="33"/>
      <c r="F170" s="34"/>
    </row>
    <row r="171" spans="1:6" s="14" customFormat="1" ht="16.5" thickBot="1" x14ac:dyDescent="0.3">
      <c r="A171" s="56" t="s">
        <v>172</v>
      </c>
      <c r="B171" s="57"/>
      <c r="C171" s="57"/>
      <c r="D171" s="57"/>
      <c r="E171" s="57"/>
      <c r="F171" s="54">
        <f>SUM(F166:F170)</f>
        <v>5261799</v>
      </c>
    </row>
    <row r="172" spans="1:6" s="14" customFormat="1" ht="7.5" customHeight="1" x14ac:dyDescent="0.25">
      <c r="A172" s="32"/>
      <c r="B172" s="32"/>
      <c r="D172" s="33"/>
      <c r="F172" s="34"/>
    </row>
    <row r="173" spans="1:6" s="35" customFormat="1" x14ac:dyDescent="0.25">
      <c r="A173" s="16">
        <v>1702</v>
      </c>
      <c r="B173" s="16">
        <v>9990001</v>
      </c>
      <c r="C173" s="11" t="s">
        <v>81</v>
      </c>
      <c r="D173" s="12" t="s">
        <v>25</v>
      </c>
      <c r="E173" s="11" t="s">
        <v>26</v>
      </c>
      <c r="F173" s="13">
        <v>24164</v>
      </c>
    </row>
    <row r="174" spans="1:6" s="35" customFormat="1" ht="6" customHeight="1" thickBot="1" x14ac:dyDescent="0.3">
      <c r="A174" s="45"/>
      <c r="B174" s="45"/>
      <c r="C174" s="14"/>
      <c r="D174" s="33"/>
      <c r="E174" s="14"/>
      <c r="F174" s="34"/>
    </row>
    <row r="175" spans="1:6" s="35" customFormat="1" ht="16.5" thickBot="1" x14ac:dyDescent="0.3">
      <c r="A175" s="64" t="s">
        <v>173</v>
      </c>
      <c r="B175" s="65"/>
      <c r="C175" s="65"/>
      <c r="D175" s="65"/>
      <c r="E175" s="65"/>
      <c r="F175" s="54">
        <f>SUM(F173:F174)</f>
        <v>24164</v>
      </c>
    </row>
    <row r="176" spans="1:6" s="35" customFormat="1" ht="8.25" customHeight="1" thickBot="1" x14ac:dyDescent="0.3">
      <c r="A176" s="45"/>
      <c r="B176" s="45"/>
      <c r="C176" s="14"/>
      <c r="D176" s="33"/>
      <c r="E176" s="14"/>
      <c r="F176" s="34"/>
    </row>
    <row r="177" spans="1:6" s="35" customFormat="1" ht="16.5" thickBot="1" x14ac:dyDescent="0.3">
      <c r="A177" s="66" t="s">
        <v>174</v>
      </c>
      <c r="B177" s="67"/>
      <c r="C177" s="67"/>
      <c r="D177" s="67"/>
      <c r="E177" s="67"/>
      <c r="F177" s="54">
        <f>+F164+F171+F175</f>
        <v>18862524</v>
      </c>
    </row>
    <row r="178" spans="1:6" s="35" customFormat="1" ht="6.75" customHeight="1" x14ac:dyDescent="0.25">
      <c r="A178" s="55"/>
      <c r="B178" s="55"/>
      <c r="C178" s="55"/>
      <c r="D178" s="55"/>
      <c r="E178" s="55"/>
      <c r="F178" s="37"/>
    </row>
    <row r="179" spans="1:6" s="35" customFormat="1" ht="6.75" customHeight="1" x14ac:dyDescent="0.25">
      <c r="A179" s="36"/>
      <c r="B179" s="36"/>
      <c r="D179" s="3"/>
      <c r="E179" s="2"/>
      <c r="F179" s="37"/>
    </row>
    <row r="180" spans="1:6" s="35" customFormat="1" x14ac:dyDescent="0.25">
      <c r="A180" s="60" t="s">
        <v>115</v>
      </c>
      <c r="B180" s="60"/>
      <c r="C180" s="60"/>
      <c r="D180" s="60"/>
      <c r="E180" s="60"/>
      <c r="F180" s="60"/>
    </row>
    <row r="181" spans="1:6" s="35" customFormat="1" ht="6" customHeight="1" x14ac:dyDescent="0.25">
      <c r="A181" s="36"/>
      <c r="B181" s="36"/>
      <c r="D181" s="3"/>
      <c r="E181" s="2"/>
      <c r="F181" s="5"/>
    </row>
    <row r="182" spans="1:6" s="35" customFormat="1" x14ac:dyDescent="0.25">
      <c r="A182" s="63" t="s">
        <v>113</v>
      </c>
      <c r="B182" s="63"/>
      <c r="C182" s="63"/>
      <c r="D182" s="63"/>
      <c r="E182" s="2"/>
      <c r="F182" s="5"/>
    </row>
    <row r="183" spans="1:6" s="35" customFormat="1" x14ac:dyDescent="0.25">
      <c r="A183" s="7" t="s">
        <v>80</v>
      </c>
      <c r="B183" s="36"/>
      <c r="D183" s="3"/>
      <c r="E183" s="2"/>
      <c r="F183" s="5"/>
    </row>
    <row r="184" spans="1:6" s="35" customFormat="1" x14ac:dyDescent="0.25">
      <c r="A184" s="16">
        <v>2</v>
      </c>
      <c r="B184" s="10">
        <v>8621011</v>
      </c>
      <c r="C184" s="11" t="s">
        <v>143</v>
      </c>
      <c r="D184" s="12" t="s">
        <v>142</v>
      </c>
      <c r="E184" s="11" t="s">
        <v>143</v>
      </c>
      <c r="F184" s="13">
        <f>41877+39457+1012+7332+50+165</f>
        <v>89893</v>
      </c>
    </row>
    <row r="185" spans="1:6" s="35" customFormat="1" x14ac:dyDescent="0.25">
      <c r="A185" s="16"/>
      <c r="B185" s="10">
        <v>8621021</v>
      </c>
      <c r="C185" s="11" t="s">
        <v>145</v>
      </c>
      <c r="D185" s="12" t="s">
        <v>144</v>
      </c>
      <c r="E185" s="11" t="s">
        <v>145</v>
      </c>
      <c r="F185" s="13">
        <f>32108+10415</f>
        <v>42523</v>
      </c>
    </row>
    <row r="186" spans="1:6" s="35" customFormat="1" x14ac:dyDescent="0.25">
      <c r="A186" s="16"/>
      <c r="B186" s="10">
        <v>8622111</v>
      </c>
      <c r="C186" s="11" t="s">
        <v>147</v>
      </c>
      <c r="D186" s="12" t="s">
        <v>146</v>
      </c>
      <c r="E186" s="11" t="s">
        <v>147</v>
      </c>
      <c r="F186" s="13">
        <f>694966+8000+13100+97896+12171</f>
        <v>826133</v>
      </c>
    </row>
    <row r="187" spans="1:6" s="35" customFormat="1" x14ac:dyDescent="0.25">
      <c r="A187" s="16"/>
      <c r="B187" s="10">
        <v>8622131</v>
      </c>
      <c r="C187" s="11" t="s">
        <v>149</v>
      </c>
      <c r="D187" s="12" t="s">
        <v>148</v>
      </c>
      <c r="E187" s="11" t="s">
        <v>149</v>
      </c>
      <c r="F187" s="13">
        <f>85042+1200</f>
        <v>86242</v>
      </c>
    </row>
    <row r="188" spans="1:6" s="35" customFormat="1" x14ac:dyDescent="0.25">
      <c r="A188" s="16"/>
      <c r="B188" s="10">
        <v>8622201</v>
      </c>
      <c r="C188" s="11" t="s">
        <v>151</v>
      </c>
      <c r="D188" s="12" t="s">
        <v>150</v>
      </c>
      <c r="E188" s="11" t="s">
        <v>151</v>
      </c>
      <c r="F188" s="13">
        <v>71065</v>
      </c>
    </row>
    <row r="189" spans="1:6" s="35" customFormat="1" x14ac:dyDescent="0.25">
      <c r="A189" s="16"/>
      <c r="B189" s="10">
        <v>8622311</v>
      </c>
      <c r="C189" s="11" t="s">
        <v>153</v>
      </c>
      <c r="D189" s="12" t="s">
        <v>152</v>
      </c>
      <c r="E189" s="11" t="s">
        <v>153</v>
      </c>
      <c r="F189" s="13">
        <v>35262</v>
      </c>
    </row>
    <row r="190" spans="1:6" s="35" customFormat="1" x14ac:dyDescent="0.25">
      <c r="A190" s="16"/>
      <c r="B190" s="10">
        <v>8623031</v>
      </c>
      <c r="C190" s="11" t="s">
        <v>155</v>
      </c>
      <c r="D190" s="12" t="s">
        <v>154</v>
      </c>
      <c r="E190" s="11" t="s">
        <v>155</v>
      </c>
      <c r="F190" s="13">
        <f>53631+4000</f>
        <v>57631</v>
      </c>
    </row>
    <row r="191" spans="1:6" s="35" customFormat="1" x14ac:dyDescent="0.25">
      <c r="A191" s="16"/>
      <c r="B191" s="10">
        <v>8690311</v>
      </c>
      <c r="C191" s="11" t="s">
        <v>157</v>
      </c>
      <c r="D191" s="12" t="s">
        <v>156</v>
      </c>
      <c r="E191" s="11" t="s">
        <v>157</v>
      </c>
      <c r="F191" s="13">
        <v>60978</v>
      </c>
    </row>
    <row r="192" spans="1:6" s="35" customFormat="1" x14ac:dyDescent="0.25">
      <c r="A192" s="16"/>
      <c r="B192" s="10">
        <v>8690321</v>
      </c>
      <c r="C192" s="11" t="s">
        <v>159</v>
      </c>
      <c r="D192" s="12" t="s">
        <v>158</v>
      </c>
      <c r="E192" s="11" t="s">
        <v>159</v>
      </c>
      <c r="F192" s="13">
        <f>104795+16487</f>
        <v>121282</v>
      </c>
    </row>
    <row r="193" spans="1:6" s="35" customFormat="1" x14ac:dyDescent="0.25">
      <c r="A193" s="16"/>
      <c r="B193" s="10">
        <v>8690411</v>
      </c>
      <c r="C193" s="11" t="s">
        <v>161</v>
      </c>
      <c r="D193" s="12" t="s">
        <v>160</v>
      </c>
      <c r="E193" s="11" t="s">
        <v>161</v>
      </c>
      <c r="F193" s="13">
        <v>61569</v>
      </c>
    </row>
    <row r="194" spans="1:6" s="35" customFormat="1" x14ac:dyDescent="0.25">
      <c r="A194" s="16"/>
      <c r="B194" s="10">
        <v>8690421</v>
      </c>
      <c r="C194" s="11" t="s">
        <v>163</v>
      </c>
      <c r="D194" s="12" t="s">
        <v>162</v>
      </c>
      <c r="E194" s="11" t="s">
        <v>163</v>
      </c>
      <c r="F194" s="13">
        <v>23469</v>
      </c>
    </row>
    <row r="195" spans="1:6" s="35" customFormat="1" x14ac:dyDescent="0.25">
      <c r="A195" s="36"/>
      <c r="B195" s="36"/>
      <c r="D195" s="3"/>
      <c r="E195" s="2"/>
      <c r="F195" s="37">
        <f>SUM(F184:F194)</f>
        <v>1476047</v>
      </c>
    </row>
    <row r="196" spans="1:6" s="35" customFormat="1" ht="6" customHeight="1" x14ac:dyDescent="0.25">
      <c r="A196" s="36"/>
      <c r="B196" s="36"/>
      <c r="D196" s="3"/>
      <c r="E196" s="2"/>
      <c r="F196" s="5"/>
    </row>
    <row r="197" spans="1:6" s="35" customFormat="1" x14ac:dyDescent="0.25">
      <c r="A197" s="38" t="s">
        <v>79</v>
      </c>
      <c r="B197" s="36"/>
      <c r="D197" s="3"/>
      <c r="E197" s="2"/>
      <c r="F197" s="5"/>
    </row>
    <row r="198" spans="1:6" s="35" customFormat="1" x14ac:dyDescent="0.25">
      <c r="A198" s="16">
        <v>2</v>
      </c>
      <c r="B198" s="10">
        <v>9990001</v>
      </c>
      <c r="C198" s="11" t="s">
        <v>81</v>
      </c>
      <c r="D198" s="12" t="s">
        <v>9</v>
      </c>
      <c r="E198" s="17" t="s">
        <v>10</v>
      </c>
      <c r="F198" s="13">
        <f>406932+1012+7332+50+165</f>
        <v>415491</v>
      </c>
    </row>
    <row r="199" spans="1:6" s="35" customFormat="1" x14ac:dyDescent="0.25">
      <c r="A199" s="16"/>
      <c r="B199" s="10">
        <v>8621011</v>
      </c>
      <c r="C199" s="11" t="s">
        <v>143</v>
      </c>
      <c r="D199" s="12" t="s">
        <v>142</v>
      </c>
      <c r="E199" s="11" t="s">
        <v>143</v>
      </c>
      <c r="F199" s="13">
        <f>3282+39457</f>
        <v>42739</v>
      </c>
    </row>
    <row r="200" spans="1:6" s="35" customFormat="1" x14ac:dyDescent="0.25">
      <c r="A200" s="16"/>
      <c r="B200" s="10">
        <v>8621021</v>
      </c>
      <c r="C200" s="11" t="s">
        <v>145</v>
      </c>
      <c r="D200" s="12" t="s">
        <v>144</v>
      </c>
      <c r="E200" s="11" t="s">
        <v>145</v>
      </c>
      <c r="F200" s="13">
        <f>21041+10415</f>
        <v>31456</v>
      </c>
    </row>
    <row r="201" spans="1:6" s="35" customFormat="1" x14ac:dyDescent="0.25">
      <c r="A201" s="16"/>
      <c r="B201" s="10">
        <v>8622111</v>
      </c>
      <c r="C201" s="11" t="s">
        <v>147</v>
      </c>
      <c r="D201" s="12" t="s">
        <v>146</v>
      </c>
      <c r="E201" s="11" t="s">
        <v>147</v>
      </c>
      <c r="F201" s="13">
        <f>49322+484488+97896+12171</f>
        <v>643877</v>
      </c>
    </row>
    <row r="202" spans="1:6" s="35" customFormat="1" x14ac:dyDescent="0.25">
      <c r="A202" s="16"/>
      <c r="B202" s="10">
        <v>8622131</v>
      </c>
      <c r="C202" s="11" t="s">
        <v>149</v>
      </c>
      <c r="D202" s="12" t="s">
        <v>148</v>
      </c>
      <c r="E202" s="11" t="s">
        <v>149</v>
      </c>
      <c r="F202" s="13">
        <f>683+3968</f>
        <v>4651</v>
      </c>
    </row>
    <row r="203" spans="1:6" s="35" customFormat="1" x14ac:dyDescent="0.25">
      <c r="A203" s="16"/>
      <c r="B203" s="10">
        <v>8622201</v>
      </c>
      <c r="C203" s="11" t="s">
        <v>151</v>
      </c>
      <c r="D203" s="12" t="s">
        <v>150</v>
      </c>
      <c r="E203" s="11" t="s">
        <v>151</v>
      </c>
      <c r="F203" s="13">
        <f>1726+60887</f>
        <v>62613</v>
      </c>
    </row>
    <row r="204" spans="1:6" s="35" customFormat="1" x14ac:dyDescent="0.25">
      <c r="A204" s="16"/>
      <c r="B204" s="10">
        <v>8622311</v>
      </c>
      <c r="C204" s="11" t="s">
        <v>153</v>
      </c>
      <c r="D204" s="12" t="s">
        <v>152</v>
      </c>
      <c r="E204" s="11" t="s">
        <v>153</v>
      </c>
      <c r="F204" s="13">
        <v>38000</v>
      </c>
    </row>
    <row r="205" spans="1:6" s="35" customFormat="1" x14ac:dyDescent="0.25">
      <c r="A205" s="16"/>
      <c r="B205" s="10">
        <v>8623031</v>
      </c>
      <c r="C205" s="11" t="s">
        <v>155</v>
      </c>
      <c r="D205" s="12" t="s">
        <v>154</v>
      </c>
      <c r="E205" s="11" t="s">
        <v>155</v>
      </c>
      <c r="F205" s="13">
        <f>600+22327</f>
        <v>22927</v>
      </c>
    </row>
    <row r="206" spans="1:6" s="35" customFormat="1" x14ac:dyDescent="0.25">
      <c r="A206" s="16"/>
      <c r="B206" s="10">
        <v>8690311</v>
      </c>
      <c r="C206" s="11" t="s">
        <v>157</v>
      </c>
      <c r="D206" s="12" t="s">
        <v>156</v>
      </c>
      <c r="E206" s="11" t="s">
        <v>157</v>
      </c>
      <c r="F206" s="13">
        <f>8731+59447</f>
        <v>68178</v>
      </c>
    </row>
    <row r="207" spans="1:6" s="35" customFormat="1" x14ac:dyDescent="0.25">
      <c r="A207" s="16"/>
      <c r="B207" s="10">
        <v>8690321</v>
      </c>
      <c r="C207" s="11" t="s">
        <v>159</v>
      </c>
      <c r="D207" s="12" t="s">
        <v>158</v>
      </c>
      <c r="E207" s="11" t="s">
        <v>159</v>
      </c>
      <c r="F207" s="13">
        <f>8096+81289</f>
        <v>89385</v>
      </c>
    </row>
    <row r="208" spans="1:6" s="35" customFormat="1" x14ac:dyDescent="0.25">
      <c r="A208" s="16"/>
      <c r="B208" s="10">
        <v>8690411</v>
      </c>
      <c r="C208" s="11" t="s">
        <v>161</v>
      </c>
      <c r="D208" s="12" t="s">
        <v>160</v>
      </c>
      <c r="E208" s="11" t="s">
        <v>161</v>
      </c>
      <c r="F208" s="13">
        <v>40975</v>
      </c>
    </row>
    <row r="209" spans="1:6" s="35" customFormat="1" x14ac:dyDescent="0.25">
      <c r="A209" s="16"/>
      <c r="B209" s="10">
        <v>8690421</v>
      </c>
      <c r="C209" s="11" t="s">
        <v>163</v>
      </c>
      <c r="D209" s="12" t="s">
        <v>162</v>
      </c>
      <c r="E209" s="11" t="s">
        <v>163</v>
      </c>
      <c r="F209" s="13">
        <v>15755</v>
      </c>
    </row>
    <row r="210" spans="1:6" s="35" customFormat="1" x14ac:dyDescent="0.25">
      <c r="A210" s="36"/>
      <c r="B210" s="36"/>
      <c r="D210" s="3"/>
      <c r="E210" s="2"/>
      <c r="F210" s="37">
        <f>SUM(F198:F209)</f>
        <v>1476047</v>
      </c>
    </row>
    <row r="211" spans="1:6" s="35" customFormat="1" ht="6.75" customHeight="1" x14ac:dyDescent="0.25">
      <c r="A211" s="36"/>
      <c r="B211" s="36"/>
      <c r="D211" s="3"/>
      <c r="E211" s="2"/>
      <c r="F211" s="5"/>
    </row>
    <row r="212" spans="1:6" s="35" customFormat="1" x14ac:dyDescent="0.25">
      <c r="A212" s="63" t="s">
        <v>112</v>
      </c>
      <c r="B212" s="63"/>
      <c r="C212" s="63"/>
      <c r="D212" s="63"/>
      <c r="E212" s="2"/>
      <c r="F212" s="5"/>
    </row>
    <row r="213" spans="1:6" s="35" customFormat="1" x14ac:dyDescent="0.25">
      <c r="A213" s="7" t="s">
        <v>80</v>
      </c>
      <c r="B213" s="36"/>
      <c r="D213" s="3"/>
      <c r="E213" s="2"/>
      <c r="F213" s="5"/>
    </row>
    <row r="214" spans="1:6" s="35" customFormat="1" x14ac:dyDescent="0.25">
      <c r="A214" s="16">
        <v>3</v>
      </c>
      <c r="B214" s="10">
        <v>8424211</v>
      </c>
      <c r="C214" s="11" t="s">
        <v>141</v>
      </c>
      <c r="D214" s="39" t="s">
        <v>114</v>
      </c>
      <c r="E214" s="11" t="s">
        <v>141</v>
      </c>
      <c r="F214" s="40">
        <f>429771+14210+5104+80+413</f>
        <v>449578</v>
      </c>
    </row>
    <row r="215" spans="1:6" s="35" customFormat="1" x14ac:dyDescent="0.25">
      <c r="A215" s="16"/>
      <c r="B215" s="10">
        <v>5220031</v>
      </c>
      <c r="C215" s="11" t="s">
        <v>16</v>
      </c>
      <c r="D215" s="39" t="s">
        <v>15</v>
      </c>
      <c r="E215" s="11" t="s">
        <v>16</v>
      </c>
      <c r="F215" s="40">
        <f>628779+20790+20000+80+414</f>
        <v>670063</v>
      </c>
    </row>
    <row r="216" spans="1:6" s="35" customFormat="1" x14ac:dyDescent="0.25">
      <c r="A216" s="36"/>
      <c r="B216" s="32"/>
      <c r="C216" s="14"/>
      <c r="D216" s="41"/>
      <c r="E216" s="14"/>
      <c r="F216" s="42">
        <f>SUM(F214:F215)</f>
        <v>1119641</v>
      </c>
    </row>
    <row r="217" spans="1:6" s="35" customFormat="1" x14ac:dyDescent="0.25">
      <c r="A217" s="36"/>
      <c r="B217" s="32"/>
      <c r="C217" s="14"/>
      <c r="D217" s="41"/>
      <c r="E217" s="14"/>
      <c r="F217" s="15"/>
    </row>
    <row r="218" spans="1:6" s="35" customFormat="1" x14ac:dyDescent="0.25">
      <c r="A218" s="38" t="s">
        <v>79</v>
      </c>
      <c r="B218" s="36"/>
      <c r="D218" s="3"/>
      <c r="E218" s="2"/>
      <c r="F218" s="5"/>
    </row>
    <row r="219" spans="1:6" s="35" customFormat="1" x14ac:dyDescent="0.25">
      <c r="A219" s="16">
        <v>3</v>
      </c>
      <c r="B219" s="10">
        <v>8424211</v>
      </c>
      <c r="C219" s="11" t="s">
        <v>141</v>
      </c>
      <c r="D219" s="39" t="s">
        <v>114</v>
      </c>
      <c r="E219" s="11" t="s">
        <v>141</v>
      </c>
      <c r="F219" s="43">
        <f>178640+5104</f>
        <v>183744</v>
      </c>
    </row>
    <row r="220" spans="1:6" s="35" customFormat="1" x14ac:dyDescent="0.25">
      <c r="A220" s="16"/>
      <c r="B220" s="10">
        <v>5220031</v>
      </c>
      <c r="C220" s="11" t="s">
        <v>16</v>
      </c>
      <c r="D220" s="39" t="s">
        <v>15</v>
      </c>
      <c r="E220" s="11" t="s">
        <v>16</v>
      </c>
      <c r="F220" s="43">
        <f>261360+20000</f>
        <v>281360</v>
      </c>
    </row>
    <row r="221" spans="1:6" s="35" customFormat="1" x14ac:dyDescent="0.25">
      <c r="A221" s="16"/>
      <c r="B221" s="10">
        <v>999001</v>
      </c>
      <c r="C221" s="40" t="s">
        <v>78</v>
      </c>
      <c r="D221" s="39" t="s">
        <v>9</v>
      </c>
      <c r="E221" s="11" t="s">
        <v>10</v>
      </c>
      <c r="F221" s="40">
        <f>618550+35000+987</f>
        <v>654537</v>
      </c>
    </row>
    <row r="222" spans="1:6" s="35" customFormat="1" x14ac:dyDescent="0.25">
      <c r="A222" s="36"/>
      <c r="B222" s="36"/>
      <c r="D222" s="3"/>
      <c r="E222" s="2"/>
      <c r="F222" s="37">
        <f>SUM(F219:F221)</f>
        <v>1119641</v>
      </c>
    </row>
    <row r="223" spans="1:6" s="35" customFormat="1" ht="8.25" customHeight="1" x14ac:dyDescent="0.25">
      <c r="A223" s="36"/>
      <c r="B223" s="36"/>
      <c r="D223" s="3"/>
      <c r="E223" s="2"/>
      <c r="F223" s="5"/>
    </row>
    <row r="224" spans="1:6" x14ac:dyDescent="0.25">
      <c r="A224" s="62" t="s">
        <v>111</v>
      </c>
      <c r="B224" s="62"/>
      <c r="C224" s="62"/>
      <c r="D224" s="62"/>
    </row>
    <row r="225" spans="1:6" ht="6" customHeight="1" x14ac:dyDescent="0.25"/>
    <row r="226" spans="1:6" x14ac:dyDescent="0.25">
      <c r="A226" s="7" t="s">
        <v>80</v>
      </c>
      <c r="D226" s="44"/>
    </row>
    <row r="227" spans="1:6" x14ac:dyDescent="0.25">
      <c r="A227" s="10">
        <v>4001</v>
      </c>
      <c r="B227" s="10">
        <v>8110001</v>
      </c>
      <c r="C227" s="11" t="s">
        <v>74</v>
      </c>
      <c r="D227" s="12" t="s">
        <v>0</v>
      </c>
      <c r="E227" s="17" t="s">
        <v>1</v>
      </c>
      <c r="F227" s="13">
        <v>13000</v>
      </c>
    </row>
    <row r="228" spans="1:6" x14ac:dyDescent="0.25">
      <c r="A228" s="10"/>
      <c r="B228" s="10">
        <v>9990001</v>
      </c>
      <c r="C228" s="11" t="s">
        <v>81</v>
      </c>
      <c r="D228" s="12" t="s">
        <v>0</v>
      </c>
      <c r="E228" s="17" t="s">
        <v>1</v>
      </c>
      <c r="F228" s="13">
        <f>2465632-2000-13000-235999-2550+287+1613+1822-21321-21024+250+1168+10003+1000</f>
        <v>2185881</v>
      </c>
    </row>
    <row r="229" spans="1:6" x14ac:dyDescent="0.25">
      <c r="A229" s="10"/>
      <c r="B229" s="10">
        <v>9004001</v>
      </c>
      <c r="C229" s="11" t="s">
        <v>82</v>
      </c>
      <c r="D229" s="12" t="s">
        <v>6</v>
      </c>
      <c r="E229" s="17" t="s">
        <v>7</v>
      </c>
      <c r="F229" s="13">
        <v>2000</v>
      </c>
    </row>
    <row r="230" spans="1:6" x14ac:dyDescent="0.25">
      <c r="A230" s="10">
        <v>4002</v>
      </c>
      <c r="B230" s="10">
        <v>9990001</v>
      </c>
      <c r="C230" s="11" t="s">
        <v>81</v>
      </c>
      <c r="D230" s="12" t="s">
        <v>0</v>
      </c>
      <c r="E230" s="17" t="s">
        <v>1</v>
      </c>
      <c r="F230" s="13">
        <f>235999+53688+28151</f>
        <v>317838</v>
      </c>
    </row>
    <row r="231" spans="1:6" s="35" customFormat="1" x14ac:dyDescent="0.25">
      <c r="A231" s="16">
        <v>4003</v>
      </c>
      <c r="B231" s="10">
        <v>9990001</v>
      </c>
      <c r="C231" s="11" t="s">
        <v>81</v>
      </c>
      <c r="D231" s="12" t="s">
        <v>0</v>
      </c>
      <c r="E231" s="17" t="s">
        <v>1</v>
      </c>
      <c r="F231" s="13">
        <v>2550</v>
      </c>
    </row>
    <row r="232" spans="1:6" s="35" customFormat="1" x14ac:dyDescent="0.25">
      <c r="A232" s="45"/>
      <c r="B232" s="32"/>
      <c r="C232" s="14"/>
      <c r="D232" s="33"/>
      <c r="E232" s="18"/>
      <c r="F232" s="24">
        <f>SUM(F227:F231)</f>
        <v>2521269</v>
      </c>
    </row>
    <row r="233" spans="1:6" s="35" customFormat="1" ht="8.25" customHeight="1" x14ac:dyDescent="0.25">
      <c r="A233" s="45"/>
      <c r="B233" s="32"/>
      <c r="C233" s="14"/>
      <c r="D233" s="33"/>
      <c r="E233" s="18"/>
    </row>
    <row r="234" spans="1:6" s="35" customFormat="1" ht="8.25" customHeight="1" x14ac:dyDescent="0.25">
      <c r="A234" s="36"/>
      <c r="B234" s="36"/>
      <c r="D234" s="33"/>
      <c r="E234" s="18"/>
      <c r="F234" s="5"/>
    </row>
    <row r="235" spans="1:6" s="35" customFormat="1" x14ac:dyDescent="0.25">
      <c r="A235" s="38" t="s">
        <v>79</v>
      </c>
      <c r="B235" s="36"/>
      <c r="D235" s="33"/>
      <c r="E235" s="18"/>
      <c r="F235" s="5"/>
    </row>
    <row r="236" spans="1:6" x14ac:dyDescent="0.25">
      <c r="A236" s="10">
        <v>4001</v>
      </c>
      <c r="B236" s="10">
        <v>9990001</v>
      </c>
      <c r="C236" s="11" t="s">
        <v>81</v>
      </c>
      <c r="D236" s="12" t="s">
        <v>9</v>
      </c>
      <c r="E236" s="17" t="s">
        <v>10</v>
      </c>
      <c r="F236" s="13">
        <f>2407012-235999-2550+287+1613+1822-21321-21024+250+1168+10003+1000</f>
        <v>2142261</v>
      </c>
    </row>
    <row r="237" spans="1:6" x14ac:dyDescent="0.25">
      <c r="A237" s="10"/>
      <c r="B237" s="10">
        <v>9990001</v>
      </c>
      <c r="C237" s="11" t="s">
        <v>81</v>
      </c>
      <c r="D237" s="12" t="s">
        <v>0</v>
      </c>
      <c r="E237" s="17" t="s">
        <v>1</v>
      </c>
      <c r="F237" s="13">
        <f>58620+81839</f>
        <v>140459</v>
      </c>
    </row>
    <row r="238" spans="1:6" x14ac:dyDescent="0.25">
      <c r="A238" s="10">
        <v>4002</v>
      </c>
      <c r="B238" s="10">
        <v>9990001</v>
      </c>
      <c r="C238" s="11" t="s">
        <v>81</v>
      </c>
      <c r="D238" s="12" t="s">
        <v>9</v>
      </c>
      <c r="E238" s="17" t="s">
        <v>10</v>
      </c>
      <c r="F238" s="13">
        <v>235999</v>
      </c>
    </row>
    <row r="239" spans="1:6" x14ac:dyDescent="0.25">
      <c r="A239" s="10">
        <v>4003</v>
      </c>
      <c r="B239" s="10">
        <v>9990001</v>
      </c>
      <c r="C239" s="11" t="s">
        <v>81</v>
      </c>
      <c r="D239" s="12" t="s">
        <v>9</v>
      </c>
      <c r="E239" s="17" t="s">
        <v>10</v>
      </c>
      <c r="F239" s="13">
        <v>2550</v>
      </c>
    </row>
    <row r="240" spans="1:6" x14ac:dyDescent="0.25">
      <c r="D240" s="33"/>
      <c r="E240" s="18"/>
      <c r="F240" s="46">
        <f>SUM(F236:F239)</f>
        <v>2521269</v>
      </c>
    </row>
    <row r="241" spans="1:6" ht="8.25" customHeight="1" thickBot="1" x14ac:dyDescent="0.3">
      <c r="D241" s="33"/>
      <c r="E241" s="18"/>
      <c r="F241" s="46"/>
    </row>
    <row r="242" spans="1:6" ht="16.5" thickBot="1" x14ac:dyDescent="0.3">
      <c r="A242" s="56" t="s">
        <v>175</v>
      </c>
      <c r="B242" s="57"/>
      <c r="C242" s="57"/>
      <c r="D242" s="57"/>
      <c r="E242" s="57"/>
      <c r="F242" s="54">
        <f>+F195+F216+F232</f>
        <v>5116957</v>
      </c>
    </row>
    <row r="243" spans="1:6" ht="16.5" thickBot="1" x14ac:dyDescent="0.3">
      <c r="A243" s="56" t="s">
        <v>176</v>
      </c>
      <c r="B243" s="57"/>
      <c r="C243" s="57"/>
      <c r="D243" s="57"/>
      <c r="E243" s="57"/>
      <c r="F243" s="54">
        <f>+F210+F222+F240</f>
        <v>5116957</v>
      </c>
    </row>
    <row r="244" spans="1:6" ht="6.75" customHeight="1" x14ac:dyDescent="0.25">
      <c r="D244" s="44"/>
    </row>
    <row r="245" spans="1:6" x14ac:dyDescent="0.25">
      <c r="A245" s="60" t="s">
        <v>116</v>
      </c>
      <c r="B245" s="60"/>
      <c r="C245" s="60"/>
      <c r="D245" s="60"/>
      <c r="E245" s="60"/>
      <c r="F245" s="60"/>
    </row>
    <row r="246" spans="1:6" ht="8.25" customHeight="1" x14ac:dyDescent="0.25">
      <c r="A246" s="47"/>
      <c r="B246" s="47"/>
      <c r="C246" s="47"/>
      <c r="D246" s="47"/>
      <c r="E246" s="47"/>
      <c r="F246" s="47"/>
    </row>
    <row r="247" spans="1:6" x14ac:dyDescent="0.25">
      <c r="A247" s="7" t="s">
        <v>80</v>
      </c>
      <c r="D247" s="44"/>
    </row>
    <row r="248" spans="1:6" x14ac:dyDescent="0.25">
      <c r="A248" s="10">
        <v>5001</v>
      </c>
      <c r="B248" s="10">
        <v>8891011</v>
      </c>
      <c r="C248" s="11" t="s">
        <v>117</v>
      </c>
      <c r="D248" s="12" t="s">
        <v>48</v>
      </c>
      <c r="E248" s="11" t="s">
        <v>49</v>
      </c>
      <c r="F248" s="40">
        <f>143953+294+2098+3886+3298</f>
        <v>153529</v>
      </c>
    </row>
    <row r="249" spans="1:6" x14ac:dyDescent="0.25">
      <c r="A249" s="10"/>
      <c r="B249" s="10">
        <v>8891031</v>
      </c>
      <c r="C249" s="11" t="s">
        <v>140</v>
      </c>
      <c r="D249" s="12" t="s">
        <v>118</v>
      </c>
      <c r="E249" s="11" t="s">
        <v>139</v>
      </c>
      <c r="F249" s="40">
        <f>12518+3410</f>
        <v>15928</v>
      </c>
    </row>
    <row r="250" spans="1:6" x14ac:dyDescent="0.25">
      <c r="A250" s="19"/>
      <c r="B250" s="19"/>
      <c r="C250" s="20"/>
      <c r="D250" s="21"/>
      <c r="E250" s="20"/>
      <c r="F250" s="48">
        <f>SUM(F248:F249)</f>
        <v>169457</v>
      </c>
    </row>
    <row r="251" spans="1:6" x14ac:dyDescent="0.25">
      <c r="A251" s="49" t="s">
        <v>79</v>
      </c>
      <c r="B251" s="32"/>
      <c r="C251" s="14"/>
      <c r="D251" s="33"/>
      <c r="E251" s="14"/>
      <c r="F251" s="15"/>
    </row>
    <row r="252" spans="1:6" x14ac:dyDescent="0.25">
      <c r="A252" s="10">
        <v>5001</v>
      </c>
      <c r="B252" s="10">
        <v>9990001</v>
      </c>
      <c r="C252" s="11" t="s">
        <v>81</v>
      </c>
      <c r="D252" s="12" t="s">
        <v>9</v>
      </c>
      <c r="E252" s="17" t="s">
        <v>10</v>
      </c>
      <c r="F252" s="40">
        <f>148871+294+2098+3886+3298</f>
        <v>158447</v>
      </c>
    </row>
    <row r="253" spans="1:6" x14ac:dyDescent="0.25">
      <c r="A253" s="50"/>
      <c r="B253" s="10">
        <v>8891031</v>
      </c>
      <c r="C253" s="11" t="s">
        <v>140</v>
      </c>
      <c r="D253" s="12" t="s">
        <v>118</v>
      </c>
      <c r="E253" s="11" t="s">
        <v>139</v>
      </c>
      <c r="F253" s="40">
        <f>156471-148871+3410</f>
        <v>11010</v>
      </c>
    </row>
    <row r="254" spans="1:6" x14ac:dyDescent="0.25">
      <c r="A254" s="49"/>
      <c r="B254" s="32"/>
      <c r="C254" s="14"/>
      <c r="D254" s="33"/>
      <c r="E254" s="14"/>
      <c r="F254" s="42">
        <f>SUM(F252:F253)</f>
        <v>169457</v>
      </c>
    </row>
    <row r="255" spans="1:6" ht="7.5" customHeight="1" x14ac:dyDescent="0.25">
      <c r="A255" s="49"/>
      <c r="B255" s="32"/>
      <c r="C255" s="14"/>
      <c r="D255" s="33"/>
      <c r="E255" s="14"/>
      <c r="F255" s="15"/>
    </row>
    <row r="256" spans="1:6" x14ac:dyDescent="0.25">
      <c r="A256" s="7" t="s">
        <v>80</v>
      </c>
      <c r="B256" s="25"/>
      <c r="C256" s="26"/>
      <c r="D256" s="27"/>
      <c r="E256" s="26"/>
      <c r="F256" s="51"/>
    </row>
    <row r="257" spans="1:6" x14ac:dyDescent="0.25">
      <c r="A257" s="10">
        <v>5002</v>
      </c>
      <c r="B257" s="10">
        <v>8810111</v>
      </c>
      <c r="C257" s="11" t="s">
        <v>124</v>
      </c>
      <c r="D257" s="12" t="s">
        <v>125</v>
      </c>
      <c r="E257" s="11" t="s">
        <v>126</v>
      </c>
      <c r="F257" s="40">
        <f>169961+247+1298+9186</f>
        <v>180692</v>
      </c>
    </row>
    <row r="258" spans="1:6" x14ac:dyDescent="0.25">
      <c r="A258" s="10"/>
      <c r="B258" s="10">
        <v>8899221</v>
      </c>
      <c r="C258" s="11" t="s">
        <v>103</v>
      </c>
      <c r="D258" s="12" t="s">
        <v>127</v>
      </c>
      <c r="E258" s="11" t="s">
        <v>103</v>
      </c>
      <c r="F258" s="40">
        <v>90980</v>
      </c>
    </row>
    <row r="259" spans="1:6" x14ac:dyDescent="0.25">
      <c r="A259" s="10"/>
      <c r="B259" s="10">
        <v>8730121</v>
      </c>
      <c r="C259" s="11" t="s">
        <v>128</v>
      </c>
      <c r="D259" s="12" t="s">
        <v>129</v>
      </c>
      <c r="E259" s="11" t="s">
        <v>130</v>
      </c>
      <c r="F259" s="40">
        <f>42240+8370+230+457</f>
        <v>51297</v>
      </c>
    </row>
    <row r="260" spans="1:6" x14ac:dyDescent="0.25">
      <c r="A260" s="10"/>
      <c r="B260" s="10">
        <v>8899241</v>
      </c>
      <c r="C260" s="11" t="s">
        <v>63</v>
      </c>
      <c r="D260" s="12" t="s">
        <v>62</v>
      </c>
      <c r="E260" s="11" t="s">
        <v>63</v>
      </c>
      <c r="F260" s="40">
        <v>198705</v>
      </c>
    </row>
    <row r="261" spans="1:6" x14ac:dyDescent="0.25">
      <c r="A261" s="10"/>
      <c r="B261" s="10">
        <v>8899261</v>
      </c>
      <c r="C261" s="11" t="s">
        <v>131</v>
      </c>
      <c r="D261" s="12" t="s">
        <v>132</v>
      </c>
      <c r="E261" s="11" t="s">
        <v>133</v>
      </c>
      <c r="F261" s="40">
        <v>11697</v>
      </c>
    </row>
    <row r="262" spans="1:6" x14ac:dyDescent="0.25">
      <c r="A262" s="16"/>
      <c r="B262" s="16">
        <v>8899231</v>
      </c>
      <c r="C262" s="17" t="s">
        <v>134</v>
      </c>
      <c r="D262" s="12" t="s">
        <v>135</v>
      </c>
      <c r="E262" s="17" t="s">
        <v>134</v>
      </c>
      <c r="F262" s="13">
        <v>4549</v>
      </c>
    </row>
    <row r="263" spans="1:6" x14ac:dyDescent="0.25">
      <c r="A263" s="10"/>
      <c r="B263" s="10">
        <v>8899211</v>
      </c>
      <c r="C263" s="11" t="s">
        <v>102</v>
      </c>
      <c r="D263" s="12" t="s">
        <v>136</v>
      </c>
      <c r="E263" s="11" t="s">
        <v>102</v>
      </c>
      <c r="F263" s="40">
        <f>120754+9422</f>
        <v>130176</v>
      </c>
    </row>
    <row r="264" spans="1:6" x14ac:dyDescent="0.25">
      <c r="A264" s="16"/>
      <c r="B264" s="16">
        <v>9990001</v>
      </c>
      <c r="C264" s="11" t="s">
        <v>78</v>
      </c>
      <c r="D264" s="12" t="s">
        <v>137</v>
      </c>
      <c r="E264" s="17" t="s">
        <v>138</v>
      </c>
      <c r="F264" s="13">
        <f>10965+4933+1800</f>
        <v>17698</v>
      </c>
    </row>
    <row r="265" spans="1:6" x14ac:dyDescent="0.25">
      <c r="A265" s="30"/>
      <c r="B265" s="30"/>
      <c r="C265" s="20"/>
      <c r="D265" s="21"/>
      <c r="E265" s="22"/>
      <c r="F265" s="31">
        <f>SUM(F257:F264)</f>
        <v>685794</v>
      </c>
    </row>
    <row r="266" spans="1:6" x14ac:dyDescent="0.25">
      <c r="A266" s="49" t="s">
        <v>79</v>
      </c>
      <c r="B266" s="32"/>
      <c r="C266" s="14"/>
      <c r="D266" s="33"/>
      <c r="E266" s="14"/>
      <c r="F266" s="15"/>
    </row>
    <row r="267" spans="1:6" x14ac:dyDescent="0.25">
      <c r="A267" s="10">
        <v>5002</v>
      </c>
      <c r="B267" s="10">
        <v>9990001</v>
      </c>
      <c r="C267" s="11" t="s">
        <v>81</v>
      </c>
      <c r="D267" s="12" t="s">
        <v>9</v>
      </c>
      <c r="E267" s="17" t="s">
        <v>10</v>
      </c>
      <c r="F267" s="40">
        <f>589346+247+1298+9186+8370+230+1800+457</f>
        <v>610934</v>
      </c>
    </row>
    <row r="268" spans="1:6" x14ac:dyDescent="0.25">
      <c r="A268" s="50"/>
      <c r="B268" s="10">
        <v>8730121</v>
      </c>
      <c r="C268" s="11" t="s">
        <v>128</v>
      </c>
      <c r="D268" s="12" t="s">
        <v>129</v>
      </c>
      <c r="E268" s="11" t="s">
        <v>130</v>
      </c>
      <c r="F268" s="40">
        <v>9369</v>
      </c>
    </row>
    <row r="269" spans="1:6" x14ac:dyDescent="0.25">
      <c r="A269" s="50"/>
      <c r="B269" s="10">
        <v>8899221</v>
      </c>
      <c r="C269" s="11" t="s">
        <v>103</v>
      </c>
      <c r="D269" s="12" t="s">
        <v>127</v>
      </c>
      <c r="E269" s="11" t="s">
        <v>103</v>
      </c>
      <c r="F269" s="40">
        <v>13177</v>
      </c>
    </row>
    <row r="270" spans="1:6" x14ac:dyDescent="0.25">
      <c r="A270" s="50"/>
      <c r="B270" s="10">
        <v>8730121</v>
      </c>
      <c r="C270" s="11" t="s">
        <v>128</v>
      </c>
      <c r="D270" s="12" t="s">
        <v>129</v>
      </c>
      <c r="E270" s="11" t="s">
        <v>130</v>
      </c>
      <c r="F270" s="40">
        <v>10319</v>
      </c>
    </row>
    <row r="271" spans="1:6" x14ac:dyDescent="0.25">
      <c r="A271" s="50"/>
      <c r="B271" s="10">
        <v>8899211</v>
      </c>
      <c r="C271" s="11" t="s">
        <v>102</v>
      </c>
      <c r="D271" s="12" t="s">
        <v>136</v>
      </c>
      <c r="E271" s="11" t="s">
        <v>102</v>
      </c>
      <c r="F271" s="40">
        <f>22395+9422</f>
        <v>31817</v>
      </c>
    </row>
    <row r="272" spans="1:6" x14ac:dyDescent="0.25">
      <c r="A272" s="50"/>
      <c r="B272" s="16">
        <v>9990001</v>
      </c>
      <c r="C272" s="11" t="s">
        <v>78</v>
      </c>
      <c r="D272" s="12" t="s">
        <v>137</v>
      </c>
      <c r="E272" s="17" t="s">
        <v>138</v>
      </c>
      <c r="F272" s="40">
        <f>5245+4933</f>
        <v>10178</v>
      </c>
    </row>
    <row r="273" spans="1:6" x14ac:dyDescent="0.25">
      <c r="A273" s="45"/>
      <c r="B273" s="45"/>
      <c r="C273" s="14"/>
      <c r="D273" s="33"/>
      <c r="E273" s="18"/>
      <c r="F273" s="24">
        <f>SUM(F267:F272)</f>
        <v>685794</v>
      </c>
    </row>
    <row r="274" spans="1:6" ht="7.5" customHeight="1" x14ac:dyDescent="0.25">
      <c r="A274" s="45"/>
      <c r="B274" s="45"/>
      <c r="C274" s="14"/>
      <c r="D274" s="33"/>
      <c r="E274" s="18"/>
      <c r="F274" s="34"/>
    </row>
    <row r="275" spans="1:6" x14ac:dyDescent="0.25">
      <c r="A275" s="52" t="s">
        <v>80</v>
      </c>
      <c r="B275" s="25"/>
      <c r="C275" s="26"/>
      <c r="D275" s="27"/>
      <c r="E275" s="26"/>
      <c r="F275" s="51"/>
    </row>
    <row r="276" spans="1:6" x14ac:dyDescent="0.25">
      <c r="A276" s="10">
        <v>5003</v>
      </c>
      <c r="B276" s="10">
        <v>9990001</v>
      </c>
      <c r="C276" s="11" t="s">
        <v>78</v>
      </c>
      <c r="D276" s="12" t="s">
        <v>119</v>
      </c>
      <c r="E276" s="11" t="s">
        <v>120</v>
      </c>
      <c r="F276" s="40">
        <f>108918+21+123+1334+3500</f>
        <v>113896</v>
      </c>
    </row>
    <row r="277" spans="1:6" x14ac:dyDescent="0.25">
      <c r="A277" s="10"/>
      <c r="B277" s="10">
        <v>9990001</v>
      </c>
      <c r="C277" s="11" t="s">
        <v>78</v>
      </c>
      <c r="D277" s="12" t="s">
        <v>121</v>
      </c>
      <c r="E277" s="11" t="s">
        <v>122</v>
      </c>
      <c r="F277" s="40">
        <f>8540+989+1707</f>
        <v>11236</v>
      </c>
    </row>
    <row r="278" spans="1:6" x14ac:dyDescent="0.25">
      <c r="A278" s="10"/>
      <c r="B278" s="10">
        <v>5629121</v>
      </c>
      <c r="C278" s="11" t="s">
        <v>123</v>
      </c>
      <c r="D278" s="12" t="s">
        <v>105</v>
      </c>
      <c r="E278" s="17" t="s">
        <v>104</v>
      </c>
      <c r="F278" s="40">
        <f>17619+2384</f>
        <v>20003</v>
      </c>
    </row>
    <row r="279" spans="1:6" x14ac:dyDescent="0.25">
      <c r="A279" s="19"/>
      <c r="B279" s="19"/>
      <c r="C279" s="20"/>
      <c r="D279" s="21"/>
      <c r="E279" s="20"/>
      <c r="F279" s="48">
        <f>SUM(F276:F278)</f>
        <v>145135</v>
      </c>
    </row>
    <row r="280" spans="1:6" x14ac:dyDescent="0.25">
      <c r="A280" s="49" t="s">
        <v>79</v>
      </c>
      <c r="B280" s="32"/>
      <c r="C280" s="14"/>
      <c r="D280" s="33"/>
      <c r="E280" s="14"/>
      <c r="F280" s="15"/>
    </row>
    <row r="281" spans="1:6" x14ac:dyDescent="0.25">
      <c r="A281" s="10">
        <v>5003</v>
      </c>
      <c r="B281" s="10">
        <v>9990001</v>
      </c>
      <c r="C281" s="11" t="s">
        <v>81</v>
      </c>
      <c r="D281" s="12" t="s">
        <v>9</v>
      </c>
      <c r="E281" s="17" t="s">
        <v>10</v>
      </c>
      <c r="F281" s="40">
        <f>128377+21+123+1334+3500+989+1707</f>
        <v>136051</v>
      </c>
    </row>
    <row r="282" spans="1:6" x14ac:dyDescent="0.25">
      <c r="A282" s="50"/>
      <c r="B282" s="10">
        <v>5629121</v>
      </c>
      <c r="C282" s="11" t="s">
        <v>123</v>
      </c>
      <c r="D282" s="12" t="s">
        <v>105</v>
      </c>
      <c r="E282" s="17" t="s">
        <v>104</v>
      </c>
      <c r="F282" s="40">
        <f>135077-128377+2384</f>
        <v>9084</v>
      </c>
    </row>
    <row r="283" spans="1:6" x14ac:dyDescent="0.25">
      <c r="A283" s="32"/>
      <c r="B283" s="32"/>
      <c r="C283" s="14"/>
      <c r="D283" s="33"/>
      <c r="E283" s="14"/>
      <c r="F283" s="42">
        <f>SUM(F281:F282)</f>
        <v>145135</v>
      </c>
    </row>
    <row r="284" spans="1:6" ht="6.75" customHeight="1" x14ac:dyDescent="0.25">
      <c r="A284" s="32"/>
      <c r="B284" s="32"/>
      <c r="C284" s="14"/>
      <c r="D284" s="33"/>
      <c r="E284" s="14"/>
      <c r="F284" s="15"/>
    </row>
    <row r="285" spans="1:6" x14ac:dyDescent="0.25">
      <c r="A285" s="52" t="s">
        <v>80</v>
      </c>
      <c r="B285" s="25"/>
      <c r="C285" s="26"/>
      <c r="D285" s="27"/>
      <c r="E285" s="26"/>
      <c r="F285" s="51"/>
    </row>
    <row r="286" spans="1:6" x14ac:dyDescent="0.25">
      <c r="A286" s="10">
        <v>5004</v>
      </c>
      <c r="B286" s="10">
        <v>9990001</v>
      </c>
      <c r="C286" s="11" t="s">
        <v>78</v>
      </c>
      <c r="D286" s="12" t="s">
        <v>119</v>
      </c>
      <c r="E286" s="11" t="s">
        <v>120</v>
      </c>
      <c r="F286" s="40">
        <f>69846+136+684+762</f>
        <v>71428</v>
      </c>
    </row>
    <row r="287" spans="1:6" x14ac:dyDescent="0.25">
      <c r="A287" s="10"/>
      <c r="B287" s="10">
        <v>9990001</v>
      </c>
      <c r="C287" s="11" t="s">
        <v>78</v>
      </c>
      <c r="D287" s="12" t="s">
        <v>121</v>
      </c>
      <c r="E287" s="11" t="s">
        <v>122</v>
      </c>
      <c r="F287" s="40">
        <v>10254</v>
      </c>
    </row>
    <row r="288" spans="1:6" x14ac:dyDescent="0.25">
      <c r="A288" s="10"/>
      <c r="B288" s="10">
        <v>5629121</v>
      </c>
      <c r="C288" s="11" t="s">
        <v>123</v>
      </c>
      <c r="D288" s="12" t="s">
        <v>105</v>
      </c>
      <c r="E288" s="17" t="s">
        <v>104</v>
      </c>
      <c r="F288" s="40">
        <f>12255+1494</f>
        <v>13749</v>
      </c>
    </row>
    <row r="289" spans="1:6" x14ac:dyDescent="0.25">
      <c r="A289" s="19"/>
      <c r="B289" s="19"/>
      <c r="C289" s="20"/>
      <c r="D289" s="21"/>
      <c r="E289" s="22"/>
      <c r="F289" s="48">
        <f>SUM(F286:F288)</f>
        <v>95431</v>
      </c>
    </row>
    <row r="290" spans="1:6" x14ac:dyDescent="0.25">
      <c r="A290" s="49" t="s">
        <v>79</v>
      </c>
      <c r="B290" s="32"/>
      <c r="C290" s="14"/>
      <c r="D290" s="33"/>
      <c r="E290" s="14"/>
      <c r="F290" s="15"/>
    </row>
    <row r="291" spans="1:6" x14ac:dyDescent="0.25">
      <c r="A291" s="10">
        <v>5004</v>
      </c>
      <c r="B291" s="10">
        <v>9990001</v>
      </c>
      <c r="C291" s="11" t="s">
        <v>81</v>
      </c>
      <c r="D291" s="12" t="s">
        <v>9</v>
      </c>
      <c r="E291" s="17" t="s">
        <v>10</v>
      </c>
      <c r="F291" s="40">
        <f>87555+136+684+762</f>
        <v>89137</v>
      </c>
    </row>
    <row r="292" spans="1:6" x14ac:dyDescent="0.25">
      <c r="A292" s="50"/>
      <c r="B292" s="10">
        <v>5629121</v>
      </c>
      <c r="C292" s="11" t="s">
        <v>123</v>
      </c>
      <c r="D292" s="12" t="s">
        <v>105</v>
      </c>
      <c r="E292" s="17" t="s">
        <v>104</v>
      </c>
      <c r="F292" s="40">
        <f>92355-87555+1494</f>
        <v>6294</v>
      </c>
    </row>
    <row r="293" spans="1:6" x14ac:dyDescent="0.25">
      <c r="A293" s="32"/>
      <c r="B293" s="32"/>
      <c r="C293" s="14"/>
      <c r="D293" s="33"/>
      <c r="E293" s="18"/>
      <c r="F293" s="42">
        <f>SUM(F291:F292)</f>
        <v>95431</v>
      </c>
    </row>
    <row r="294" spans="1:6" ht="6" customHeight="1" x14ac:dyDescent="0.25">
      <c r="A294" s="32"/>
      <c r="B294" s="32"/>
      <c r="C294" s="14"/>
      <c r="D294" s="33"/>
      <c r="E294" s="14"/>
      <c r="F294" s="15"/>
    </row>
    <row r="295" spans="1:6" x14ac:dyDescent="0.25">
      <c r="A295" s="52" t="s">
        <v>80</v>
      </c>
      <c r="B295" s="25"/>
      <c r="C295" s="26"/>
      <c r="D295" s="27"/>
      <c r="E295" s="26"/>
      <c r="F295" s="51"/>
    </row>
    <row r="296" spans="1:6" x14ac:dyDescent="0.25">
      <c r="A296" s="10">
        <v>5005</v>
      </c>
      <c r="B296" s="10">
        <v>9990001</v>
      </c>
      <c r="C296" s="11" t="s">
        <v>78</v>
      </c>
      <c r="D296" s="12" t="s">
        <v>119</v>
      </c>
      <c r="E296" s="11" t="s">
        <v>120</v>
      </c>
      <c r="F296" s="40">
        <f>109783+172+965+1143+268</f>
        <v>112331</v>
      </c>
    </row>
    <row r="297" spans="1:6" x14ac:dyDescent="0.25">
      <c r="A297" s="10"/>
      <c r="B297" s="10">
        <v>9990001</v>
      </c>
      <c r="C297" s="11" t="s">
        <v>78</v>
      </c>
      <c r="D297" s="12" t="s">
        <v>121</v>
      </c>
      <c r="E297" s="11" t="s">
        <v>122</v>
      </c>
      <c r="F297" s="40">
        <f>20474+22000</f>
        <v>42474</v>
      </c>
    </row>
    <row r="298" spans="1:6" x14ac:dyDescent="0.25">
      <c r="A298" s="10"/>
      <c r="B298" s="10">
        <v>5629121</v>
      </c>
      <c r="C298" s="11" t="s">
        <v>123</v>
      </c>
      <c r="D298" s="12" t="s">
        <v>105</v>
      </c>
      <c r="E298" s="17" t="s">
        <v>104</v>
      </c>
      <c r="F298" s="40">
        <f>11996+1428</f>
        <v>13424</v>
      </c>
    </row>
    <row r="299" spans="1:6" x14ac:dyDescent="0.25">
      <c r="A299" s="19"/>
      <c r="B299" s="19"/>
      <c r="C299" s="20"/>
      <c r="D299" s="21"/>
      <c r="E299" s="22"/>
      <c r="F299" s="48">
        <f>SUM(F296:F298)</f>
        <v>168229</v>
      </c>
    </row>
    <row r="300" spans="1:6" ht="7.5" customHeight="1" x14ac:dyDescent="0.25">
      <c r="A300" s="32"/>
      <c r="B300" s="32"/>
      <c r="C300" s="14"/>
      <c r="D300" s="33"/>
      <c r="E300" s="14"/>
      <c r="F300" s="15"/>
    </row>
    <row r="301" spans="1:6" x14ac:dyDescent="0.25">
      <c r="A301" s="49" t="s">
        <v>79</v>
      </c>
      <c r="B301" s="32"/>
      <c r="C301" s="14"/>
      <c r="D301" s="33"/>
      <c r="E301" s="14"/>
      <c r="F301" s="15"/>
    </row>
    <row r="302" spans="1:6" x14ac:dyDescent="0.25">
      <c r="A302" s="10">
        <v>5005</v>
      </c>
      <c r="B302" s="10">
        <v>9990001</v>
      </c>
      <c r="C302" s="11" t="s">
        <v>81</v>
      </c>
      <c r="D302" s="12" t="s">
        <v>9</v>
      </c>
      <c r="E302" s="17" t="s">
        <v>10</v>
      </c>
      <c r="F302" s="40">
        <f>135753+172+965+1143+268</f>
        <v>138301</v>
      </c>
    </row>
    <row r="303" spans="1:6" x14ac:dyDescent="0.25">
      <c r="A303" s="50"/>
      <c r="B303" s="10">
        <v>5629121</v>
      </c>
      <c r="C303" s="11" t="s">
        <v>123</v>
      </c>
      <c r="D303" s="12" t="s">
        <v>105</v>
      </c>
      <c r="E303" s="17" t="s">
        <v>104</v>
      </c>
      <c r="F303" s="40">
        <f>142253-135753+1428+22000</f>
        <v>29928</v>
      </c>
    </row>
    <row r="304" spans="1:6" x14ac:dyDescent="0.25">
      <c r="A304" s="32"/>
      <c r="B304" s="32"/>
      <c r="C304" s="14"/>
      <c r="D304" s="33"/>
      <c r="E304" s="14"/>
      <c r="F304" s="42">
        <f>SUM(F302:F303)</f>
        <v>168229</v>
      </c>
    </row>
    <row r="305" spans="1:6" ht="9" customHeight="1" x14ac:dyDescent="0.25">
      <c r="A305" s="32"/>
      <c r="B305" s="32"/>
      <c r="C305" s="14"/>
      <c r="D305" s="33"/>
      <c r="E305" s="14"/>
      <c r="F305" s="15"/>
    </row>
    <row r="306" spans="1:6" x14ac:dyDescent="0.25">
      <c r="A306" s="52" t="s">
        <v>80</v>
      </c>
      <c r="B306" s="25"/>
      <c r="C306" s="26"/>
      <c r="D306" s="27"/>
      <c r="E306" s="26"/>
      <c r="F306" s="51"/>
    </row>
    <row r="307" spans="1:6" x14ac:dyDescent="0.25">
      <c r="A307" s="10">
        <v>5006</v>
      </c>
      <c r="B307" s="10">
        <v>9990001</v>
      </c>
      <c r="C307" s="11" t="s">
        <v>78</v>
      </c>
      <c r="D307" s="12" t="s">
        <v>119</v>
      </c>
      <c r="E307" s="11" t="s">
        <v>120</v>
      </c>
      <c r="F307" s="40">
        <f>97057+52+312+889+216</f>
        <v>98526</v>
      </c>
    </row>
    <row r="308" spans="1:6" x14ac:dyDescent="0.25">
      <c r="A308" s="10"/>
      <c r="B308" s="10">
        <v>9990001</v>
      </c>
      <c r="C308" s="11" t="s">
        <v>78</v>
      </c>
      <c r="D308" s="12" t="s">
        <v>121</v>
      </c>
      <c r="E308" s="11" t="s">
        <v>122</v>
      </c>
      <c r="F308" s="40">
        <v>16915</v>
      </c>
    </row>
    <row r="309" spans="1:6" x14ac:dyDescent="0.25">
      <c r="A309" s="10"/>
      <c r="B309" s="10">
        <v>5629121</v>
      </c>
      <c r="C309" s="11" t="s">
        <v>123</v>
      </c>
      <c r="D309" s="12" t="s">
        <v>105</v>
      </c>
      <c r="E309" s="17" t="s">
        <v>104</v>
      </c>
      <c r="F309" s="40">
        <f>8457+17999</f>
        <v>26456</v>
      </c>
    </row>
    <row r="310" spans="1:6" ht="14.25" customHeight="1" x14ac:dyDescent="0.25">
      <c r="A310" s="19"/>
      <c r="B310" s="19"/>
      <c r="C310" s="20"/>
      <c r="D310" s="21"/>
      <c r="E310" s="20"/>
      <c r="F310" s="48">
        <f>SUM(F307:F309)</f>
        <v>141897</v>
      </c>
    </row>
    <row r="311" spans="1:6" x14ac:dyDescent="0.25">
      <c r="A311" s="49" t="s">
        <v>79</v>
      </c>
      <c r="B311" s="32"/>
      <c r="C311" s="14"/>
      <c r="D311" s="33"/>
      <c r="E311" s="14"/>
      <c r="F311" s="15"/>
    </row>
    <row r="312" spans="1:6" x14ac:dyDescent="0.25">
      <c r="A312" s="10">
        <v>5006</v>
      </c>
      <c r="B312" s="10">
        <v>9990001</v>
      </c>
      <c r="C312" s="11" t="s">
        <v>81</v>
      </c>
      <c r="D312" s="12" t="s">
        <v>9</v>
      </c>
      <c r="E312" s="17" t="s">
        <v>10</v>
      </c>
      <c r="F312" s="40">
        <f>117729+52+312+889+216</f>
        <v>119198</v>
      </c>
    </row>
    <row r="313" spans="1:6" x14ac:dyDescent="0.25">
      <c r="A313" s="50"/>
      <c r="B313" s="10">
        <v>5629121</v>
      </c>
      <c r="C313" s="11" t="s">
        <v>123</v>
      </c>
      <c r="D313" s="12" t="s">
        <v>105</v>
      </c>
      <c r="E313" s="17" t="s">
        <v>104</v>
      </c>
      <c r="F313" s="40">
        <f>122429-117729+17999</f>
        <v>22699</v>
      </c>
    </row>
    <row r="314" spans="1:6" x14ac:dyDescent="0.25">
      <c r="F314" s="37">
        <f>SUM(F312:F313)</f>
        <v>141897</v>
      </c>
    </row>
    <row r="315" spans="1:6" ht="6.75" customHeight="1" thickBot="1" x14ac:dyDescent="0.3">
      <c r="F315" s="37"/>
    </row>
    <row r="316" spans="1:6" ht="16.5" thickBot="1" x14ac:dyDescent="0.3">
      <c r="A316" s="56" t="s">
        <v>177</v>
      </c>
      <c r="B316" s="57"/>
      <c r="C316" s="57"/>
      <c r="D316" s="57"/>
      <c r="E316" s="57"/>
      <c r="F316" s="54">
        <f>+F250+F265+F279+F289+F299+F310</f>
        <v>1405943</v>
      </c>
    </row>
    <row r="317" spans="1:6" ht="16.5" thickBot="1" x14ac:dyDescent="0.3">
      <c r="A317" s="56" t="s">
        <v>178</v>
      </c>
      <c r="B317" s="57"/>
      <c r="C317" s="57"/>
      <c r="D317" s="57"/>
      <c r="E317" s="57"/>
      <c r="F317" s="54">
        <f>+F254+F273+F283+F293+F304+F314</f>
        <v>1405943</v>
      </c>
    </row>
    <row r="318" spans="1:6" ht="6" customHeight="1" thickBot="1" x14ac:dyDescent="0.3"/>
    <row r="319" spans="1:6" ht="16.5" thickBot="1" x14ac:dyDescent="0.3">
      <c r="A319" s="56" t="s">
        <v>179</v>
      </c>
      <c r="B319" s="57"/>
      <c r="C319" s="57"/>
      <c r="D319" s="57"/>
      <c r="E319" s="57"/>
      <c r="F319" s="54">
        <f>+F143+F242+F316</f>
        <v>25385424</v>
      </c>
    </row>
    <row r="320" spans="1:6" ht="16.5" thickBot="1" x14ac:dyDescent="0.3">
      <c r="A320" s="56" t="s">
        <v>180</v>
      </c>
      <c r="B320" s="57"/>
      <c r="C320" s="57"/>
      <c r="D320" s="57"/>
      <c r="E320" s="57"/>
      <c r="F320" s="54">
        <f>+F177+F243+F317</f>
        <v>25385424</v>
      </c>
    </row>
    <row r="321" spans="1:6" ht="6.75" customHeight="1" thickBot="1" x14ac:dyDescent="0.3"/>
    <row r="322" spans="1:6" ht="16.5" thickBot="1" x14ac:dyDescent="0.3">
      <c r="A322" s="56" t="s">
        <v>181</v>
      </c>
      <c r="B322" s="57"/>
      <c r="C322" s="57"/>
      <c r="D322" s="57"/>
      <c r="E322" s="57"/>
      <c r="F322" s="54">
        <f>-F99-F100-F101-F102</f>
        <v>-4726213</v>
      </c>
    </row>
    <row r="323" spans="1:6" ht="16.5" thickBot="1" x14ac:dyDescent="0.3">
      <c r="A323" s="56" t="s">
        <v>182</v>
      </c>
      <c r="B323" s="57"/>
      <c r="C323" s="57"/>
      <c r="D323" s="57"/>
      <c r="E323" s="57"/>
      <c r="F323" s="54">
        <v>-4726213</v>
      </c>
    </row>
    <row r="324" spans="1:6" ht="3.75" customHeight="1" thickBot="1" x14ac:dyDescent="0.3">
      <c r="F324" s="37"/>
    </row>
    <row r="325" spans="1:6" ht="16.5" thickBot="1" x14ac:dyDescent="0.3">
      <c r="A325" s="56" t="s">
        <v>183</v>
      </c>
      <c r="B325" s="57"/>
      <c r="C325" s="57"/>
      <c r="D325" s="57"/>
      <c r="E325" s="57"/>
      <c r="F325" s="54">
        <v>-355000</v>
      </c>
    </row>
    <row r="326" spans="1:6" ht="16.5" thickBot="1" x14ac:dyDescent="0.3">
      <c r="A326" s="56" t="s">
        <v>184</v>
      </c>
      <c r="B326" s="57"/>
      <c r="C326" s="57"/>
      <c r="D326" s="57"/>
      <c r="E326" s="57"/>
      <c r="F326" s="54">
        <v>-355000</v>
      </c>
    </row>
    <row r="327" spans="1:6" ht="5.25" customHeight="1" thickBot="1" x14ac:dyDescent="0.3"/>
    <row r="328" spans="1:6" ht="16.5" thickBot="1" x14ac:dyDescent="0.3">
      <c r="A328" s="58" t="s">
        <v>185</v>
      </c>
      <c r="B328" s="59"/>
      <c r="C328" s="59"/>
      <c r="D328" s="59"/>
      <c r="E328" s="59"/>
      <c r="F328" s="54">
        <f>+F319+F322+F325</f>
        <v>20304211</v>
      </c>
    </row>
    <row r="329" spans="1:6" ht="16.5" thickBot="1" x14ac:dyDescent="0.3">
      <c r="A329" s="58" t="s">
        <v>186</v>
      </c>
      <c r="B329" s="59"/>
      <c r="C329" s="59"/>
      <c r="D329" s="59"/>
      <c r="E329" s="59"/>
      <c r="F329" s="54">
        <f>+F320+F323+F326</f>
        <v>20304211</v>
      </c>
    </row>
  </sheetData>
  <mergeCells count="29">
    <mergeCell ref="A3:F3"/>
    <mergeCell ref="A56:D56"/>
    <mergeCell ref="A97:D97"/>
    <mergeCell ref="A105:E105"/>
    <mergeCell ref="A224:D224"/>
    <mergeCell ref="A212:D212"/>
    <mergeCell ref="A182:D182"/>
    <mergeCell ref="A118:E118"/>
    <mergeCell ref="A122:E122"/>
    <mergeCell ref="A141:E141"/>
    <mergeCell ref="A143:E143"/>
    <mergeCell ref="A164:E164"/>
    <mergeCell ref="A171:E171"/>
    <mergeCell ref="A175:E175"/>
    <mergeCell ref="A177:E177"/>
    <mergeCell ref="A180:F180"/>
    <mergeCell ref="A242:E242"/>
    <mergeCell ref="A243:E243"/>
    <mergeCell ref="A316:E316"/>
    <mergeCell ref="A317:E317"/>
    <mergeCell ref="A245:F245"/>
    <mergeCell ref="A326:E326"/>
    <mergeCell ref="A328:E328"/>
    <mergeCell ref="A329:E329"/>
    <mergeCell ref="A319:E319"/>
    <mergeCell ref="A320:E320"/>
    <mergeCell ref="A322:E322"/>
    <mergeCell ref="A323:E323"/>
    <mergeCell ref="A325:E325"/>
  </mergeCells>
  <pageMargins left="1.1811023622047245" right="0" top="0" bottom="0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2015-09-01T11:22:52Z</dcterms:modified>
</cp:coreProperties>
</file>